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10" windowHeight="8115" tabRatio="821" activeTab="0"/>
  </bookViews>
  <sheets>
    <sheet name="Строителей 23" sheetId="1" r:id="rId1"/>
    <sheet name="Строителей 9" sheetId="2" r:id="rId2"/>
    <sheet name="Новая 20" sheetId="3" r:id="rId3"/>
    <sheet name="Новая 19" sheetId="4" r:id="rId4"/>
    <sheet name="Санаторная 7" sheetId="5" r:id="rId5"/>
    <sheet name="Юбилейная 15" sheetId="6" r:id="rId6"/>
    <sheet name="Юбилейная 14" sheetId="7" r:id="rId7"/>
    <sheet name="Юбилейная 13" sheetId="8" r:id="rId8"/>
    <sheet name="Юбилейная 12" sheetId="9" r:id="rId9"/>
    <sheet name="Юбилейная 11" sheetId="10" r:id="rId10"/>
    <sheet name="Юбилейная 9" sheetId="11" r:id="rId11"/>
    <sheet name="Юбилейная 8" sheetId="12" r:id="rId12"/>
    <sheet name="Юбилейная 7" sheetId="13" r:id="rId13"/>
    <sheet name="Юбилейная 6" sheetId="14" r:id="rId14"/>
    <sheet name="Юбилейная 4" sheetId="15" r:id="rId15"/>
    <sheet name="Юбилейная 3" sheetId="16" r:id="rId16"/>
    <sheet name="Юбилейная 2А" sheetId="17" r:id="rId17"/>
    <sheet name="Юбилейная 2" sheetId="18" r:id="rId18"/>
    <sheet name="Гагарина 13" sheetId="19" r:id="rId19"/>
    <sheet name="Гагарина 3" sheetId="20" r:id="rId20"/>
    <sheet name="50 лет ВЛКСМ 13" sheetId="21" r:id="rId21"/>
    <sheet name="50 лет ВЛКСМ 12" sheetId="22" r:id="rId22"/>
    <sheet name="50 лет ВЛКСМ 11" sheetId="23" r:id="rId23"/>
    <sheet name="50 лет ВЛКСМ 10" sheetId="24" r:id="rId24"/>
    <sheet name="50 лет ВЛКСМ 8" sheetId="25" r:id="rId25"/>
    <sheet name="СВОД" sheetId="26" r:id="rId26"/>
  </sheets>
  <definedNames/>
  <calcPr fullCalcOnLoad="1"/>
</workbook>
</file>

<file path=xl/sharedStrings.xml><?xml version="1.0" encoding="utf-8"?>
<sst xmlns="http://schemas.openxmlformats.org/spreadsheetml/2006/main" count="1278" uniqueCount="164">
  <si>
    <t>ЖЭУ (объект учёта)</t>
  </si>
  <si>
    <t>Улица</t>
  </si>
  <si>
    <t>Дом</t>
  </si>
  <si>
    <t>Муранитный</t>
  </si>
  <si>
    <t>50 лет ВЛКСМ</t>
  </si>
  <si>
    <t xml:space="preserve">10 </t>
  </si>
  <si>
    <t>Отопление</t>
  </si>
  <si>
    <t xml:space="preserve">11 </t>
  </si>
  <si>
    <t xml:space="preserve">12 </t>
  </si>
  <si>
    <t xml:space="preserve">13 </t>
  </si>
  <si>
    <t xml:space="preserve">8 </t>
  </si>
  <si>
    <t xml:space="preserve">9 </t>
  </si>
  <si>
    <t>Санаторная</t>
  </si>
  <si>
    <t xml:space="preserve">2 </t>
  </si>
  <si>
    <t xml:space="preserve">3 </t>
  </si>
  <si>
    <t xml:space="preserve">4 </t>
  </si>
  <si>
    <t xml:space="preserve">6 </t>
  </si>
  <si>
    <t xml:space="preserve">7 </t>
  </si>
  <si>
    <t>Курманка</t>
  </si>
  <si>
    <t>Гагарина</t>
  </si>
  <si>
    <t xml:space="preserve">14 </t>
  </si>
  <si>
    <t xml:space="preserve">20 </t>
  </si>
  <si>
    <t xml:space="preserve">15 </t>
  </si>
  <si>
    <t>2/А</t>
  </si>
  <si>
    <t>Новая</t>
  </si>
  <si>
    <t xml:space="preserve">19 </t>
  </si>
  <si>
    <t xml:space="preserve">Строителей </t>
  </si>
  <si>
    <t xml:space="preserve">23 </t>
  </si>
  <si>
    <t>Найм жилья (за 1 м2 помещ)</t>
  </si>
  <si>
    <t>Сод. жилья (за 1 м2 помещ)</t>
  </si>
  <si>
    <t>ХВС для ГВС (за 1 м3)</t>
  </si>
  <si>
    <t>Подогрев (за 1 Гкал)</t>
  </si>
  <si>
    <t>16</t>
  </si>
  <si>
    <t>Кол-во квартир</t>
  </si>
  <si>
    <t>18</t>
  </si>
  <si>
    <t>12</t>
  </si>
  <si>
    <t>8</t>
  </si>
  <si>
    <t>44</t>
  </si>
  <si>
    <t>27</t>
  </si>
  <si>
    <t>3</t>
  </si>
  <si>
    <t>13</t>
  </si>
  <si>
    <t>Общая площадь, м2</t>
  </si>
  <si>
    <t>708.8</t>
  </si>
  <si>
    <t>791.80</t>
  </si>
  <si>
    <t>806.70</t>
  </si>
  <si>
    <t>806.60</t>
  </si>
  <si>
    <t>806.80</t>
  </si>
  <si>
    <t>617</t>
  </si>
  <si>
    <t>1979</t>
  </si>
  <si>
    <t>1958</t>
  </si>
  <si>
    <t>1978</t>
  </si>
  <si>
    <t>1982</t>
  </si>
  <si>
    <t>1983</t>
  </si>
  <si>
    <t>1961</t>
  </si>
  <si>
    <t>1968</t>
  </si>
  <si>
    <t>1996</t>
  </si>
  <si>
    <t>1970</t>
  </si>
  <si>
    <t>1969</t>
  </si>
  <si>
    <t>1971</t>
  </si>
  <si>
    <t>1974</t>
  </si>
  <si>
    <t>1984</t>
  </si>
  <si>
    <t>1986</t>
  </si>
  <si>
    <t>1990</t>
  </si>
  <si>
    <t>1965</t>
  </si>
  <si>
    <t>304.3</t>
  </si>
  <si>
    <t>613.23</t>
  </si>
  <si>
    <t>537.40</t>
  </si>
  <si>
    <t>2428.60</t>
  </si>
  <si>
    <t>530.57</t>
  </si>
  <si>
    <t>525.10</t>
  </si>
  <si>
    <t>736.6</t>
  </si>
  <si>
    <t>696.5</t>
  </si>
  <si>
    <t>529.26</t>
  </si>
  <si>
    <t>729.9</t>
  </si>
  <si>
    <t>746.85</t>
  </si>
  <si>
    <t>858.97</t>
  </si>
  <si>
    <t>873.99</t>
  </si>
  <si>
    <t>1383.05</t>
  </si>
  <si>
    <t>1409.18</t>
  </si>
  <si>
    <t>1263.1</t>
  </si>
  <si>
    <t>1290.68</t>
  </si>
  <si>
    <t>481.6</t>
  </si>
  <si>
    <t>325.5</t>
  </si>
  <si>
    <t>Начислено, руб.</t>
  </si>
  <si>
    <t>Оплачено жителями, руб</t>
  </si>
  <si>
    <t>РАСХОДЫ, руб.</t>
  </si>
  <si>
    <t>2014 год</t>
  </si>
  <si>
    <t xml:space="preserve"> Услуга</t>
  </si>
  <si>
    <t>Начислено за СЕНТЯБРЬ</t>
  </si>
  <si>
    <t xml:space="preserve">  Оплачено за СЕНТЯБРЬ</t>
  </si>
  <si>
    <t>Начислено за ОКТЯБРЬ</t>
  </si>
  <si>
    <t xml:space="preserve">  Оплачено за ОКТЯБРЬ</t>
  </si>
  <si>
    <t>Начислено за НОЯБРЬ</t>
  </si>
  <si>
    <t xml:space="preserve">  Оплачено за НОЯБРЬ</t>
  </si>
  <si>
    <t>Начислено за ДЕКАБРЬ</t>
  </si>
  <si>
    <t xml:space="preserve">  Оплачено за ДЕКАБРЬ</t>
  </si>
  <si>
    <t>Наем</t>
  </si>
  <si>
    <t>ХВС для ГВС</t>
  </si>
  <si>
    <t>Подогрев (Гкал)</t>
  </si>
  <si>
    <t>ХВС</t>
  </si>
  <si>
    <t>Водоотведение</t>
  </si>
  <si>
    <t>ХВС по ПУ</t>
  </si>
  <si>
    <t>Водоотв.по ПУ</t>
  </si>
  <si>
    <t xml:space="preserve">Холодное водоснабжение </t>
  </si>
  <si>
    <t xml:space="preserve">Водоотведение </t>
  </si>
  <si>
    <t>- управление МКД</t>
  </si>
  <si>
    <t>- обслуживание и устранение незнач ительных неисправностей</t>
  </si>
  <si>
    <t>- текущий ремонт общего имущества</t>
  </si>
  <si>
    <t>- услуга вывоза и обезораживания ТБО</t>
  </si>
  <si>
    <t>- услуги вывоза ЖБО</t>
  </si>
  <si>
    <t>- прочее</t>
  </si>
  <si>
    <t>Расходы за ОКТЯБРЬ, руб.</t>
  </si>
  <si>
    <t>Расходы за СЕНТЯБРЬ, руб.</t>
  </si>
  <si>
    <t>Расходы за НОЯБРЬ, руб.</t>
  </si>
  <si>
    <t>Расходы за ДЕКАБРЬ, руб.</t>
  </si>
  <si>
    <t>Отчет управляющей организации МУП ГО Заречный "Единый город" по обслуживанию жилищного фонда</t>
  </si>
  <si>
    <t>Период отчета с 01.09.2014 г по 31.12.2014 г.</t>
  </si>
  <si>
    <r>
      <t xml:space="preserve">Адрес: </t>
    </r>
    <r>
      <rPr>
        <b/>
        <sz val="11"/>
        <color indexed="8"/>
        <rFont val="Arial"/>
        <family val="2"/>
      </rPr>
      <t>мрн Муранитный, ул. 50 лет ВЛКСМ дом 8</t>
    </r>
  </si>
  <si>
    <r>
      <t xml:space="preserve">Адрес: </t>
    </r>
    <r>
      <rPr>
        <b/>
        <sz val="11"/>
        <color indexed="8"/>
        <rFont val="Arial"/>
        <family val="2"/>
      </rPr>
      <t>мрн Муранитный, ул. 50 лет ВЛКСМ дом 13</t>
    </r>
  </si>
  <si>
    <r>
      <t xml:space="preserve">Адрес: </t>
    </r>
    <r>
      <rPr>
        <b/>
        <sz val="11"/>
        <color indexed="8"/>
        <rFont val="Arial"/>
        <family val="2"/>
      </rPr>
      <t>мрн Муранитный, ул. 50 лет ВЛКСМ дом 12</t>
    </r>
  </si>
  <si>
    <r>
      <t xml:space="preserve">Адрес: </t>
    </r>
    <r>
      <rPr>
        <b/>
        <sz val="11"/>
        <color indexed="8"/>
        <rFont val="Arial"/>
        <family val="2"/>
      </rPr>
      <t>мрн Муранитный, ул. 50 лет ВЛКСМ дом 11</t>
    </r>
  </si>
  <si>
    <r>
      <t xml:space="preserve">Адрес: </t>
    </r>
    <r>
      <rPr>
        <b/>
        <sz val="11"/>
        <color indexed="8"/>
        <rFont val="Arial"/>
        <family val="2"/>
      </rPr>
      <t>мрн Муранитный, ул. 50 лет ВЛКСМ дом 10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</si>
  <si>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ул.Гагарина дом 3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</si>
  <si>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ул.Гагарина дом 13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</si>
  <si>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2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</si>
  <si>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15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</si>
  <si>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14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</si>
  <si>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13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</si>
  <si>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12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</si>
  <si>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11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</si>
  <si>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9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</si>
  <si>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8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</si>
  <si>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7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</si>
  <si>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6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</si>
  <si>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4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</si>
  <si>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3</t>
    </r>
  </si>
  <si>
    <r>
      <t xml:space="preserve">Адрес: </t>
    </r>
    <r>
      <rPr>
        <b/>
        <sz val="11"/>
        <color indexed="8"/>
        <rFont val="Arial"/>
        <family val="2"/>
      </rPr>
      <t>д.Курманка, ул.Юбилейная дом 2 корпус А</t>
    </r>
  </si>
  <si>
    <t>ОПЛАЧЕНО жителями за 2014 г</t>
  </si>
  <si>
    <t>РАСХОДЫ за 2014 г</t>
  </si>
  <si>
    <t>Содержание жилья:</t>
  </si>
  <si>
    <t>Тарифы на 1 м2</t>
  </si>
  <si>
    <t>3,92</t>
  </si>
  <si>
    <t>17,82</t>
  </si>
  <si>
    <t>1,88</t>
  </si>
  <si>
    <t>4,35</t>
  </si>
  <si>
    <t>2,39</t>
  </si>
  <si>
    <t>- обслуживание и устранение незначительных неисправностей</t>
  </si>
  <si>
    <t>Найм жилья</t>
  </si>
  <si>
    <r>
      <t>Адрес:</t>
    </r>
    <r>
      <rPr>
        <b/>
        <sz val="11"/>
        <color indexed="8"/>
        <rFont val="Arial"/>
        <family val="2"/>
      </rPr>
      <t xml:space="preserve"> с.Мезенское, ул.Санаторная дом 7</t>
    </r>
  </si>
  <si>
    <t>3,43</t>
  </si>
  <si>
    <r>
      <t xml:space="preserve">Адрес: </t>
    </r>
    <r>
      <rPr>
        <b/>
        <sz val="11"/>
        <color indexed="8"/>
        <rFont val="Arial"/>
        <family val="2"/>
      </rPr>
      <t>с.Мезенское, ул.Новая дом 19</t>
    </r>
  </si>
  <si>
    <r>
      <t xml:space="preserve">Адрес: </t>
    </r>
    <r>
      <rPr>
        <b/>
        <sz val="11"/>
        <color indexed="8"/>
        <rFont val="Arial"/>
        <family val="2"/>
      </rPr>
      <t>с.Мезенское, ул.Новая дом 20</t>
    </r>
  </si>
  <si>
    <r>
      <t xml:space="preserve">Адрес: </t>
    </r>
    <r>
      <rPr>
        <b/>
        <sz val="11"/>
        <color indexed="8"/>
        <rFont val="Arial"/>
        <family val="2"/>
      </rPr>
      <t>с.Мезенское, ул.Строителей дом 9</t>
    </r>
  </si>
  <si>
    <r>
      <t xml:space="preserve">Адрес: </t>
    </r>
    <r>
      <rPr>
        <b/>
        <sz val="11"/>
        <color indexed="8"/>
        <rFont val="Arial"/>
        <family val="2"/>
      </rPr>
      <t>с.Мезенское, ул.Строителей дом 23</t>
    </r>
  </si>
  <si>
    <t>ИП Калабурдин, ИП Костенко</t>
  </si>
  <si>
    <t>МУП "Теплоцентраль"</t>
  </si>
  <si>
    <t>МУП "Единый город"</t>
  </si>
  <si>
    <t>МУП "Теплоснабжение"</t>
  </si>
  <si>
    <t>ООО "Регион-Спектр"</t>
  </si>
  <si>
    <t>НАЧИСЛЕНО                                                                                   за 2014 г</t>
  </si>
  <si>
    <t>ВСЕГО по ЖКУ за 2014 год</t>
  </si>
  <si>
    <t>Юбилейная</t>
  </si>
  <si>
    <t>Год построй-ки</t>
  </si>
  <si>
    <t>с.Мезенское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</si>
</sst>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\ ###\ ###\ ###.00"/>
    <numFmt numFmtId="166" formatCode="#,##0.00_р_."/>
    <numFmt numFmtId="167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Arial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" fontId="52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51" fillId="0" borderId="19" xfId="0" applyNumberFormat="1" applyFont="1" applyFill="1" applyBorder="1" applyAlignment="1">
      <alignment horizontal="center" vertical="center"/>
    </xf>
    <xf numFmtId="4" fontId="51" fillId="0" borderId="20" xfId="0" applyNumberFormat="1" applyFont="1" applyFill="1" applyBorder="1" applyAlignment="1">
      <alignment horizontal="center" vertical="center"/>
    </xf>
    <xf numFmtId="4" fontId="51" fillId="0" borderId="21" xfId="0" applyNumberFormat="1" applyFont="1" applyFill="1" applyBorder="1" applyAlignment="1">
      <alignment horizontal="center" vertical="center"/>
    </xf>
    <xf numFmtId="4" fontId="51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51" fillId="0" borderId="23" xfId="0" applyNumberFormat="1" applyFont="1" applyFill="1" applyBorder="1" applyAlignment="1">
      <alignment horizontal="center" vertical="center"/>
    </xf>
    <xf numFmtId="4" fontId="51" fillId="0" borderId="24" xfId="0" applyNumberFormat="1" applyFont="1" applyFill="1" applyBorder="1" applyAlignment="1">
      <alignment horizontal="center" vertical="center"/>
    </xf>
    <xf numFmtId="4" fontId="51" fillId="0" borderId="25" xfId="0" applyNumberFormat="1" applyFont="1" applyFill="1" applyBorder="1" applyAlignment="1">
      <alignment horizontal="center" vertical="center"/>
    </xf>
    <xf numFmtId="4" fontId="51" fillId="0" borderId="26" xfId="0" applyNumberFormat="1" applyFont="1" applyFill="1" applyBorder="1" applyAlignment="1">
      <alignment horizontal="center" vertical="center"/>
    </xf>
    <xf numFmtId="4" fontId="51" fillId="0" borderId="27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49" fontId="57" fillId="0" borderId="0" xfId="0" applyNumberFormat="1" applyFont="1" applyFill="1" applyBorder="1" applyAlignment="1">
      <alignment horizontal="left"/>
    </xf>
    <xf numFmtId="49" fontId="54" fillId="0" borderId="0" xfId="0" applyNumberFormat="1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/>
    </xf>
    <xf numFmtId="4" fontId="53" fillId="0" borderId="20" xfId="0" applyNumberFormat="1" applyFont="1" applyFill="1" applyBorder="1" applyAlignment="1">
      <alignment horizontal="center" vertical="center"/>
    </xf>
    <xf numFmtId="4" fontId="53" fillId="0" borderId="21" xfId="0" applyNumberFormat="1" applyFont="1" applyFill="1" applyBorder="1" applyAlignment="1">
      <alignment horizontal="center" vertical="center"/>
    </xf>
    <xf numFmtId="4" fontId="53" fillId="0" borderId="28" xfId="0" applyNumberFormat="1" applyFont="1" applyFill="1" applyBorder="1" applyAlignment="1">
      <alignment horizontal="center" vertical="center"/>
    </xf>
    <xf numFmtId="4" fontId="53" fillId="0" borderId="22" xfId="0" applyNumberFormat="1" applyFont="1" applyFill="1" applyBorder="1" applyAlignment="1">
      <alignment horizontal="center" vertical="center"/>
    </xf>
    <xf numFmtId="49" fontId="53" fillId="0" borderId="29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9" fontId="53" fillId="0" borderId="29" xfId="0" applyNumberFormat="1" applyFont="1" applyFill="1" applyBorder="1" applyAlignment="1">
      <alignment wrapText="1"/>
    </xf>
    <xf numFmtId="49" fontId="53" fillId="0" borderId="29" xfId="0" applyNumberFormat="1" applyFont="1" applyFill="1" applyBorder="1" applyAlignment="1">
      <alignment horizontal="left"/>
    </xf>
    <xf numFmtId="165" fontId="53" fillId="0" borderId="0" xfId="0" applyNumberFormat="1" applyFont="1" applyFill="1" applyBorder="1" applyAlignment="1">
      <alignment horizontal="center" vertical="center"/>
    </xf>
    <xf numFmtId="4" fontId="53" fillId="0" borderId="23" xfId="0" applyNumberFormat="1" applyFont="1" applyFill="1" applyBorder="1" applyAlignment="1">
      <alignment horizontal="center" vertical="center"/>
    </xf>
    <xf numFmtId="4" fontId="53" fillId="0" borderId="24" xfId="0" applyNumberFormat="1" applyFont="1" applyFill="1" applyBorder="1" applyAlignment="1">
      <alignment horizontal="center" vertical="center"/>
    </xf>
    <xf numFmtId="4" fontId="53" fillId="0" borderId="25" xfId="0" applyNumberFormat="1" applyFont="1" applyFill="1" applyBorder="1" applyAlignment="1">
      <alignment horizontal="center" vertical="center"/>
    </xf>
    <xf numFmtId="4" fontId="53" fillId="0" borderId="26" xfId="0" applyNumberFormat="1" applyFont="1" applyFill="1" applyBorder="1" applyAlignment="1">
      <alignment horizontal="center" vertical="center"/>
    </xf>
    <xf numFmtId="4" fontId="53" fillId="0" borderId="27" xfId="0" applyNumberFormat="1" applyFont="1" applyFill="1" applyBorder="1" applyAlignment="1">
      <alignment horizontal="center" vertical="center"/>
    </xf>
    <xf numFmtId="4" fontId="53" fillId="0" borderId="30" xfId="0" applyNumberFormat="1" applyFont="1" applyFill="1" applyBorder="1" applyAlignment="1">
      <alignment horizontal="center" vertical="center"/>
    </xf>
    <xf numFmtId="4" fontId="53" fillId="0" borderId="31" xfId="0" applyNumberFormat="1" applyFont="1" applyFill="1" applyBorder="1" applyAlignment="1">
      <alignment horizontal="center" vertical="center"/>
    </xf>
    <xf numFmtId="4" fontId="53" fillId="0" borderId="32" xfId="0" applyNumberFormat="1" applyFont="1" applyFill="1" applyBorder="1" applyAlignment="1">
      <alignment horizontal="center" vertical="center"/>
    </xf>
    <xf numFmtId="4" fontId="53" fillId="0" borderId="33" xfId="0" applyNumberFormat="1" applyFont="1" applyFill="1" applyBorder="1" applyAlignment="1">
      <alignment horizontal="center" vertical="center"/>
    </xf>
    <xf numFmtId="4" fontId="53" fillId="0" borderId="34" xfId="0" applyNumberFormat="1" applyFont="1" applyFill="1" applyBorder="1" applyAlignment="1">
      <alignment horizontal="center" vertical="center"/>
    </xf>
    <xf numFmtId="4" fontId="54" fillId="0" borderId="30" xfId="0" applyNumberFormat="1" applyFont="1" applyFill="1" applyBorder="1" applyAlignment="1">
      <alignment horizontal="center" vertical="center"/>
    </xf>
    <xf numFmtId="4" fontId="54" fillId="0" borderId="33" xfId="0" applyNumberFormat="1" applyFont="1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/>
    </xf>
    <xf numFmtId="4" fontId="53" fillId="0" borderId="36" xfId="0" applyNumberFormat="1" applyFont="1" applyFill="1" applyBorder="1" applyAlignment="1">
      <alignment horizontal="center" vertical="center"/>
    </xf>
    <xf numFmtId="4" fontId="53" fillId="0" borderId="37" xfId="0" applyNumberFormat="1" applyFont="1" applyFill="1" applyBorder="1" applyAlignment="1">
      <alignment horizontal="center" vertical="center"/>
    </xf>
    <xf numFmtId="4" fontId="53" fillId="0" borderId="38" xfId="0" applyNumberFormat="1" applyFont="1" applyFill="1" applyBorder="1" applyAlignment="1">
      <alignment horizontal="center" vertical="center"/>
    </xf>
    <xf numFmtId="4" fontId="53" fillId="0" borderId="39" xfId="0" applyNumberFormat="1" applyFont="1" applyFill="1" applyBorder="1" applyAlignment="1">
      <alignment horizontal="center" vertical="center"/>
    </xf>
    <xf numFmtId="4" fontId="53" fillId="0" borderId="40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left"/>
    </xf>
    <xf numFmtId="4" fontId="53" fillId="0" borderId="13" xfId="0" applyNumberFormat="1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horizontal="center" vertical="center"/>
    </xf>
    <xf numFmtId="4" fontId="53" fillId="0" borderId="17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center" vertical="center"/>
    </xf>
    <xf numFmtId="4" fontId="54" fillId="0" borderId="13" xfId="0" applyNumberFormat="1" applyFont="1" applyFill="1" applyBorder="1" applyAlignment="1">
      <alignment horizontal="center" vertical="center"/>
    </xf>
    <xf numFmtId="4" fontId="54" fillId="0" borderId="18" xfId="0" applyNumberFormat="1" applyFont="1" applyFill="1" applyBorder="1" applyAlignment="1">
      <alignment horizontal="center" vertical="center"/>
    </xf>
    <xf numFmtId="49" fontId="54" fillId="0" borderId="41" xfId="0" applyNumberFormat="1" applyFont="1" applyFill="1" applyBorder="1" applyAlignment="1">
      <alignment horizontal="left"/>
    </xf>
    <xf numFmtId="49" fontId="54" fillId="0" borderId="35" xfId="0" applyNumberFormat="1" applyFont="1" applyFill="1" applyBorder="1" applyAlignment="1">
      <alignment horizontal="left"/>
    </xf>
    <xf numFmtId="4" fontId="54" fillId="0" borderId="36" xfId="0" applyNumberFormat="1" applyFont="1" applyFill="1" applyBorder="1" applyAlignment="1">
      <alignment horizontal="center" vertical="center"/>
    </xf>
    <xf numFmtId="4" fontId="54" fillId="0" borderId="39" xfId="0" applyNumberFormat="1" applyFont="1" applyFill="1" applyBorder="1" applyAlignment="1">
      <alignment horizontal="center" vertical="center"/>
    </xf>
    <xf numFmtId="49" fontId="53" fillId="0" borderId="42" xfId="0" applyNumberFormat="1" applyFont="1" applyFill="1" applyBorder="1" applyAlignment="1">
      <alignment horizontal="left"/>
    </xf>
    <xf numFmtId="4" fontId="50" fillId="0" borderId="23" xfId="0" applyNumberFormat="1" applyFont="1" applyFill="1" applyBorder="1" applyAlignment="1">
      <alignment horizontal="center" vertical="center"/>
    </xf>
    <xf numFmtId="4" fontId="50" fillId="0" borderId="26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53" fillId="0" borderId="29" xfId="0" applyNumberFormat="1" applyFont="1" applyFill="1" applyBorder="1" applyAlignment="1">
      <alignment horizontal="left" vertical="center"/>
    </xf>
    <xf numFmtId="49" fontId="53" fillId="0" borderId="29" xfId="0" applyNumberFormat="1" applyFont="1" applyFill="1" applyBorder="1" applyAlignment="1">
      <alignment horizontal="left" vertical="center" wrapText="1"/>
    </xf>
    <xf numFmtId="49" fontId="53" fillId="0" borderId="35" xfId="0" applyNumberFormat="1" applyFont="1" applyFill="1" applyBorder="1" applyAlignment="1">
      <alignment horizontal="left" vertical="center"/>
    </xf>
    <xf numFmtId="49" fontId="54" fillId="0" borderId="16" xfId="0" applyNumberFormat="1" applyFont="1" applyFill="1" applyBorder="1" applyAlignment="1">
      <alignment horizontal="left" vertical="center"/>
    </xf>
    <xf numFmtId="49" fontId="54" fillId="0" borderId="41" xfId="0" applyNumberFormat="1" applyFont="1" applyFill="1" applyBorder="1" applyAlignment="1">
      <alignment horizontal="left" vertical="center"/>
    </xf>
    <xf numFmtId="49" fontId="54" fillId="0" borderId="35" xfId="0" applyNumberFormat="1" applyFont="1" applyFill="1" applyBorder="1" applyAlignment="1">
      <alignment horizontal="left" vertical="center"/>
    </xf>
    <xf numFmtId="4" fontId="54" fillId="0" borderId="32" xfId="0" applyNumberFormat="1" applyFont="1" applyFill="1" applyBorder="1" applyAlignment="1">
      <alignment horizontal="center" vertical="center"/>
    </xf>
    <xf numFmtId="4" fontId="54" fillId="0" borderId="17" xfId="0" applyNumberFormat="1" applyFont="1" applyFill="1" applyBorder="1" applyAlignment="1">
      <alignment horizontal="center" vertical="center"/>
    </xf>
    <xf numFmtId="4" fontId="54" fillId="0" borderId="38" xfId="0" applyNumberFormat="1" applyFont="1" applyFill="1" applyBorder="1" applyAlignment="1">
      <alignment horizontal="center" vertical="center"/>
    </xf>
    <xf numFmtId="4" fontId="54" fillId="0" borderId="41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4" fontId="54" fillId="0" borderId="35" xfId="0" applyNumberFormat="1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 wrapText="1"/>
    </xf>
    <xf numFmtId="164" fontId="54" fillId="0" borderId="41" xfId="0" applyNumberFormat="1" applyFont="1" applyFill="1" applyBorder="1" applyAlignment="1">
      <alignment horizontal="center" vertical="center"/>
    </xf>
    <xf numFmtId="164" fontId="53" fillId="0" borderId="29" xfId="0" applyNumberFormat="1" applyFont="1" applyFill="1" applyBorder="1" applyAlignment="1">
      <alignment horizontal="center" vertical="center"/>
    </xf>
    <xf numFmtId="164" fontId="53" fillId="0" borderId="35" xfId="0" applyNumberFormat="1" applyFont="1" applyFill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horizontal="center" vertical="center"/>
    </xf>
    <xf numFmtId="164" fontId="54" fillId="0" borderId="35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49" fontId="54" fillId="0" borderId="44" xfId="0" applyNumberFormat="1" applyFont="1" applyFill="1" applyBorder="1" applyAlignment="1">
      <alignment horizontal="center" vertical="center"/>
    </xf>
    <xf numFmtId="49" fontId="54" fillId="0" borderId="45" xfId="0" applyNumberFormat="1" applyFont="1" applyFill="1" applyBorder="1" applyAlignment="1">
      <alignment horizontal="center" vertical="center"/>
    </xf>
    <xf numFmtId="49" fontId="54" fillId="0" borderId="46" xfId="0" applyNumberFormat="1" applyFont="1" applyFill="1" applyBorder="1" applyAlignment="1">
      <alignment horizontal="center" vertical="center"/>
    </xf>
    <xf numFmtId="4" fontId="54" fillId="0" borderId="45" xfId="0" applyNumberFormat="1" applyFont="1" applyFill="1" applyBorder="1" applyAlignment="1">
      <alignment horizontal="center" vertical="center" wrapText="1"/>
    </xf>
    <xf numFmtId="4" fontId="53" fillId="0" borderId="47" xfId="0" applyNumberFormat="1" applyFont="1" applyFill="1" applyBorder="1" applyAlignment="1">
      <alignment horizontal="center" vertical="center"/>
    </xf>
    <xf numFmtId="4" fontId="53" fillId="0" borderId="47" xfId="0" applyNumberFormat="1" applyFont="1" applyFill="1" applyBorder="1" applyAlignment="1">
      <alignment horizontal="center" vertical="center" wrapText="1"/>
    </xf>
    <xf numFmtId="4" fontId="53" fillId="0" borderId="46" xfId="0" applyNumberFormat="1" applyFont="1" applyFill="1" applyBorder="1" applyAlignment="1">
      <alignment horizontal="center" vertical="center"/>
    </xf>
    <xf numFmtId="10" fontId="53" fillId="0" borderId="32" xfId="0" applyNumberFormat="1" applyFont="1" applyFill="1" applyBorder="1" applyAlignment="1">
      <alignment horizontal="center" vertical="center"/>
    </xf>
    <xf numFmtId="10" fontId="53" fillId="0" borderId="21" xfId="0" applyNumberFormat="1" applyFont="1" applyFill="1" applyBorder="1" applyAlignment="1">
      <alignment horizontal="center" vertical="center"/>
    </xf>
    <xf numFmtId="10" fontId="53" fillId="0" borderId="38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49" fontId="53" fillId="0" borderId="42" xfId="0" applyNumberFormat="1" applyFont="1" applyFill="1" applyBorder="1" applyAlignment="1">
      <alignment horizontal="left" vertical="center"/>
    </xf>
    <xf numFmtId="49" fontId="54" fillId="0" borderId="48" xfId="0" applyNumberFormat="1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center" vertical="center"/>
    </xf>
    <xf numFmtId="164" fontId="54" fillId="0" borderId="32" xfId="0" applyNumberFormat="1" applyFont="1" applyFill="1" applyBorder="1" applyAlignment="1">
      <alignment horizontal="center" vertical="center"/>
    </xf>
    <xf numFmtId="164" fontId="53" fillId="0" borderId="21" xfId="0" applyNumberFormat="1" applyFont="1" applyFill="1" applyBorder="1" applyAlignment="1">
      <alignment horizontal="center" vertical="center"/>
    </xf>
    <xf numFmtId="164" fontId="53" fillId="0" borderId="38" xfId="0" applyNumberFormat="1" applyFont="1" applyFill="1" applyBorder="1" applyAlignment="1">
      <alignment horizontal="center" vertical="center"/>
    </xf>
    <xf numFmtId="164" fontId="54" fillId="0" borderId="17" xfId="0" applyNumberFormat="1" applyFont="1" applyFill="1" applyBorder="1" applyAlignment="1">
      <alignment horizontal="center" vertical="center"/>
    </xf>
    <xf numFmtId="164" fontId="54" fillId="0" borderId="38" xfId="0" applyNumberFormat="1" applyFont="1" applyFill="1" applyBorder="1" applyAlignment="1">
      <alignment horizontal="center" vertical="center"/>
    </xf>
    <xf numFmtId="164" fontId="54" fillId="0" borderId="50" xfId="0" applyNumberFormat="1" applyFont="1" applyFill="1" applyBorder="1" applyAlignment="1">
      <alignment horizontal="center" vertical="center"/>
    </xf>
    <xf numFmtId="164" fontId="53" fillId="0" borderId="51" xfId="0" applyNumberFormat="1" applyFont="1" applyFill="1" applyBorder="1" applyAlignment="1">
      <alignment horizontal="center" vertical="center"/>
    </xf>
    <xf numFmtId="164" fontId="53" fillId="0" borderId="52" xfId="0" applyNumberFormat="1" applyFont="1" applyFill="1" applyBorder="1" applyAlignment="1">
      <alignment horizontal="center" vertical="center"/>
    </xf>
    <xf numFmtId="49" fontId="53" fillId="0" borderId="29" xfId="0" applyNumberFormat="1" applyFont="1" applyFill="1" applyBorder="1" applyAlignment="1">
      <alignment horizontal="left" wrapText="1"/>
    </xf>
    <xf numFmtId="4" fontId="54" fillId="0" borderId="29" xfId="0" applyNumberFormat="1" applyFont="1" applyFill="1" applyBorder="1" applyAlignment="1">
      <alignment horizontal="center" vertical="center"/>
    </xf>
    <xf numFmtId="4" fontId="54" fillId="0" borderId="50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 horizontal="left"/>
    </xf>
    <xf numFmtId="49" fontId="51" fillId="0" borderId="42" xfId="0" applyNumberFormat="1" applyFont="1" applyFill="1" applyBorder="1" applyAlignment="1">
      <alignment horizontal="left" vertical="center"/>
    </xf>
    <xf numFmtId="4" fontId="51" fillId="0" borderId="30" xfId="0" applyNumberFormat="1" applyFont="1" applyFill="1" applyBorder="1" applyAlignment="1">
      <alignment horizontal="center" vertical="center"/>
    </xf>
    <xf numFmtId="4" fontId="51" fillId="0" borderId="31" xfId="0" applyNumberFormat="1" applyFont="1" applyFill="1" applyBorder="1" applyAlignment="1">
      <alignment horizontal="center" vertical="center"/>
    </xf>
    <xf numFmtId="4" fontId="51" fillId="0" borderId="32" xfId="0" applyNumberFormat="1" applyFont="1" applyFill="1" applyBorder="1" applyAlignment="1">
      <alignment horizontal="center" vertical="center"/>
    </xf>
    <xf numFmtId="4" fontId="51" fillId="0" borderId="33" xfId="0" applyNumberFormat="1" applyFont="1" applyFill="1" applyBorder="1" applyAlignment="1">
      <alignment horizontal="center" vertical="center"/>
    </xf>
    <xf numFmtId="4" fontId="51" fillId="0" borderId="34" xfId="0" applyNumberFormat="1" applyFont="1" applyFill="1" applyBorder="1" applyAlignment="1">
      <alignment horizontal="center" vertical="center"/>
    </xf>
    <xf numFmtId="4" fontId="51" fillId="0" borderId="36" xfId="0" applyNumberFormat="1" applyFont="1" applyFill="1" applyBorder="1" applyAlignment="1">
      <alignment horizontal="center" vertical="center"/>
    </xf>
    <xf numFmtId="4" fontId="51" fillId="0" borderId="38" xfId="0" applyNumberFormat="1" applyFont="1" applyFill="1" applyBorder="1" applyAlignment="1">
      <alignment horizontal="center" vertical="center"/>
    </xf>
    <xf numFmtId="4" fontId="51" fillId="0" borderId="40" xfId="0" applyNumberFormat="1" applyFont="1" applyFill="1" applyBorder="1" applyAlignment="1">
      <alignment horizontal="center" vertical="center"/>
    </xf>
    <xf numFmtId="4" fontId="51" fillId="0" borderId="3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164" fontId="54" fillId="0" borderId="16" xfId="0" applyNumberFormat="1" applyFont="1" applyFill="1" applyBorder="1" applyAlignment="1">
      <alignment horizontal="center" vertical="center" wrapText="1"/>
    </xf>
    <xf numFmtId="4" fontId="51" fillId="0" borderId="37" xfId="0" applyNumberFormat="1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 horizontal="center" vertical="center"/>
    </xf>
    <xf numFmtId="4" fontId="51" fillId="0" borderId="18" xfId="0" applyNumberFormat="1" applyFont="1" applyFill="1" applyBorder="1" applyAlignment="1">
      <alignment horizontal="center" vertical="center"/>
    </xf>
    <xf numFmtId="4" fontId="51" fillId="0" borderId="15" xfId="0" applyNumberFormat="1" applyFont="1" applyFill="1" applyBorder="1" applyAlignment="1">
      <alignment horizontal="center" vertical="center"/>
    </xf>
    <xf numFmtId="164" fontId="54" fillId="0" borderId="43" xfId="0" applyNumberFormat="1" applyFont="1" applyFill="1" applyBorder="1" applyAlignment="1">
      <alignment horizontal="center" vertical="center" wrapText="1"/>
    </xf>
    <xf numFmtId="164" fontId="55" fillId="0" borderId="41" xfId="0" applyNumberFormat="1" applyFont="1" applyFill="1" applyBorder="1" applyAlignment="1">
      <alignment horizontal="center" vertical="center"/>
    </xf>
    <xf numFmtId="164" fontId="51" fillId="0" borderId="29" xfId="0" applyNumberFormat="1" applyFont="1" applyFill="1" applyBorder="1" applyAlignment="1">
      <alignment horizontal="center" vertical="center"/>
    </xf>
    <xf numFmtId="164" fontId="51" fillId="0" borderId="35" xfId="0" applyNumberFormat="1" applyFont="1" applyFill="1" applyBorder="1" applyAlignment="1">
      <alignment horizontal="center" vertical="center"/>
    </xf>
    <xf numFmtId="164" fontId="55" fillId="0" borderId="16" xfId="0" applyNumberFormat="1" applyFont="1" applyFill="1" applyBorder="1" applyAlignment="1">
      <alignment horizontal="center" vertical="center"/>
    </xf>
    <xf numFmtId="164" fontId="55" fillId="0" borderId="35" xfId="0" applyNumberFormat="1" applyFont="1" applyFill="1" applyBorder="1" applyAlignment="1">
      <alignment horizontal="center" vertical="center"/>
    </xf>
    <xf numFmtId="164" fontId="55" fillId="0" borderId="50" xfId="0" applyNumberFormat="1" applyFont="1" applyFill="1" applyBorder="1" applyAlignment="1">
      <alignment horizontal="center" vertical="center"/>
    </xf>
    <xf numFmtId="4" fontId="54" fillId="0" borderId="45" xfId="0" applyNumberFormat="1" applyFont="1" applyFill="1" applyBorder="1" applyAlignment="1">
      <alignment vertical="center" wrapText="1"/>
    </xf>
    <xf numFmtId="10" fontId="53" fillId="0" borderId="32" xfId="0" applyNumberFormat="1" applyFont="1" applyFill="1" applyBorder="1" applyAlignment="1">
      <alignment vertical="center"/>
    </xf>
    <xf numFmtId="4" fontId="53" fillId="0" borderId="47" xfId="0" applyNumberFormat="1" applyFont="1" applyFill="1" applyBorder="1" applyAlignment="1">
      <alignment vertical="center"/>
    </xf>
    <xf numFmtId="10" fontId="53" fillId="0" borderId="21" xfId="0" applyNumberFormat="1" applyFont="1" applyFill="1" applyBorder="1" applyAlignment="1">
      <alignment vertical="center"/>
    </xf>
    <xf numFmtId="4" fontId="53" fillId="0" borderId="28" xfId="0" applyNumberFormat="1" applyFont="1" applyFill="1" applyBorder="1" applyAlignment="1">
      <alignment vertical="center"/>
    </xf>
    <xf numFmtId="4" fontId="53" fillId="0" borderId="47" xfId="0" applyNumberFormat="1" applyFont="1" applyFill="1" applyBorder="1" applyAlignment="1">
      <alignment vertical="center" wrapText="1"/>
    </xf>
    <xf numFmtId="4" fontId="53" fillId="0" borderId="46" xfId="0" applyNumberFormat="1" applyFont="1" applyFill="1" applyBorder="1" applyAlignment="1">
      <alignment vertical="center"/>
    </xf>
    <xf numFmtId="10" fontId="53" fillId="0" borderId="38" xfId="0" applyNumberFormat="1" applyFont="1" applyFill="1" applyBorder="1" applyAlignment="1">
      <alignment vertical="center"/>
    </xf>
    <xf numFmtId="49" fontId="54" fillId="0" borderId="44" xfId="0" applyNumberFormat="1" applyFont="1" applyFill="1" applyBorder="1" applyAlignment="1">
      <alignment vertical="center"/>
    </xf>
    <xf numFmtId="49" fontId="54" fillId="0" borderId="45" xfId="0" applyNumberFormat="1" applyFont="1" applyFill="1" applyBorder="1" applyAlignment="1">
      <alignment vertical="center"/>
    </xf>
    <xf numFmtId="49" fontId="54" fillId="0" borderId="46" xfId="0" applyNumberFormat="1" applyFont="1" applyFill="1" applyBorder="1" applyAlignment="1">
      <alignment vertical="center"/>
    </xf>
    <xf numFmtId="0" fontId="50" fillId="0" borderId="49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4" fontId="53" fillId="0" borderId="39" xfId="0" applyNumberFormat="1" applyFont="1" applyFill="1" applyBorder="1" applyAlignment="1">
      <alignment vertical="center"/>
    </xf>
    <xf numFmtId="49" fontId="54" fillId="0" borderId="53" xfId="0" applyNumberFormat="1" applyFon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9" fontId="54" fillId="0" borderId="54" xfId="0" applyNumberFormat="1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49" fontId="54" fillId="0" borderId="55" xfId="0" applyNumberFormat="1" applyFont="1" applyFill="1" applyBorder="1" applyAlignment="1">
      <alignment horizontal="left"/>
    </xf>
    <xf numFmtId="4" fontId="54" fillId="0" borderId="56" xfId="0" applyNumberFormat="1" applyFont="1" applyFill="1" applyBorder="1" applyAlignment="1">
      <alignment horizontal="center" vertical="center"/>
    </xf>
    <xf numFmtId="4" fontId="54" fillId="0" borderId="57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58" xfId="0" applyNumberFormat="1" applyFont="1" applyFill="1" applyBorder="1" applyAlignment="1">
      <alignment horizontal="center" vertical="center"/>
    </xf>
    <xf numFmtId="164" fontId="54" fillId="0" borderId="55" xfId="0" applyNumberFormat="1" applyFont="1" applyFill="1" applyBorder="1" applyAlignment="1">
      <alignment horizontal="center" vertical="center"/>
    </xf>
    <xf numFmtId="4" fontId="54" fillId="0" borderId="31" xfId="0" applyNumberFormat="1" applyFont="1" applyFill="1" applyBorder="1" applyAlignment="1">
      <alignment horizontal="center" vertical="center"/>
    </xf>
    <xf numFmtId="4" fontId="54" fillId="0" borderId="34" xfId="0" applyNumberFormat="1" applyFont="1" applyFill="1" applyBorder="1" applyAlignment="1">
      <alignment horizontal="center" vertical="center"/>
    </xf>
    <xf numFmtId="4" fontId="54" fillId="0" borderId="37" xfId="0" applyNumberFormat="1" applyFont="1" applyFill="1" applyBorder="1" applyAlignment="1">
      <alignment horizontal="center" vertical="center"/>
    </xf>
    <xf numFmtId="4" fontId="54" fillId="0" borderId="40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/>
    </xf>
    <xf numFmtId="4" fontId="54" fillId="0" borderId="15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left"/>
    </xf>
    <xf numFmtId="4" fontId="50" fillId="0" borderId="13" xfId="0" applyNumberFormat="1" applyFont="1" applyFill="1" applyBorder="1" applyAlignment="1">
      <alignment horizontal="center" vertical="center"/>
    </xf>
    <xf numFmtId="4" fontId="50" fillId="0" borderId="18" xfId="0" applyNumberFormat="1" applyFont="1" applyFill="1" applyBorder="1" applyAlignment="1">
      <alignment horizontal="center" vertical="center"/>
    </xf>
    <xf numFmtId="4" fontId="53" fillId="0" borderId="30" xfId="0" applyNumberFormat="1" applyFont="1" applyFill="1" applyBorder="1" applyAlignment="1">
      <alignment vertical="center"/>
    </xf>
    <xf numFmtId="4" fontId="53" fillId="0" borderId="31" xfId="0" applyNumberFormat="1" applyFont="1" applyFill="1" applyBorder="1" applyAlignment="1">
      <alignment vertical="center"/>
    </xf>
    <xf numFmtId="4" fontId="53" fillId="0" borderId="32" xfId="0" applyNumberFormat="1" applyFont="1" applyFill="1" applyBorder="1" applyAlignment="1">
      <alignment vertical="center"/>
    </xf>
    <xf numFmtId="4" fontId="53" fillId="0" borderId="33" xfId="0" applyNumberFormat="1" applyFont="1" applyFill="1" applyBorder="1" applyAlignment="1">
      <alignment vertical="center"/>
    </xf>
    <xf numFmtId="4" fontId="53" fillId="0" borderId="34" xfId="0" applyNumberFormat="1" applyFont="1" applyFill="1" applyBorder="1" applyAlignment="1">
      <alignment vertical="center"/>
    </xf>
    <xf numFmtId="49" fontId="53" fillId="0" borderId="29" xfId="0" applyNumberFormat="1" applyFont="1" applyFill="1" applyBorder="1" applyAlignment="1">
      <alignment vertical="center"/>
    </xf>
    <xf numFmtId="4" fontId="53" fillId="0" borderId="19" xfId="0" applyNumberFormat="1" applyFont="1" applyFill="1" applyBorder="1" applyAlignment="1">
      <alignment vertical="center"/>
    </xf>
    <xf numFmtId="4" fontId="53" fillId="0" borderId="20" xfId="0" applyNumberFormat="1" applyFont="1" applyFill="1" applyBorder="1" applyAlignment="1">
      <alignment vertical="center"/>
    </xf>
    <xf numFmtId="4" fontId="53" fillId="0" borderId="21" xfId="0" applyNumberFormat="1" applyFont="1" applyFill="1" applyBorder="1" applyAlignment="1">
      <alignment vertical="center"/>
    </xf>
    <xf numFmtId="4" fontId="53" fillId="0" borderId="22" xfId="0" applyNumberFormat="1" applyFont="1" applyFill="1" applyBorder="1" applyAlignment="1">
      <alignment vertical="center"/>
    </xf>
    <xf numFmtId="49" fontId="53" fillId="0" borderId="29" xfId="0" applyNumberFormat="1" applyFont="1" applyFill="1" applyBorder="1" applyAlignment="1">
      <alignment vertical="center" wrapText="1"/>
    </xf>
    <xf numFmtId="49" fontId="53" fillId="0" borderId="35" xfId="0" applyNumberFormat="1" applyFont="1" applyFill="1" applyBorder="1" applyAlignment="1">
      <alignment vertical="center"/>
    </xf>
    <xf numFmtId="4" fontId="53" fillId="0" borderId="36" xfId="0" applyNumberFormat="1" applyFont="1" applyFill="1" applyBorder="1" applyAlignment="1">
      <alignment vertical="center"/>
    </xf>
    <xf numFmtId="4" fontId="53" fillId="0" borderId="37" xfId="0" applyNumberFormat="1" applyFont="1" applyFill="1" applyBorder="1" applyAlignment="1">
      <alignment vertical="center"/>
    </xf>
    <xf numFmtId="4" fontId="53" fillId="0" borderId="38" xfId="0" applyNumberFormat="1" applyFont="1" applyFill="1" applyBorder="1" applyAlignment="1">
      <alignment vertical="center"/>
    </xf>
    <xf numFmtId="4" fontId="53" fillId="0" borderId="40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" fontId="53" fillId="0" borderId="13" xfId="0" applyNumberFormat="1" applyFont="1" applyFill="1" applyBorder="1" applyAlignment="1">
      <alignment vertical="center"/>
    </xf>
    <xf numFmtId="4" fontId="53" fillId="0" borderId="14" xfId="0" applyNumberFormat="1" applyFont="1" applyFill="1" applyBorder="1" applyAlignment="1">
      <alignment vertical="center"/>
    </xf>
    <xf numFmtId="4" fontId="53" fillId="0" borderId="17" xfId="0" applyNumberFormat="1" applyFont="1" applyFill="1" applyBorder="1" applyAlignment="1">
      <alignment vertical="center"/>
    </xf>
    <xf numFmtId="4" fontId="53" fillId="0" borderId="18" xfId="0" applyNumberFormat="1" applyFont="1" applyFill="1" applyBorder="1" applyAlignment="1">
      <alignment vertical="center"/>
    </xf>
    <xf numFmtId="4" fontId="53" fillId="0" borderId="15" xfId="0" applyNumberFormat="1" applyFont="1" applyFill="1" applyBorder="1" applyAlignment="1">
      <alignment vertical="center"/>
    </xf>
    <xf numFmtId="49" fontId="53" fillId="0" borderId="41" xfId="0" applyNumberFormat="1" applyFont="1" applyFill="1" applyBorder="1" applyAlignment="1">
      <alignment vertical="center"/>
    </xf>
    <xf numFmtId="49" fontId="53" fillId="0" borderId="42" xfId="0" applyNumberFormat="1" applyFont="1" applyFill="1" applyBorder="1" applyAlignment="1">
      <alignment vertical="center"/>
    </xf>
    <xf numFmtId="4" fontId="53" fillId="0" borderId="23" xfId="0" applyNumberFormat="1" applyFont="1" applyFill="1" applyBorder="1" applyAlignment="1">
      <alignment vertical="center"/>
    </xf>
    <xf numFmtId="4" fontId="53" fillId="0" borderId="24" xfId="0" applyNumberFormat="1" applyFont="1" applyFill="1" applyBorder="1" applyAlignment="1">
      <alignment vertical="center"/>
    </xf>
    <xf numFmtId="4" fontId="53" fillId="0" borderId="25" xfId="0" applyNumberFormat="1" applyFont="1" applyFill="1" applyBorder="1" applyAlignment="1">
      <alignment vertical="center"/>
    </xf>
    <xf numFmtId="4" fontId="53" fillId="0" borderId="26" xfId="0" applyNumberFormat="1" applyFont="1" applyFill="1" applyBorder="1" applyAlignment="1">
      <alignment vertical="center"/>
    </xf>
    <xf numFmtId="4" fontId="53" fillId="0" borderId="27" xfId="0" applyNumberFormat="1" applyFont="1" applyFill="1" applyBorder="1" applyAlignment="1">
      <alignment vertical="center"/>
    </xf>
    <xf numFmtId="4" fontId="50" fillId="0" borderId="23" xfId="0" applyNumberFormat="1" applyFont="1" applyFill="1" applyBorder="1" applyAlignment="1">
      <alignment vertical="center"/>
    </xf>
    <xf numFmtId="4" fontId="50" fillId="0" borderId="26" xfId="0" applyNumberFormat="1" applyFont="1" applyFill="1" applyBorder="1" applyAlignment="1">
      <alignment vertical="center"/>
    </xf>
    <xf numFmtId="167" fontId="53" fillId="0" borderId="22" xfId="0" applyNumberFormat="1" applyFont="1" applyFill="1" applyBorder="1" applyAlignment="1">
      <alignment horizontal="center" vertical="center"/>
    </xf>
    <xf numFmtId="167" fontId="53" fillId="0" borderId="40" xfId="0" applyNumberFormat="1" applyFont="1" applyFill="1" applyBorder="1" applyAlignment="1">
      <alignment horizontal="center" vertical="center"/>
    </xf>
    <xf numFmtId="49" fontId="54" fillId="0" borderId="55" xfId="0" applyNumberFormat="1" applyFont="1" applyFill="1" applyBorder="1" applyAlignment="1">
      <alignment horizontal="left" vertical="center"/>
    </xf>
    <xf numFmtId="164" fontId="54" fillId="0" borderId="45" xfId="0" applyNumberFormat="1" applyFont="1" applyFill="1" applyBorder="1" applyAlignment="1">
      <alignment horizontal="center" vertical="center"/>
    </xf>
    <xf numFmtId="164" fontId="53" fillId="0" borderId="47" xfId="0" applyNumberFormat="1" applyFont="1" applyFill="1" applyBorder="1" applyAlignment="1">
      <alignment horizontal="center" vertical="center"/>
    </xf>
    <xf numFmtId="164" fontId="53" fillId="0" borderId="46" xfId="0" applyNumberFormat="1" applyFont="1" applyFill="1" applyBorder="1" applyAlignment="1">
      <alignment horizontal="center" vertical="center"/>
    </xf>
    <xf numFmtId="164" fontId="54" fillId="0" borderId="53" xfId="0" applyNumberFormat="1" applyFont="1" applyFill="1" applyBorder="1" applyAlignment="1">
      <alignment horizontal="center" vertical="center"/>
    </xf>
    <xf numFmtId="164" fontId="54" fillId="0" borderId="59" xfId="0" applyNumberFormat="1" applyFont="1" applyFill="1" applyBorder="1" applyAlignment="1">
      <alignment horizontal="center" vertical="center"/>
    </xf>
    <xf numFmtId="164" fontId="54" fillId="0" borderId="46" xfId="0" applyNumberFormat="1" applyFont="1" applyFill="1" applyBorder="1" applyAlignment="1">
      <alignment horizontal="center" vertical="center"/>
    </xf>
    <xf numFmtId="164" fontId="54" fillId="0" borderId="44" xfId="0" applyNumberFormat="1" applyFont="1" applyFill="1" applyBorder="1" applyAlignment="1">
      <alignment horizontal="center" vertical="center"/>
    </xf>
    <xf numFmtId="164" fontId="54" fillId="0" borderId="48" xfId="0" applyNumberFormat="1" applyFont="1" applyFill="1" applyBorder="1" applyAlignment="1">
      <alignment horizontal="center" vertical="center"/>
    </xf>
    <xf numFmtId="4" fontId="53" fillId="0" borderId="56" xfId="0" applyNumberFormat="1" applyFont="1" applyFill="1" applyBorder="1" applyAlignment="1">
      <alignment horizontal="center" vertical="center"/>
    </xf>
    <xf numFmtId="4" fontId="53" fillId="0" borderId="57" xfId="0" applyNumberFormat="1" applyFont="1" applyFill="1" applyBorder="1" applyAlignment="1">
      <alignment horizontal="center" vertical="center"/>
    </xf>
    <xf numFmtId="4" fontId="53" fillId="0" borderId="12" xfId="0" applyNumberFormat="1" applyFont="1" applyFill="1" applyBorder="1" applyAlignment="1">
      <alignment horizontal="center" vertical="center"/>
    </xf>
    <xf numFmtId="4" fontId="53" fillId="0" borderId="58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 vertical="center"/>
    </xf>
    <xf numFmtId="164" fontId="54" fillId="0" borderId="60" xfId="0" applyNumberFormat="1" applyFont="1" applyFill="1" applyBorder="1" applyAlignment="1">
      <alignment horizontal="center" vertical="center"/>
    </xf>
    <xf numFmtId="166" fontId="54" fillId="0" borderId="16" xfId="0" applyNumberFormat="1" applyFont="1" applyFill="1" applyBorder="1" applyAlignment="1">
      <alignment horizontal="center" vertical="center" wrapText="1"/>
    </xf>
    <xf numFmtId="49" fontId="54" fillId="0" borderId="61" xfId="0" applyNumberFormat="1" applyFont="1" applyFill="1" applyBorder="1" applyAlignment="1">
      <alignment horizontal="left" vertical="center"/>
    </xf>
    <xf numFmtId="49" fontId="54" fillId="0" borderId="62" xfId="0" applyNumberFormat="1" applyFont="1" applyFill="1" applyBorder="1" applyAlignment="1">
      <alignment horizontal="center" vertical="center"/>
    </xf>
    <xf numFmtId="4" fontId="51" fillId="0" borderId="63" xfId="0" applyNumberFormat="1" applyFont="1" applyFill="1" applyBorder="1" applyAlignment="1">
      <alignment horizontal="center" vertical="center"/>
    </xf>
    <xf numFmtId="4" fontId="51" fillId="0" borderId="64" xfId="0" applyNumberFormat="1" applyFont="1" applyFill="1" applyBorder="1" applyAlignment="1">
      <alignment horizontal="center" vertical="center"/>
    </xf>
    <xf numFmtId="4" fontId="51" fillId="0" borderId="65" xfId="0" applyNumberFormat="1" applyFont="1" applyFill="1" applyBorder="1" applyAlignment="1">
      <alignment horizontal="center" vertical="center"/>
    </xf>
    <xf numFmtId="4" fontId="51" fillId="0" borderId="66" xfId="0" applyNumberFormat="1" applyFont="1" applyFill="1" applyBorder="1" applyAlignment="1">
      <alignment horizontal="center" vertical="center"/>
    </xf>
    <xf numFmtId="4" fontId="51" fillId="0" borderId="67" xfId="0" applyNumberFormat="1" applyFont="1" applyFill="1" applyBorder="1" applyAlignment="1">
      <alignment horizontal="center" vertical="center"/>
    </xf>
    <xf numFmtId="164" fontId="55" fillId="0" borderId="61" xfId="0" applyNumberFormat="1" applyFont="1" applyFill="1" applyBorder="1" applyAlignment="1">
      <alignment horizontal="center" vertical="center"/>
    </xf>
    <xf numFmtId="164" fontId="53" fillId="0" borderId="32" xfId="0" applyNumberFormat="1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/>
    </xf>
    <xf numFmtId="0" fontId="56" fillId="0" borderId="49" xfId="0" applyFont="1" applyFill="1" applyBorder="1" applyAlignment="1">
      <alignment/>
    </xf>
    <xf numFmtId="164" fontId="56" fillId="0" borderId="49" xfId="0" applyNumberFormat="1" applyFont="1" applyFill="1" applyBorder="1" applyAlignment="1">
      <alignment/>
    </xf>
    <xf numFmtId="164" fontId="50" fillId="0" borderId="49" xfId="0" applyNumberFormat="1" applyFont="1" applyFill="1" applyBorder="1" applyAlignment="1">
      <alignment/>
    </xf>
    <xf numFmtId="164" fontId="54" fillId="0" borderId="29" xfId="0" applyNumberFormat="1" applyFont="1" applyFill="1" applyBorder="1" applyAlignment="1">
      <alignment horizontal="center" vertical="center"/>
    </xf>
    <xf numFmtId="164" fontId="54" fillId="0" borderId="68" xfId="0" applyNumberFormat="1" applyFont="1" applyFill="1" applyBorder="1" applyAlignment="1">
      <alignment horizontal="center" vertical="center"/>
    </xf>
    <xf numFmtId="4" fontId="54" fillId="0" borderId="69" xfId="0" applyNumberFormat="1" applyFont="1" applyFill="1" applyBorder="1" applyAlignment="1">
      <alignment horizontal="center" vertical="center"/>
    </xf>
    <xf numFmtId="4" fontId="54" fillId="0" borderId="52" xfId="0" applyNumberFormat="1" applyFont="1" applyFill="1" applyBorder="1" applyAlignment="1">
      <alignment horizontal="center" vertical="center"/>
    </xf>
    <xf numFmtId="4" fontId="54" fillId="0" borderId="43" xfId="0" applyNumberFormat="1" applyFont="1" applyFill="1" applyBorder="1" applyAlignment="1">
      <alignment horizontal="center" vertical="center"/>
    </xf>
    <xf numFmtId="4" fontId="54" fillId="0" borderId="70" xfId="0" applyNumberFormat="1" applyFont="1" applyFill="1" applyBorder="1" applyAlignment="1">
      <alignment horizontal="center" vertical="center"/>
    </xf>
    <xf numFmtId="164" fontId="54" fillId="0" borderId="69" xfId="0" applyNumberFormat="1" applyFont="1" applyFill="1" applyBorder="1" applyAlignment="1">
      <alignment horizontal="center" vertical="center"/>
    </xf>
    <xf numFmtId="164" fontId="54" fillId="0" borderId="52" xfId="0" applyNumberFormat="1" applyFont="1" applyFill="1" applyBorder="1" applyAlignment="1">
      <alignment horizontal="center" vertical="center"/>
    </xf>
    <xf numFmtId="164" fontId="54" fillId="0" borderId="43" xfId="0" applyNumberFormat="1" applyFont="1" applyFill="1" applyBorder="1" applyAlignment="1">
      <alignment horizontal="center" vertical="center"/>
    </xf>
    <xf numFmtId="164" fontId="55" fillId="0" borderId="42" xfId="0" applyNumberFormat="1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left" vertical="center"/>
    </xf>
    <xf numFmtId="4" fontId="53" fillId="0" borderId="71" xfId="0" applyNumberFormat="1" applyFont="1" applyFill="1" applyBorder="1" applyAlignment="1">
      <alignment horizontal="center" vertical="center"/>
    </xf>
    <xf numFmtId="4" fontId="53" fillId="0" borderId="72" xfId="0" applyNumberFormat="1" applyFont="1" applyFill="1" applyBorder="1" applyAlignment="1">
      <alignment horizontal="center" vertical="center"/>
    </xf>
    <xf numFmtId="4" fontId="53" fillId="0" borderId="49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" fontId="53" fillId="0" borderId="73" xfId="0" applyNumberFormat="1" applyFont="1" applyFill="1" applyBorder="1" applyAlignment="1">
      <alignment horizontal="center" vertical="center"/>
    </xf>
    <xf numFmtId="4" fontId="54" fillId="0" borderId="74" xfId="0" applyNumberFormat="1" applyFont="1" applyFill="1" applyBorder="1" applyAlignment="1">
      <alignment horizontal="center" vertical="center"/>
    </xf>
    <xf numFmtId="165" fontId="53" fillId="0" borderId="17" xfId="0" applyNumberFormat="1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left"/>
    </xf>
    <xf numFmtId="49" fontId="53" fillId="0" borderId="50" xfId="0" applyNumberFormat="1" applyFont="1" applyFill="1" applyBorder="1" applyAlignment="1">
      <alignment vertical="center"/>
    </xf>
    <xf numFmtId="4" fontId="53" fillId="0" borderId="71" xfId="0" applyNumberFormat="1" applyFont="1" applyFill="1" applyBorder="1" applyAlignment="1">
      <alignment vertical="center"/>
    </xf>
    <xf numFmtId="4" fontId="53" fillId="0" borderId="72" xfId="0" applyNumberFormat="1" applyFont="1" applyFill="1" applyBorder="1" applyAlignment="1">
      <alignment vertical="center"/>
    </xf>
    <xf numFmtId="4" fontId="53" fillId="0" borderId="49" xfId="0" applyNumberFormat="1" applyFont="1" applyFill="1" applyBorder="1" applyAlignment="1">
      <alignment vertical="center"/>
    </xf>
    <xf numFmtId="4" fontId="53" fillId="0" borderId="11" xfId="0" applyNumberFormat="1" applyFont="1" applyFill="1" applyBorder="1" applyAlignment="1">
      <alignment vertical="center"/>
    </xf>
    <xf numFmtId="4" fontId="53" fillId="0" borderId="73" xfId="0" applyNumberFormat="1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vertical="center"/>
    </xf>
    <xf numFmtId="49" fontId="59" fillId="0" borderId="35" xfId="0" applyNumberFormat="1" applyFont="1" applyFill="1" applyBorder="1" applyAlignment="1">
      <alignment horizontal="left" vertical="center"/>
    </xf>
    <xf numFmtId="49" fontId="54" fillId="0" borderId="42" xfId="0" applyNumberFormat="1" applyFont="1" applyFill="1" applyBorder="1" applyAlignment="1">
      <alignment horizontal="left"/>
    </xf>
    <xf numFmtId="49" fontId="53" fillId="0" borderId="49" xfId="0" applyNumberFormat="1" applyFont="1" applyFill="1" applyBorder="1" applyAlignment="1">
      <alignment horizontal="center" vertical="center"/>
    </xf>
    <xf numFmtId="4" fontId="51" fillId="0" borderId="71" xfId="0" applyNumberFormat="1" applyFont="1" applyFill="1" applyBorder="1" applyAlignment="1">
      <alignment horizontal="center" vertical="center"/>
    </xf>
    <xf numFmtId="4" fontId="51" fillId="0" borderId="72" xfId="0" applyNumberFormat="1" applyFont="1" applyFill="1" applyBorder="1" applyAlignment="1">
      <alignment horizontal="center" vertical="center"/>
    </xf>
    <xf numFmtId="4" fontId="51" fillId="0" borderId="49" xfId="0" applyNumberFormat="1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4" fontId="51" fillId="0" borderId="73" xfId="0" applyNumberFormat="1" applyFont="1" applyFill="1" applyBorder="1" applyAlignment="1">
      <alignment horizontal="center" vertical="center"/>
    </xf>
    <xf numFmtId="164" fontId="53" fillId="0" borderId="49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/>
    </xf>
    <xf numFmtId="4" fontId="54" fillId="0" borderId="71" xfId="0" applyNumberFormat="1" applyFont="1" applyFill="1" applyBorder="1" applyAlignment="1">
      <alignment horizontal="center" vertical="center"/>
    </xf>
    <xf numFmtId="4" fontId="54" fillId="0" borderId="72" xfId="0" applyNumberFormat="1" applyFont="1" applyFill="1" applyBorder="1" applyAlignment="1">
      <alignment horizontal="center" vertical="center"/>
    </xf>
    <xf numFmtId="4" fontId="54" fillId="0" borderId="49" xfId="0" applyNumberFormat="1" applyFont="1" applyFill="1" applyBorder="1" applyAlignment="1">
      <alignment horizontal="center" vertical="center"/>
    </xf>
    <xf numFmtId="4" fontId="54" fillId="0" borderId="11" xfId="0" applyNumberFormat="1" applyFont="1" applyFill="1" applyBorder="1" applyAlignment="1">
      <alignment horizontal="center" vertical="center"/>
    </xf>
    <xf numFmtId="4" fontId="54" fillId="0" borderId="73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/>
    </xf>
    <xf numFmtId="164" fontId="56" fillId="0" borderId="17" xfId="0" applyNumberFormat="1" applyFont="1" applyFill="1" applyBorder="1" applyAlignment="1">
      <alignment/>
    </xf>
    <xf numFmtId="164" fontId="50" fillId="0" borderId="17" xfId="0" applyNumberFormat="1" applyFont="1" applyFill="1" applyBorder="1" applyAlignment="1">
      <alignment/>
    </xf>
    <xf numFmtId="49" fontId="60" fillId="0" borderId="41" xfId="0" applyNumberFormat="1" applyFont="1" applyFill="1" applyBorder="1" applyAlignment="1">
      <alignment horizontal="left" vertical="center" wrapText="1"/>
    </xf>
    <xf numFmtId="4" fontId="60" fillId="0" borderId="45" xfId="0" applyNumberFormat="1" applyFont="1" applyFill="1" applyBorder="1" applyAlignment="1">
      <alignment horizontal="center" vertical="center" wrapText="1"/>
    </xf>
    <xf numFmtId="4" fontId="59" fillId="0" borderId="30" xfId="0" applyNumberFormat="1" applyFont="1" applyFill="1" applyBorder="1" applyAlignment="1">
      <alignment horizontal="center" vertical="center"/>
    </xf>
    <xf numFmtId="4" fontId="59" fillId="0" borderId="31" xfId="0" applyNumberFormat="1" applyFont="1" applyFill="1" applyBorder="1" applyAlignment="1">
      <alignment horizontal="center" vertical="center"/>
    </xf>
    <xf numFmtId="4" fontId="59" fillId="0" borderId="32" xfId="0" applyNumberFormat="1" applyFont="1" applyFill="1" applyBorder="1" applyAlignment="1">
      <alignment horizontal="center" vertical="center"/>
    </xf>
    <xf numFmtId="4" fontId="59" fillId="0" borderId="33" xfId="0" applyNumberFormat="1" applyFont="1" applyFill="1" applyBorder="1" applyAlignment="1">
      <alignment horizontal="center" vertical="center"/>
    </xf>
    <xf numFmtId="4" fontId="59" fillId="0" borderId="34" xfId="0" applyNumberFormat="1" applyFont="1" applyFill="1" applyBorder="1" applyAlignment="1">
      <alignment horizontal="center" vertical="center"/>
    </xf>
    <xf numFmtId="10" fontId="59" fillId="0" borderId="32" xfId="0" applyNumberFormat="1" applyFont="1" applyFill="1" applyBorder="1" applyAlignment="1">
      <alignment horizontal="center" vertical="center"/>
    </xf>
    <xf numFmtId="164" fontId="60" fillId="0" borderId="4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59" fillId="0" borderId="29" xfId="0" applyNumberFormat="1" applyFont="1" applyFill="1" applyBorder="1" applyAlignment="1">
      <alignment horizontal="left" vertical="center"/>
    </xf>
    <xf numFmtId="4" fontId="59" fillId="0" borderId="47" xfId="0" applyNumberFormat="1" applyFont="1" applyFill="1" applyBorder="1" applyAlignment="1">
      <alignment horizontal="center" vertical="center"/>
    </xf>
    <xf numFmtId="4" fontId="59" fillId="0" borderId="19" xfId="0" applyNumberFormat="1" applyFont="1" applyFill="1" applyBorder="1" applyAlignment="1">
      <alignment horizontal="center" vertical="center"/>
    </xf>
    <xf numFmtId="4" fontId="59" fillId="0" borderId="20" xfId="0" applyNumberFormat="1" applyFont="1" applyFill="1" applyBorder="1" applyAlignment="1">
      <alignment horizontal="center" vertical="center"/>
    </xf>
    <xf numFmtId="4" fontId="59" fillId="0" borderId="21" xfId="0" applyNumberFormat="1" applyFont="1" applyFill="1" applyBorder="1" applyAlignment="1">
      <alignment horizontal="center" vertical="center"/>
    </xf>
    <xf numFmtId="4" fontId="59" fillId="0" borderId="28" xfId="0" applyNumberFormat="1" applyFont="1" applyFill="1" applyBorder="1" applyAlignment="1">
      <alignment horizontal="center" vertical="center"/>
    </xf>
    <xf numFmtId="4" fontId="59" fillId="0" borderId="22" xfId="0" applyNumberFormat="1" applyFont="1" applyFill="1" applyBorder="1" applyAlignment="1">
      <alignment horizontal="center" vertical="center"/>
    </xf>
    <xf numFmtId="10" fontId="59" fillId="0" borderId="21" xfId="0" applyNumberFormat="1" applyFont="1" applyFill="1" applyBorder="1" applyAlignment="1">
      <alignment horizontal="center" vertical="center"/>
    </xf>
    <xf numFmtId="164" fontId="59" fillId="0" borderId="29" xfId="0" applyNumberFormat="1" applyFont="1" applyFill="1" applyBorder="1" applyAlignment="1">
      <alignment horizontal="center" vertical="center"/>
    </xf>
    <xf numFmtId="164" fontId="60" fillId="0" borderId="29" xfId="0" applyNumberFormat="1" applyFont="1" applyFill="1" applyBorder="1" applyAlignment="1">
      <alignment horizontal="center" vertical="center"/>
    </xf>
    <xf numFmtId="49" fontId="59" fillId="0" borderId="29" xfId="0" applyNumberFormat="1" applyFont="1" applyFill="1" applyBorder="1" applyAlignment="1">
      <alignment horizontal="left" vertical="center" wrapText="1"/>
    </xf>
    <xf numFmtId="4" fontId="59" fillId="0" borderId="47" xfId="0" applyNumberFormat="1" applyFont="1" applyFill="1" applyBorder="1" applyAlignment="1">
      <alignment horizontal="center" vertical="center" wrapText="1"/>
    </xf>
    <xf numFmtId="4" fontId="59" fillId="0" borderId="46" xfId="0" applyNumberFormat="1" applyFont="1" applyFill="1" applyBorder="1" applyAlignment="1">
      <alignment horizontal="center" vertical="center"/>
    </xf>
    <xf numFmtId="4" fontId="59" fillId="0" borderId="36" xfId="0" applyNumberFormat="1" applyFont="1" applyFill="1" applyBorder="1" applyAlignment="1">
      <alignment horizontal="center" vertical="center"/>
    </xf>
    <xf numFmtId="4" fontId="59" fillId="0" borderId="37" xfId="0" applyNumberFormat="1" applyFont="1" applyFill="1" applyBorder="1" applyAlignment="1">
      <alignment horizontal="center" vertical="center"/>
    </xf>
    <xf numFmtId="4" fontId="59" fillId="0" borderId="38" xfId="0" applyNumberFormat="1" applyFont="1" applyFill="1" applyBorder="1" applyAlignment="1">
      <alignment horizontal="center" vertical="center"/>
    </xf>
    <xf numFmtId="4" fontId="59" fillId="0" borderId="39" xfId="0" applyNumberFormat="1" applyFont="1" applyFill="1" applyBorder="1" applyAlignment="1">
      <alignment horizontal="center" vertical="center"/>
    </xf>
    <xf numFmtId="4" fontId="59" fillId="0" borderId="40" xfId="0" applyNumberFormat="1" applyFont="1" applyFill="1" applyBorder="1" applyAlignment="1">
      <alignment horizontal="center" vertical="center"/>
    </xf>
    <xf numFmtId="10" fontId="59" fillId="0" borderId="38" xfId="0" applyNumberFormat="1" applyFont="1" applyFill="1" applyBorder="1" applyAlignment="1">
      <alignment horizontal="center" vertical="center"/>
    </xf>
    <xf numFmtId="164" fontId="59" fillId="0" borderId="35" xfId="0" applyNumberFormat="1" applyFont="1" applyFill="1" applyBorder="1" applyAlignment="1">
      <alignment horizontal="center" vertical="center"/>
    </xf>
    <xf numFmtId="164" fontId="60" fillId="0" borderId="35" xfId="0" applyNumberFormat="1" applyFont="1" applyFill="1" applyBorder="1" applyAlignment="1">
      <alignment horizontal="center" vertical="center"/>
    </xf>
    <xf numFmtId="49" fontId="60" fillId="0" borderId="16" xfId="0" applyNumberFormat="1" applyFont="1" applyFill="1" applyBorder="1" applyAlignment="1">
      <alignment horizontal="left" vertical="center"/>
    </xf>
    <xf numFmtId="49" fontId="60" fillId="0" borderId="44" xfId="0" applyNumberFormat="1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  <xf numFmtId="4" fontId="59" fillId="0" borderId="14" xfId="0" applyNumberFormat="1" applyFont="1" applyFill="1" applyBorder="1" applyAlignment="1">
      <alignment horizontal="center" vertical="center"/>
    </xf>
    <xf numFmtId="4" fontId="59" fillId="0" borderId="17" xfId="0" applyNumberFormat="1" applyFont="1" applyFill="1" applyBorder="1" applyAlignment="1">
      <alignment horizontal="center" vertical="center"/>
    </xf>
    <xf numFmtId="4" fontId="59" fillId="0" borderId="18" xfId="0" applyNumberFormat="1" applyFont="1" applyFill="1" applyBorder="1" applyAlignment="1">
      <alignment horizontal="center" vertical="center"/>
    </xf>
    <xf numFmtId="4" fontId="59" fillId="0" borderId="15" xfId="0" applyNumberFormat="1" applyFont="1" applyFill="1" applyBorder="1" applyAlignment="1">
      <alignment horizontal="center" vertical="center"/>
    </xf>
    <xf numFmtId="164" fontId="60" fillId="0" borderId="16" xfId="0" applyNumberFormat="1" applyFont="1" applyFill="1" applyBorder="1" applyAlignment="1">
      <alignment horizontal="center" vertical="center"/>
    </xf>
    <xf numFmtId="49" fontId="60" fillId="0" borderId="41" xfId="0" applyNumberFormat="1" applyFont="1" applyFill="1" applyBorder="1" applyAlignment="1">
      <alignment horizontal="left" vertical="center"/>
    </xf>
    <xf numFmtId="49" fontId="60" fillId="0" borderId="45" xfId="0" applyNumberFormat="1" applyFont="1" applyFill="1" applyBorder="1" applyAlignment="1">
      <alignment horizontal="center" vertical="center"/>
    </xf>
    <xf numFmtId="164" fontId="60" fillId="0" borderId="68" xfId="0" applyNumberFormat="1" applyFont="1" applyFill="1" applyBorder="1" applyAlignment="1">
      <alignment horizontal="center" vertical="center"/>
    </xf>
    <xf numFmtId="49" fontId="60" fillId="0" borderId="35" xfId="0" applyNumberFormat="1" applyFont="1" applyFill="1" applyBorder="1" applyAlignment="1">
      <alignment horizontal="left" vertical="center"/>
    </xf>
    <xf numFmtId="49" fontId="60" fillId="0" borderId="46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165" fontId="59" fillId="0" borderId="17" xfId="0" applyNumberFormat="1" applyFont="1" applyFill="1" applyBorder="1" applyAlignment="1">
      <alignment horizontal="center" vertical="center"/>
    </xf>
    <xf numFmtId="49" fontId="60" fillId="0" borderId="50" xfId="0" applyNumberFormat="1" applyFont="1" applyFill="1" applyBorder="1" applyAlignment="1">
      <alignment horizontal="left" vertical="center"/>
    </xf>
    <xf numFmtId="0" fontId="59" fillId="0" borderId="49" xfId="0" applyFont="1" applyFill="1" applyBorder="1" applyAlignment="1">
      <alignment horizontal="center" vertical="center"/>
    </xf>
    <xf numFmtId="4" fontId="59" fillId="0" borderId="71" xfId="0" applyNumberFormat="1" applyFont="1" applyFill="1" applyBorder="1" applyAlignment="1">
      <alignment horizontal="center" vertical="center"/>
    </xf>
    <xf numFmtId="4" fontId="59" fillId="0" borderId="72" xfId="0" applyNumberFormat="1" applyFont="1" applyFill="1" applyBorder="1" applyAlignment="1">
      <alignment horizontal="center" vertical="center"/>
    </xf>
    <xf numFmtId="4" fontId="59" fillId="0" borderId="49" xfId="0" applyNumberFormat="1" applyFont="1" applyFill="1" applyBorder="1" applyAlignment="1">
      <alignment horizontal="center" vertical="center"/>
    </xf>
    <xf numFmtId="4" fontId="59" fillId="0" borderId="11" xfId="0" applyNumberFormat="1" applyFont="1" applyFill="1" applyBorder="1" applyAlignment="1">
      <alignment horizontal="center" vertical="center"/>
    </xf>
    <xf numFmtId="4" fontId="59" fillId="0" borderId="73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64" fontId="60" fillId="0" borderId="50" xfId="0" applyNumberFormat="1" applyFont="1" applyFill="1" applyBorder="1" applyAlignment="1">
      <alignment horizontal="center" vertical="center"/>
    </xf>
    <xf numFmtId="49" fontId="59" fillId="0" borderId="42" xfId="0" applyNumberFormat="1" applyFont="1" applyFill="1" applyBorder="1" applyAlignment="1">
      <alignment horizontal="left" vertical="center"/>
    </xf>
    <xf numFmtId="4" fontId="59" fillId="0" borderId="23" xfId="0" applyNumberFormat="1" applyFont="1" applyFill="1" applyBorder="1" applyAlignment="1">
      <alignment horizontal="center" vertical="center"/>
    </xf>
    <xf numFmtId="4" fontId="59" fillId="0" borderId="24" xfId="0" applyNumberFormat="1" applyFont="1" applyFill="1" applyBorder="1" applyAlignment="1">
      <alignment horizontal="center" vertical="center"/>
    </xf>
    <xf numFmtId="4" fontId="59" fillId="0" borderId="25" xfId="0" applyNumberFormat="1" applyFont="1" applyFill="1" applyBorder="1" applyAlignment="1">
      <alignment horizontal="center" vertical="center"/>
    </xf>
    <xf numFmtId="4" fontId="59" fillId="0" borderId="26" xfId="0" applyNumberFormat="1" applyFont="1" applyFill="1" applyBorder="1" applyAlignment="1">
      <alignment horizontal="center" vertical="center"/>
    </xf>
    <xf numFmtId="4" fontId="59" fillId="0" borderId="27" xfId="0" applyNumberFormat="1" applyFont="1" applyFill="1" applyBorder="1" applyAlignment="1">
      <alignment horizontal="center" vertical="center"/>
    </xf>
    <xf numFmtId="164" fontId="54" fillId="0" borderId="74" xfId="0" applyNumberFormat="1" applyFont="1" applyFill="1" applyBorder="1" applyAlignment="1">
      <alignment horizontal="center" vertical="center"/>
    </xf>
    <xf numFmtId="49" fontId="60" fillId="0" borderId="19" xfId="0" applyNumberFormat="1" applyFont="1" applyFill="1" applyBorder="1" applyAlignment="1">
      <alignment horizontal="left" vertical="center"/>
    </xf>
    <xf numFmtId="49" fontId="60" fillId="0" borderId="20" xfId="0" applyNumberFormat="1" applyFont="1" applyFill="1" applyBorder="1" applyAlignment="1">
      <alignment horizontal="left" vertical="center"/>
    </xf>
    <xf numFmtId="49" fontId="60" fillId="0" borderId="20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center" vertical="center"/>
    </xf>
    <xf numFmtId="1" fontId="62" fillId="0" borderId="28" xfId="0" applyNumberFormat="1" applyFont="1" applyFill="1" applyBorder="1" applyAlignment="1">
      <alignment horizontal="center" vertical="center"/>
    </xf>
    <xf numFmtId="4" fontId="59" fillId="0" borderId="75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49" fontId="60" fillId="0" borderId="23" xfId="0" applyNumberFormat="1" applyFont="1" applyFill="1" applyBorder="1" applyAlignment="1">
      <alignment horizontal="left" vertical="center"/>
    </xf>
    <xf numFmtId="49" fontId="60" fillId="0" borderId="24" xfId="0" applyNumberFormat="1" applyFont="1" applyFill="1" applyBorder="1" applyAlignment="1">
      <alignment horizontal="left" vertical="center"/>
    </xf>
    <xf numFmtId="49" fontId="60" fillId="0" borderId="24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center" vertical="center"/>
    </xf>
    <xf numFmtId="1" fontId="62" fillId="0" borderId="26" xfId="0" applyNumberFormat="1" applyFont="1" applyFill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left" vertical="center"/>
    </xf>
    <xf numFmtId="49" fontId="60" fillId="0" borderId="37" xfId="0" applyNumberFormat="1" applyFont="1" applyFill="1" applyBorder="1" applyAlignment="1">
      <alignment horizontal="left" vertical="center"/>
    </xf>
    <xf numFmtId="49" fontId="60" fillId="0" borderId="37" xfId="0" applyNumberFormat="1" applyFont="1" applyFill="1" applyBorder="1" applyAlignment="1">
      <alignment horizontal="center" vertical="center"/>
    </xf>
    <xf numFmtId="49" fontId="59" fillId="0" borderId="39" xfId="0" applyNumberFormat="1" applyFont="1" applyFill="1" applyBorder="1" applyAlignment="1">
      <alignment horizontal="center" vertical="center"/>
    </xf>
    <xf numFmtId="1" fontId="62" fillId="0" borderId="39" xfId="0" applyNumberFormat="1" applyFont="1" applyFill="1" applyBorder="1" applyAlignment="1">
      <alignment horizontal="center" vertical="center"/>
    </xf>
    <xf numFmtId="4" fontId="59" fillId="0" borderId="76" xfId="0" applyNumberFormat="1" applyFont="1" applyFill="1" applyBorder="1" applyAlignment="1">
      <alignment horizontal="center" vertical="center"/>
    </xf>
    <xf numFmtId="4" fontId="59" fillId="0" borderId="77" xfId="0" applyNumberFormat="1" applyFont="1" applyFill="1" applyBorder="1" applyAlignment="1">
      <alignment horizontal="center" vertical="center"/>
    </xf>
    <xf numFmtId="4" fontId="59" fillId="0" borderId="78" xfId="0" applyNumberFormat="1" applyFont="1" applyFill="1" applyBorder="1" applyAlignment="1">
      <alignment horizontal="center" vertical="center"/>
    </xf>
    <xf numFmtId="49" fontId="60" fillId="0" borderId="30" xfId="0" applyNumberFormat="1" applyFont="1" applyFill="1" applyBorder="1" applyAlignment="1">
      <alignment horizontal="left" vertical="center"/>
    </xf>
    <xf numFmtId="49" fontId="60" fillId="0" borderId="31" xfId="0" applyNumberFormat="1" applyFont="1" applyFill="1" applyBorder="1" applyAlignment="1">
      <alignment horizontal="left" vertical="center"/>
    </xf>
    <xf numFmtId="49" fontId="60" fillId="0" borderId="31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1" fontId="62" fillId="0" borderId="33" xfId="0" applyNumberFormat="1" applyFont="1" applyFill="1" applyBorder="1" applyAlignment="1">
      <alignment horizontal="center" vertical="center"/>
    </xf>
    <xf numFmtId="4" fontId="59" fillId="0" borderId="7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1" fillId="0" borderId="0" xfId="0" applyFont="1" applyAlignment="1">
      <alignment/>
    </xf>
    <xf numFmtId="1" fontId="59" fillId="0" borderId="0" xfId="0" applyNumberFormat="1" applyFont="1" applyFill="1" applyAlignment="1">
      <alignment horizontal="center"/>
    </xf>
    <xf numFmtId="4" fontId="59" fillId="0" borderId="0" xfId="0" applyNumberFormat="1" applyFont="1" applyFill="1" applyAlignment="1">
      <alignment horizontal="center"/>
    </xf>
    <xf numFmtId="0" fontId="54" fillId="0" borderId="80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center" wrapText="1"/>
    </xf>
    <xf numFmtId="0" fontId="54" fillId="0" borderId="81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wrapText="1"/>
    </xf>
    <xf numFmtId="0" fontId="54" fillId="0" borderId="72" xfId="0" applyFont="1" applyFill="1" applyBorder="1" applyAlignment="1">
      <alignment horizontal="center" vertical="center" wrapText="1"/>
    </xf>
    <xf numFmtId="49" fontId="60" fillId="0" borderId="24" xfId="0" applyNumberFormat="1" applyFont="1" applyFill="1" applyBorder="1" applyAlignment="1">
      <alignment horizontal="center" vertical="center" wrapText="1"/>
    </xf>
    <xf numFmtId="49" fontId="59" fillId="0" borderId="26" xfId="0" applyNumberFormat="1" applyFont="1" applyFill="1" applyBorder="1" applyAlignment="1">
      <alignment horizontal="center" vertical="center" wrapText="1"/>
    </xf>
    <xf numFmtId="0" fontId="63" fillId="0" borderId="82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center" wrapText="1"/>
    </xf>
    <xf numFmtId="49" fontId="54" fillId="0" borderId="71" xfId="0" applyNumberFormat="1" applyFont="1" applyFill="1" applyBorder="1" applyAlignment="1">
      <alignment horizontal="center" vertical="center" wrapText="1"/>
    </xf>
    <xf numFmtId="49" fontId="54" fillId="0" borderId="76" xfId="0" applyNumberFormat="1" applyFont="1" applyFill="1" applyBorder="1" applyAlignment="1">
      <alignment horizontal="center" vertical="center" wrapText="1"/>
    </xf>
    <xf numFmtId="49" fontId="54" fillId="0" borderId="73" xfId="0" applyNumberFormat="1" applyFont="1" applyFill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49" fontId="59" fillId="0" borderId="0" xfId="0" applyNumberFormat="1" applyFont="1" applyFill="1" applyAlignment="1">
      <alignment horizontal="center" vertical="center"/>
    </xf>
    <xf numFmtId="4" fontId="60" fillId="0" borderId="16" xfId="0" applyNumberFormat="1" applyFont="1" applyFill="1" applyBorder="1" applyAlignment="1">
      <alignment horizontal="center" vertical="center"/>
    </xf>
    <xf numFmtId="4" fontId="60" fillId="0" borderId="43" xfId="0" applyNumberFormat="1" applyFont="1" applyFill="1" applyBorder="1" applyAlignment="1">
      <alignment horizontal="center" vertical="center"/>
    </xf>
    <xf numFmtId="4" fontId="60" fillId="0" borderId="17" xfId="0" applyNumberFormat="1" applyFont="1" applyFill="1" applyBorder="1" applyAlignment="1">
      <alignment horizontal="center" vertical="center"/>
    </xf>
    <xf numFmtId="4" fontId="60" fillId="0" borderId="50" xfId="0" applyNumberFormat="1" applyFont="1" applyFill="1" applyBorder="1" applyAlignment="1">
      <alignment horizontal="center" vertical="center"/>
    </xf>
    <xf numFmtId="4" fontId="60" fillId="0" borderId="41" xfId="0" applyNumberFormat="1" applyFont="1" applyFill="1" applyBorder="1" applyAlignment="1">
      <alignment horizontal="center" vertical="center"/>
    </xf>
    <xf numFmtId="4" fontId="60" fillId="0" borderId="29" xfId="0" applyNumberFormat="1" applyFont="1" applyFill="1" applyBorder="1" applyAlignment="1">
      <alignment horizontal="center" vertical="center"/>
    </xf>
    <xf numFmtId="4" fontId="60" fillId="0" borderId="35" xfId="0" applyNumberFormat="1" applyFont="1" applyFill="1" applyBorder="1" applyAlignment="1">
      <alignment horizontal="center" vertical="center"/>
    </xf>
    <xf numFmtId="49" fontId="54" fillId="0" borderId="44" xfId="0" applyNumberFormat="1" applyFont="1" applyFill="1" applyBorder="1" applyAlignment="1">
      <alignment horizontal="center" vertical="center" wrapText="1"/>
    </xf>
    <xf numFmtId="4" fontId="60" fillId="0" borderId="45" xfId="0" applyNumberFormat="1" applyFont="1" applyFill="1" applyBorder="1" applyAlignment="1">
      <alignment horizontal="center" vertical="center"/>
    </xf>
    <xf numFmtId="4" fontId="60" fillId="0" borderId="47" xfId="0" applyNumberFormat="1" applyFont="1" applyFill="1" applyBorder="1" applyAlignment="1">
      <alignment horizontal="center" vertical="center"/>
    </xf>
    <xf numFmtId="4" fontId="60" fillId="0" borderId="46" xfId="0" applyNumberFormat="1" applyFont="1" applyFill="1" applyBorder="1" applyAlignment="1">
      <alignment horizontal="center" vertical="center"/>
    </xf>
    <xf numFmtId="4" fontId="33" fillId="0" borderId="47" xfId="0" applyNumberFormat="1" applyFont="1" applyFill="1" applyBorder="1" applyAlignment="1">
      <alignment horizontal="center" vertical="center"/>
    </xf>
    <xf numFmtId="4" fontId="60" fillId="0" borderId="44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44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Fill="1" applyBorder="1" applyAlignment="1">
      <alignment horizontal="center" vertical="center" wrapText="1"/>
    </xf>
    <xf numFmtId="49" fontId="54" fillId="0" borderId="4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3" width="10.140625" style="32" hidden="1" customWidth="1"/>
    <col min="14" max="14" width="10.140625" style="33" hidden="1" customWidth="1"/>
    <col min="15" max="15" width="16.00390625" style="34" customWidth="1"/>
    <col min="16" max="16" width="10.140625" style="32" hidden="1" customWidth="1"/>
    <col min="17" max="17" width="16.00390625" style="34" customWidth="1"/>
    <col min="18" max="18" width="16.00390625" style="33" customWidth="1"/>
    <col min="19" max="19" width="24.8515625" style="34" customWidth="1"/>
    <col min="20" max="20" width="9.140625" style="32" customWidth="1"/>
    <col min="21" max="21" width="9.140625" style="13" customWidth="1"/>
  </cols>
  <sheetData>
    <row r="1" ht="15">
      <c r="A1" s="32" t="s">
        <v>115</v>
      </c>
    </row>
    <row r="3" ht="15">
      <c r="A3" s="32" t="s">
        <v>153</v>
      </c>
    </row>
    <row r="4" ht="15">
      <c r="A4" s="32" t="s">
        <v>116</v>
      </c>
    </row>
    <row r="5" ht="15">
      <c r="B5" s="32">
        <f>O8/B8</f>
        <v>1302.0006163328196</v>
      </c>
    </row>
    <row r="6" ht="15.75" thickBot="1"/>
    <row r="7" spans="1:21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41" t="s">
        <v>95</v>
      </c>
      <c r="N7" s="42" t="s">
        <v>114</v>
      </c>
      <c r="O7" s="37" t="s">
        <v>159</v>
      </c>
      <c r="P7" s="40"/>
      <c r="Q7" s="251" t="s">
        <v>137</v>
      </c>
      <c r="R7" s="251" t="s">
        <v>138</v>
      </c>
      <c r="S7" s="251"/>
      <c r="T7" s="43"/>
      <c r="U7" s="21"/>
    </row>
    <row r="8" spans="1:19" ht="15">
      <c r="A8" s="93" t="s">
        <v>139</v>
      </c>
      <c r="B8" s="116">
        <v>32.45</v>
      </c>
      <c r="C8" s="59">
        <v>10562.48</v>
      </c>
      <c r="D8" s="60">
        <v>0</v>
      </c>
      <c r="E8" s="61"/>
      <c r="F8" s="59">
        <v>10562.48</v>
      </c>
      <c r="G8" s="62">
        <v>6384.91</v>
      </c>
      <c r="H8" s="63"/>
      <c r="I8" s="59">
        <v>10562.48</v>
      </c>
      <c r="J8" s="62">
        <v>3445.43</v>
      </c>
      <c r="K8" s="63"/>
      <c r="L8" s="59">
        <v>10562.48</v>
      </c>
      <c r="M8" s="62">
        <v>15513.89</v>
      </c>
      <c r="N8" s="63"/>
      <c r="O8" s="102">
        <f>C8+F8+I8+L8</f>
        <v>42249.92</v>
      </c>
      <c r="P8" s="260">
        <v>1</v>
      </c>
      <c r="Q8" s="102">
        <f>D8+G8+J8+M8</f>
        <v>25344.23</v>
      </c>
      <c r="R8" s="102">
        <f>SUM(R9:R14)</f>
        <v>43251.39</v>
      </c>
      <c r="S8" s="102"/>
    </row>
    <row r="9" spans="1:21" s="11" customFormat="1" ht="15">
      <c r="A9" s="208" t="s">
        <v>105</v>
      </c>
      <c r="B9" s="117">
        <v>4.77</v>
      </c>
      <c r="C9" s="44"/>
      <c r="D9" s="45"/>
      <c r="E9" s="46"/>
      <c r="F9" s="44"/>
      <c r="G9" s="47"/>
      <c r="H9" s="48"/>
      <c r="I9" s="44"/>
      <c r="J9" s="47"/>
      <c r="K9" s="48"/>
      <c r="L9" s="44"/>
      <c r="M9" s="47"/>
      <c r="N9" s="48"/>
      <c r="O9" s="103">
        <f>B9*B5</f>
        <v>6210.542939907549</v>
      </c>
      <c r="P9" s="130">
        <f>O9/O8</f>
        <v>0.14699537750385205</v>
      </c>
      <c r="Q9" s="103">
        <f>P9*Q8</f>
        <v>3725.4846563944525</v>
      </c>
      <c r="R9" s="103">
        <v>9088.54</v>
      </c>
      <c r="S9" s="266" t="s">
        <v>156</v>
      </c>
      <c r="T9" s="50"/>
      <c r="U9" s="26"/>
    </row>
    <row r="10" spans="1:21" s="11" customFormat="1" ht="22.5">
      <c r="A10" s="213" t="s">
        <v>106</v>
      </c>
      <c r="B10" s="118">
        <v>3.2</v>
      </c>
      <c r="C10" s="44"/>
      <c r="D10" s="45"/>
      <c r="E10" s="46"/>
      <c r="F10" s="44"/>
      <c r="G10" s="47"/>
      <c r="H10" s="48"/>
      <c r="I10" s="44"/>
      <c r="J10" s="47"/>
      <c r="K10" s="48"/>
      <c r="L10" s="44"/>
      <c r="M10" s="47"/>
      <c r="N10" s="48"/>
      <c r="O10" s="103">
        <f>B10*B5</f>
        <v>4166.401972265023</v>
      </c>
      <c r="P10" s="130">
        <f>O10/O8</f>
        <v>0.09861325115562403</v>
      </c>
      <c r="Q10" s="103">
        <f>P10*Q8</f>
        <v>2499.276918335901</v>
      </c>
      <c r="R10" s="103">
        <f>6136.94*60%</f>
        <v>3682.1639999999998</v>
      </c>
      <c r="S10" s="266" t="s">
        <v>156</v>
      </c>
      <c r="T10" s="50"/>
      <c r="U10" s="26"/>
    </row>
    <row r="11" spans="1:21" s="11" customFormat="1" ht="15">
      <c r="A11" s="213" t="s">
        <v>107</v>
      </c>
      <c r="B11" s="118">
        <v>1.83</v>
      </c>
      <c r="C11" s="44"/>
      <c r="D11" s="45"/>
      <c r="E11" s="46"/>
      <c r="F11" s="44"/>
      <c r="G11" s="47"/>
      <c r="H11" s="48"/>
      <c r="I11" s="44"/>
      <c r="J11" s="47"/>
      <c r="K11" s="48"/>
      <c r="L11" s="44"/>
      <c r="M11" s="47"/>
      <c r="N11" s="48"/>
      <c r="O11" s="103">
        <f>B11*B5</f>
        <v>2382.66112788906</v>
      </c>
      <c r="P11" s="130">
        <f>O11/O8</f>
        <v>0.056394453004622494</v>
      </c>
      <c r="Q11" s="103">
        <f>P11*Q8</f>
        <v>1429.2739876733435</v>
      </c>
      <c r="R11" s="103">
        <f>6136.94-R10</f>
        <v>2454.776</v>
      </c>
      <c r="S11" s="266" t="s">
        <v>156</v>
      </c>
      <c r="T11" s="50"/>
      <c r="U11" s="26"/>
    </row>
    <row r="12" spans="1:21" s="11" customFormat="1" ht="15">
      <c r="A12" s="213" t="s">
        <v>108</v>
      </c>
      <c r="B12" s="118" t="s">
        <v>145</v>
      </c>
      <c r="C12" s="44">
        <v>777.95</v>
      </c>
      <c r="D12" s="45"/>
      <c r="E12" s="46"/>
      <c r="F12" s="44">
        <v>777.95</v>
      </c>
      <c r="G12" s="47"/>
      <c r="H12" s="48"/>
      <c r="I12" s="44">
        <v>777.95</v>
      </c>
      <c r="J12" s="47"/>
      <c r="K12" s="48"/>
      <c r="L12" s="44">
        <v>777.95</v>
      </c>
      <c r="M12" s="47"/>
      <c r="N12" s="48"/>
      <c r="O12" s="103">
        <f>B12*B5</f>
        <v>3111.781473035439</v>
      </c>
      <c r="P12" s="130">
        <f>O12/O8</f>
        <v>0.0736517719568567</v>
      </c>
      <c r="Q12" s="103">
        <f>P12*Q8</f>
        <v>1866.6474483821262</v>
      </c>
      <c r="R12" s="103">
        <v>3359.66</v>
      </c>
      <c r="S12" s="266" t="s">
        <v>154</v>
      </c>
      <c r="T12" s="50"/>
      <c r="U12" s="26"/>
    </row>
    <row r="13" spans="1:21" s="11" customFormat="1" ht="15.75" thickBot="1">
      <c r="A13" s="213" t="s">
        <v>109</v>
      </c>
      <c r="B13" s="119">
        <v>16.83</v>
      </c>
      <c r="C13" s="44">
        <v>5478.17</v>
      </c>
      <c r="D13" s="45"/>
      <c r="E13" s="46"/>
      <c r="F13" s="44">
        <v>5478.17</v>
      </c>
      <c r="G13" s="47"/>
      <c r="H13" s="48"/>
      <c r="I13" s="44">
        <v>5478.17</v>
      </c>
      <c r="J13" s="47"/>
      <c r="K13" s="48"/>
      <c r="L13" s="44">
        <v>5478.17</v>
      </c>
      <c r="M13" s="47"/>
      <c r="N13" s="48"/>
      <c r="O13" s="103">
        <f>B13*B5</f>
        <v>21912.67037288135</v>
      </c>
      <c r="P13" s="131">
        <f>O13/O8</f>
        <v>0.5186440677966101</v>
      </c>
      <c r="Q13" s="103">
        <f>P13*Q8</f>
        <v>13144.63454237288</v>
      </c>
      <c r="R13" s="103">
        <f>197.33*125</f>
        <v>24666.25</v>
      </c>
      <c r="S13" s="138" t="s">
        <v>158</v>
      </c>
      <c r="T13" s="50"/>
      <c r="U13" s="26"/>
    </row>
    <row r="14" spans="1:21" s="11" customFormat="1" ht="15.75" thickBot="1">
      <c r="A14" s="214" t="s">
        <v>110</v>
      </c>
      <c r="B14" s="113" t="s">
        <v>149</v>
      </c>
      <c r="C14" s="67"/>
      <c r="D14" s="68"/>
      <c r="E14" s="69"/>
      <c r="F14" s="67"/>
      <c r="G14" s="70"/>
      <c r="H14" s="71"/>
      <c r="I14" s="67"/>
      <c r="J14" s="70"/>
      <c r="K14" s="71"/>
      <c r="L14" s="67"/>
      <c r="M14" s="70"/>
      <c r="N14" s="71"/>
      <c r="O14" s="104">
        <f>B14*B5</f>
        <v>4465.862114021572</v>
      </c>
      <c r="P14" s="131">
        <f>O14/O8</f>
        <v>0.10570107858243452</v>
      </c>
      <c r="Q14" s="104">
        <f>P14*Q8</f>
        <v>2678.9124468412942</v>
      </c>
      <c r="R14" s="104">
        <v>0</v>
      </c>
      <c r="S14" s="106"/>
      <c r="T14" s="50"/>
      <c r="U14" s="26"/>
    </row>
    <row r="15" spans="1:19" ht="15.75" thickBot="1">
      <c r="A15" s="92" t="s">
        <v>96</v>
      </c>
      <c r="B15" s="113"/>
      <c r="C15" s="73">
        <v>46.15</v>
      </c>
      <c r="D15" s="74">
        <v>0</v>
      </c>
      <c r="E15" s="75"/>
      <c r="F15" s="73">
        <v>46.15</v>
      </c>
      <c r="G15" s="76">
        <v>50.22</v>
      </c>
      <c r="H15" s="77"/>
      <c r="I15" s="73">
        <v>46.15</v>
      </c>
      <c r="J15" s="76">
        <v>25.28</v>
      </c>
      <c r="K15" s="77"/>
      <c r="L15" s="73">
        <v>46.15</v>
      </c>
      <c r="M15" s="76">
        <v>63.03</v>
      </c>
      <c r="N15" s="77"/>
      <c r="O15" s="105">
        <f aca="true" t="shared" si="0" ref="O15:O20">C15+F15+I15+L15</f>
        <v>184.6</v>
      </c>
      <c r="P15" s="261"/>
      <c r="Q15" s="105">
        <f aca="true" t="shared" si="1" ref="Q15:Q20">D15+G15+J15+M15</f>
        <v>138.53</v>
      </c>
      <c r="R15" s="105">
        <v>0</v>
      </c>
      <c r="S15" s="105"/>
    </row>
    <row r="16" spans="1:19" ht="15.75" thickBot="1">
      <c r="A16" s="92" t="s">
        <v>6</v>
      </c>
      <c r="B16" s="113"/>
      <c r="C16" s="73">
        <v>0</v>
      </c>
      <c r="D16" s="74">
        <v>0</v>
      </c>
      <c r="E16" s="75"/>
      <c r="F16" s="73">
        <v>0</v>
      </c>
      <c r="G16" s="76">
        <v>0</v>
      </c>
      <c r="H16" s="77"/>
      <c r="I16" s="73">
        <v>16416.56</v>
      </c>
      <c r="J16" s="76">
        <v>2738.29</v>
      </c>
      <c r="K16" s="77"/>
      <c r="L16" s="73">
        <v>39399.73</v>
      </c>
      <c r="M16" s="76">
        <v>16021.77</v>
      </c>
      <c r="N16" s="77"/>
      <c r="O16" s="105">
        <f t="shared" si="0"/>
        <v>55816.29000000001</v>
      </c>
      <c r="P16" s="261"/>
      <c r="Q16" s="105">
        <f t="shared" si="1"/>
        <v>18760.06</v>
      </c>
      <c r="R16" s="105">
        <v>35132.97</v>
      </c>
      <c r="S16" s="102" t="s">
        <v>155</v>
      </c>
    </row>
    <row r="17" spans="1:19" ht="15.75" thickBot="1">
      <c r="A17" s="93" t="s">
        <v>99</v>
      </c>
      <c r="B17" s="113"/>
      <c r="C17" s="59">
        <v>261.12</v>
      </c>
      <c r="D17" s="60">
        <v>0</v>
      </c>
      <c r="E17" s="61"/>
      <c r="F17" s="59">
        <v>261.12</v>
      </c>
      <c r="G17" s="62">
        <v>275.2</v>
      </c>
      <c r="H17" s="63"/>
      <c r="I17" s="59">
        <v>261.12</v>
      </c>
      <c r="J17" s="62">
        <v>146.24</v>
      </c>
      <c r="K17" s="63"/>
      <c r="L17" s="59">
        <v>799.48</v>
      </c>
      <c r="M17" s="62">
        <v>362.14</v>
      </c>
      <c r="N17" s="63"/>
      <c r="O17" s="102">
        <f>C17+F17+I17+L17+O18</f>
        <v>1743.0200000000002</v>
      </c>
      <c r="P17" s="260"/>
      <c r="Q17" s="102">
        <f>D17+G17+J17+M17+Q18</f>
        <v>891.2599999999999</v>
      </c>
      <c r="R17" s="102">
        <f>O17</f>
        <v>1743.0200000000002</v>
      </c>
      <c r="S17" s="105" t="s">
        <v>157</v>
      </c>
    </row>
    <row r="18" spans="1:19" ht="15.75" hidden="1" thickBot="1">
      <c r="A18" s="94" t="s">
        <v>101</v>
      </c>
      <c r="B18" s="113"/>
      <c r="C18" s="67">
        <v>163.2</v>
      </c>
      <c r="D18" s="68">
        <v>0</v>
      </c>
      <c r="E18" s="69"/>
      <c r="F18" s="67">
        <v>-55.52</v>
      </c>
      <c r="G18" s="70">
        <v>56.18</v>
      </c>
      <c r="H18" s="71"/>
      <c r="I18" s="67">
        <v>0</v>
      </c>
      <c r="J18" s="70">
        <v>15.11</v>
      </c>
      <c r="K18" s="71"/>
      <c r="L18" s="67">
        <v>52.5</v>
      </c>
      <c r="M18" s="70">
        <v>36.39</v>
      </c>
      <c r="N18" s="71"/>
      <c r="O18" s="106">
        <f t="shared" si="0"/>
        <v>160.17999999999998</v>
      </c>
      <c r="P18" s="131"/>
      <c r="Q18" s="106">
        <f t="shared" si="1"/>
        <v>107.67999999999999</v>
      </c>
      <c r="R18" s="106"/>
      <c r="S18" s="106"/>
    </row>
    <row r="19" spans="1:19" ht="15.75" thickBot="1">
      <c r="A19" s="92" t="s">
        <v>100</v>
      </c>
      <c r="B19" s="301"/>
      <c r="C19" s="73">
        <v>274.71</v>
      </c>
      <c r="D19" s="74">
        <v>0</v>
      </c>
      <c r="E19" s="75"/>
      <c r="F19" s="73">
        <v>274.71</v>
      </c>
      <c r="G19" s="76">
        <v>289.53</v>
      </c>
      <c r="H19" s="77"/>
      <c r="I19" s="73">
        <v>274.71</v>
      </c>
      <c r="J19" s="76">
        <v>153.84</v>
      </c>
      <c r="K19" s="77"/>
      <c r="L19" s="73">
        <v>1062.6</v>
      </c>
      <c r="M19" s="76">
        <v>380.99</v>
      </c>
      <c r="N19" s="77"/>
      <c r="O19" s="105">
        <f>C19+F19+I19+L19+O20</f>
        <v>2069.79</v>
      </c>
      <c r="P19" s="309"/>
      <c r="Q19" s="105">
        <f>D19+G19+J19+M19+Q20</f>
        <v>937.64</v>
      </c>
      <c r="R19" s="105">
        <f>O19</f>
        <v>2069.79</v>
      </c>
      <c r="S19" s="105" t="s">
        <v>157</v>
      </c>
    </row>
    <row r="20" spans="1:19" ht="15.75" hidden="1" thickBot="1">
      <c r="A20" s="276" t="s">
        <v>102</v>
      </c>
      <c r="B20" s="262"/>
      <c r="C20" s="277">
        <v>171.69</v>
      </c>
      <c r="D20" s="278">
        <v>0</v>
      </c>
      <c r="E20" s="279"/>
      <c r="F20" s="277">
        <v>-58.41</v>
      </c>
      <c r="G20" s="280">
        <v>59.1</v>
      </c>
      <c r="H20" s="281"/>
      <c r="I20" s="277">
        <v>0</v>
      </c>
      <c r="J20" s="280">
        <v>15.9</v>
      </c>
      <c r="K20" s="281"/>
      <c r="L20" s="277">
        <v>69.78</v>
      </c>
      <c r="M20" s="280">
        <v>38.28</v>
      </c>
      <c r="N20" s="281"/>
      <c r="O20" s="134">
        <f t="shared" si="0"/>
        <v>183.06</v>
      </c>
      <c r="P20" s="265"/>
      <c r="Q20" s="134">
        <f t="shared" si="1"/>
        <v>113.28</v>
      </c>
      <c r="R20" s="134"/>
      <c r="S20" s="134"/>
    </row>
    <row r="21" spans="1:19" ht="15.75" thickBot="1">
      <c r="A21" s="200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05">
        <f>SUM(O9:O20)-O18-O20</f>
        <v>102063.62</v>
      </c>
      <c r="P21" s="105">
        <f>SUM(P9:P20)-P18-P20</f>
        <v>0.9999999999999999</v>
      </c>
      <c r="Q21" s="105">
        <f>SUM(Q9:Q20)-Q18-Q20</f>
        <v>46071.72</v>
      </c>
      <c r="R21" s="105">
        <f>SUM(R9:R20)-R18-R20</f>
        <v>82197.17</v>
      </c>
      <c r="S21" s="10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4.421875" style="34" customWidth="1"/>
    <col min="22" max="23" width="9.140625" style="32" customWidth="1"/>
    <col min="24" max="24" width="9.140625" style="1" customWidth="1"/>
  </cols>
  <sheetData>
    <row r="1" ht="15">
      <c r="A1" s="32" t="s">
        <v>115</v>
      </c>
    </row>
    <row r="3" ht="15">
      <c r="A3" s="32" t="s">
        <v>129</v>
      </c>
    </row>
    <row r="4" ht="15">
      <c r="A4" s="32" t="s">
        <v>116</v>
      </c>
    </row>
    <row r="5" spans="2:6" ht="15">
      <c r="B5" s="32">
        <v>746.85</v>
      </c>
      <c r="C5" s="33">
        <f>C8/B8</f>
        <v>727.1005121638924</v>
      </c>
      <c r="D5" s="33">
        <f>F8/B8</f>
        <v>685.2003841229193</v>
      </c>
      <c r="E5" s="33">
        <f>J8/B8</f>
        <v>727.1005121638924</v>
      </c>
      <c r="F5" s="32">
        <f>N8/B8</f>
        <v>725.6005121638924</v>
      </c>
    </row>
    <row r="6" ht="15.75" thickBot="1"/>
    <row r="7" spans="1:24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154" t="s">
        <v>137</v>
      </c>
      <c r="T7" s="154" t="s">
        <v>138</v>
      </c>
      <c r="U7" s="154"/>
      <c r="V7" s="43"/>
      <c r="W7" s="43"/>
      <c r="X7" s="152"/>
    </row>
    <row r="8" spans="1:21" ht="15">
      <c r="A8" s="93" t="s">
        <v>139</v>
      </c>
      <c r="B8" s="116">
        <v>15.62</v>
      </c>
      <c r="C8" s="59">
        <v>11357.31</v>
      </c>
      <c r="D8" s="60">
        <v>0</v>
      </c>
      <c r="E8" s="61"/>
      <c r="F8" s="59">
        <v>10702.83</v>
      </c>
      <c r="G8" s="120">
        <v>1</v>
      </c>
      <c r="H8" s="62">
        <v>7392.83</v>
      </c>
      <c r="I8" s="63"/>
      <c r="J8" s="59">
        <v>11357.31</v>
      </c>
      <c r="K8" s="120">
        <v>1</v>
      </c>
      <c r="L8" s="62">
        <v>6370.38</v>
      </c>
      <c r="M8" s="63"/>
      <c r="N8" s="59">
        <v>11333.88</v>
      </c>
      <c r="O8" s="120">
        <v>1</v>
      </c>
      <c r="P8" s="62">
        <v>11524.85</v>
      </c>
      <c r="Q8" s="63"/>
      <c r="R8" s="237">
        <f aca="true" t="shared" si="0" ref="R8:R21">C8+F8+J8+N8</f>
        <v>44751.329999999994</v>
      </c>
      <c r="S8" s="102">
        <f aca="true" t="shared" si="1" ref="S8:S17">D8+H8+L8+P8</f>
        <v>25288.059999999998</v>
      </c>
      <c r="T8" s="102">
        <f>SUM(T9:T13)</f>
        <v>43320.030000000006</v>
      </c>
      <c r="U8" s="102"/>
    </row>
    <row r="9" spans="1:24" s="11" customFormat="1" ht="15">
      <c r="A9" s="208" t="s">
        <v>105</v>
      </c>
      <c r="B9" s="117">
        <v>4.77</v>
      </c>
      <c r="C9" s="44">
        <f>B9*C5</f>
        <v>3468.2694430217666</v>
      </c>
      <c r="D9" s="45"/>
      <c r="E9" s="46"/>
      <c r="F9" s="44">
        <f>B9*D5</f>
        <v>3268.405832266325</v>
      </c>
      <c r="G9" s="121">
        <f>F9/F8</f>
        <v>0.3053777208706786</v>
      </c>
      <c r="H9" s="47">
        <f>G9*H8</f>
        <v>2257.605576184379</v>
      </c>
      <c r="I9" s="48"/>
      <c r="J9" s="44">
        <f>B9*E5</f>
        <v>3468.2694430217666</v>
      </c>
      <c r="K9" s="121">
        <f>J9/J8</f>
        <v>0.3053777208706786</v>
      </c>
      <c r="L9" s="47">
        <f>K9*L8</f>
        <v>1945.3721254801535</v>
      </c>
      <c r="M9" s="48"/>
      <c r="N9" s="44">
        <f>B9*F5</f>
        <v>3461.1144430217664</v>
      </c>
      <c r="O9" s="121">
        <f>N9/N8</f>
        <v>0.3053777208706786</v>
      </c>
      <c r="P9" s="47">
        <f>O9*P8</f>
        <v>3519.4324263764406</v>
      </c>
      <c r="Q9" s="48"/>
      <c r="R9" s="238">
        <f t="shared" si="0"/>
        <v>13666.059161331625</v>
      </c>
      <c r="S9" s="103">
        <f t="shared" si="1"/>
        <v>7722.410128040974</v>
      </c>
      <c r="T9" s="103">
        <v>19835.43</v>
      </c>
      <c r="U9" s="266" t="s">
        <v>156</v>
      </c>
      <c r="V9" s="50"/>
      <c r="W9" s="50"/>
      <c r="X9" s="153"/>
    </row>
    <row r="10" spans="1:24" s="11" customFormat="1" ht="22.5">
      <c r="A10" s="213" t="s">
        <v>146</v>
      </c>
      <c r="B10" s="118">
        <v>3.2</v>
      </c>
      <c r="C10" s="44">
        <f>B10*C5</f>
        <v>2326.721638924456</v>
      </c>
      <c r="D10" s="45"/>
      <c r="E10" s="46"/>
      <c r="F10" s="44">
        <f>B10*D5</f>
        <v>2192.641229193342</v>
      </c>
      <c r="G10" s="121">
        <f>F10/F8</f>
        <v>0.20486555697823305</v>
      </c>
      <c r="H10" s="47">
        <f>G10*H8</f>
        <v>1514.5362355953907</v>
      </c>
      <c r="I10" s="48"/>
      <c r="J10" s="44">
        <f>B10*E5</f>
        <v>2326.721638924456</v>
      </c>
      <c r="K10" s="121">
        <f>J10/J8</f>
        <v>0.20486555697823305</v>
      </c>
      <c r="L10" s="47">
        <f>K10*L8</f>
        <v>1305.0714468629963</v>
      </c>
      <c r="M10" s="48"/>
      <c r="N10" s="44">
        <f>B10*F5</f>
        <v>2321.9216389244557</v>
      </c>
      <c r="O10" s="121">
        <f>N10/N8</f>
        <v>0.20486555697823303</v>
      </c>
      <c r="P10" s="47">
        <f>O10*P8</f>
        <v>2361.044814340589</v>
      </c>
      <c r="Q10" s="48"/>
      <c r="R10" s="238">
        <f t="shared" si="0"/>
        <v>9168.006145966709</v>
      </c>
      <c r="S10" s="103">
        <f t="shared" si="1"/>
        <v>5180.652496798975</v>
      </c>
      <c r="T10" s="103">
        <f>15776.02*60%</f>
        <v>9465.612</v>
      </c>
      <c r="U10" s="266" t="s">
        <v>156</v>
      </c>
      <c r="V10" s="50"/>
      <c r="W10" s="50"/>
      <c r="X10" s="153"/>
    </row>
    <row r="11" spans="1:24" s="11" customFormat="1" ht="15">
      <c r="A11" s="213" t="s">
        <v>107</v>
      </c>
      <c r="B11" s="118">
        <v>1.83</v>
      </c>
      <c r="C11" s="44">
        <f>B11*C5</f>
        <v>1330.5939372599232</v>
      </c>
      <c r="D11" s="45"/>
      <c r="E11" s="46"/>
      <c r="F11" s="44">
        <f>B11*D5</f>
        <v>1253.9167029449425</v>
      </c>
      <c r="G11" s="121">
        <f>F11/F8</f>
        <v>0.11715749039692702</v>
      </c>
      <c r="H11" s="47">
        <f>G11*H8</f>
        <v>866.125409731114</v>
      </c>
      <c r="I11" s="48"/>
      <c r="J11" s="44">
        <f>B11*E5</f>
        <v>1330.5939372599232</v>
      </c>
      <c r="K11" s="121">
        <f>J11/J8</f>
        <v>0.11715749039692702</v>
      </c>
      <c r="L11" s="47">
        <f>K11*L8</f>
        <v>746.337733674776</v>
      </c>
      <c r="M11" s="48"/>
      <c r="N11" s="44">
        <f>B11*F5</f>
        <v>1327.848937259923</v>
      </c>
      <c r="O11" s="121">
        <f>N11/N8</f>
        <v>0.11715749039692702</v>
      </c>
      <c r="P11" s="47">
        <f>O11*P8</f>
        <v>1350.2225032010244</v>
      </c>
      <c r="Q11" s="48"/>
      <c r="R11" s="238">
        <f t="shared" si="0"/>
        <v>5242.9535147247125</v>
      </c>
      <c r="S11" s="103">
        <f t="shared" si="1"/>
        <v>2962.685646606915</v>
      </c>
      <c r="T11" s="103">
        <f>15776.02-T10</f>
        <v>6310.408000000001</v>
      </c>
      <c r="U11" s="266" t="s">
        <v>156</v>
      </c>
      <c r="V11" s="50"/>
      <c r="W11" s="50"/>
      <c r="X11" s="153"/>
    </row>
    <row r="12" spans="1:24" s="11" customFormat="1" ht="15">
      <c r="A12" s="213" t="s">
        <v>108</v>
      </c>
      <c r="B12" s="118" t="s">
        <v>145</v>
      </c>
      <c r="C12" s="44">
        <f>B12*C5</f>
        <v>1737.7702240717028</v>
      </c>
      <c r="D12" s="45"/>
      <c r="E12" s="46"/>
      <c r="F12" s="44">
        <f>B12*D5</f>
        <v>1637.6289180537774</v>
      </c>
      <c r="G12" s="121">
        <f>F12/F8</f>
        <v>0.15300896286811783</v>
      </c>
      <c r="H12" s="47">
        <f>G12*H8</f>
        <v>1131.1692509603074</v>
      </c>
      <c r="I12" s="48"/>
      <c r="J12" s="44">
        <f>B12*E5</f>
        <v>1737.7702240717028</v>
      </c>
      <c r="K12" s="121">
        <f>J12/J8</f>
        <v>0.1530089628681178</v>
      </c>
      <c r="L12" s="47">
        <f>K12*L8</f>
        <v>974.7252368758003</v>
      </c>
      <c r="M12" s="48"/>
      <c r="N12" s="44">
        <f>B12*F5</f>
        <v>1734.185224071703</v>
      </c>
      <c r="O12" s="121">
        <f>N12/N8</f>
        <v>0.15300896286811783</v>
      </c>
      <c r="P12" s="47">
        <f>O12*P8</f>
        <v>1763.4053457106277</v>
      </c>
      <c r="Q12" s="48"/>
      <c r="R12" s="238">
        <f t="shared" si="0"/>
        <v>6847.354590268886</v>
      </c>
      <c r="S12" s="103">
        <f t="shared" si="1"/>
        <v>3869.2998335467355</v>
      </c>
      <c r="T12" s="103">
        <v>7708.58</v>
      </c>
      <c r="U12" s="266" t="s">
        <v>154</v>
      </c>
      <c r="V12" s="50"/>
      <c r="W12" s="50"/>
      <c r="X12" s="153"/>
    </row>
    <row r="13" spans="1:24" s="11" customFormat="1" ht="15.75" thickBot="1">
      <c r="A13" s="214" t="s">
        <v>110</v>
      </c>
      <c r="B13" s="119">
        <f>1.82+1.61</f>
        <v>3.43</v>
      </c>
      <c r="C13" s="67">
        <f>B13*C5</f>
        <v>2493.954756722151</v>
      </c>
      <c r="D13" s="68"/>
      <c r="E13" s="69"/>
      <c r="F13" s="67">
        <f>B13*D5</f>
        <v>2350.2373175416133</v>
      </c>
      <c r="G13" s="122">
        <f>F13/F8</f>
        <v>0.21959026888604352</v>
      </c>
      <c r="H13" s="70">
        <f>G13*H8</f>
        <v>1623.393527528809</v>
      </c>
      <c r="I13" s="71"/>
      <c r="J13" s="67">
        <f>B13*E5</f>
        <v>2493.954756722151</v>
      </c>
      <c r="K13" s="122">
        <f>J13/J8</f>
        <v>0.21959026888604355</v>
      </c>
      <c r="L13" s="70">
        <f>K13*L8</f>
        <v>1398.8734571062741</v>
      </c>
      <c r="M13" s="71"/>
      <c r="N13" s="67">
        <f>B13*F5</f>
        <v>2488.809756722151</v>
      </c>
      <c r="O13" s="122">
        <f>N13/N8</f>
        <v>0.21959026888604355</v>
      </c>
      <c r="P13" s="70">
        <f>O13*P8</f>
        <v>2530.7449103713193</v>
      </c>
      <c r="Q13" s="71"/>
      <c r="R13" s="239">
        <f t="shared" si="0"/>
        <v>9826.956587708068</v>
      </c>
      <c r="S13" s="104">
        <f t="shared" si="1"/>
        <v>5553.0118950064025</v>
      </c>
      <c r="T13" s="104">
        <v>0</v>
      </c>
      <c r="U13" s="106"/>
      <c r="V13" s="50"/>
      <c r="W13" s="50"/>
      <c r="X13" s="153"/>
    </row>
    <row r="14" spans="1:21" ht="15.75" thickBot="1">
      <c r="A14" s="236" t="s">
        <v>96</v>
      </c>
      <c r="B14" s="182"/>
      <c r="C14" s="245">
        <v>135.11</v>
      </c>
      <c r="D14" s="246">
        <v>0</v>
      </c>
      <c r="E14" s="128"/>
      <c r="F14" s="245">
        <v>135.11</v>
      </c>
      <c r="G14" s="128"/>
      <c r="H14" s="247">
        <v>36.27</v>
      </c>
      <c r="I14" s="248"/>
      <c r="J14" s="245">
        <v>135.11</v>
      </c>
      <c r="K14" s="128"/>
      <c r="L14" s="247">
        <v>105.15</v>
      </c>
      <c r="M14" s="248"/>
      <c r="N14" s="245">
        <v>-7.13</v>
      </c>
      <c r="O14" s="128"/>
      <c r="P14" s="247">
        <v>136.97</v>
      </c>
      <c r="Q14" s="248"/>
      <c r="R14" s="240">
        <f t="shared" si="0"/>
        <v>398.20000000000005</v>
      </c>
      <c r="S14" s="193">
        <f t="shared" si="1"/>
        <v>278.39</v>
      </c>
      <c r="T14" s="193">
        <v>0</v>
      </c>
      <c r="U14" s="193"/>
    </row>
    <row r="15" spans="1:21" ht="15">
      <c r="A15" s="93" t="s">
        <v>97</v>
      </c>
      <c r="B15" s="114"/>
      <c r="C15" s="59">
        <v>0</v>
      </c>
      <c r="D15" s="60">
        <v>0</v>
      </c>
      <c r="E15" s="61"/>
      <c r="F15" s="59">
        <v>0</v>
      </c>
      <c r="G15" s="61"/>
      <c r="H15" s="62">
        <v>0</v>
      </c>
      <c r="I15" s="63"/>
      <c r="J15" s="59">
        <v>1995.38</v>
      </c>
      <c r="K15" s="61"/>
      <c r="L15" s="62">
        <v>428.81</v>
      </c>
      <c r="M15" s="63"/>
      <c r="N15" s="59">
        <v>4912.38</v>
      </c>
      <c r="O15" s="61"/>
      <c r="P15" s="62">
        <v>773.82</v>
      </c>
      <c r="Q15" s="63"/>
      <c r="R15" s="237">
        <f t="shared" si="0"/>
        <v>6907.76</v>
      </c>
      <c r="S15" s="102">
        <f t="shared" si="1"/>
        <v>1202.63</v>
      </c>
      <c r="T15" s="102">
        <v>9146.94</v>
      </c>
      <c r="U15" s="267" t="s">
        <v>155</v>
      </c>
    </row>
    <row r="16" spans="1:21" ht="15.75" thickBot="1">
      <c r="A16" s="94" t="s">
        <v>98</v>
      </c>
      <c r="B16" s="115"/>
      <c r="C16" s="67">
        <v>0</v>
      </c>
      <c r="D16" s="68">
        <v>0</v>
      </c>
      <c r="E16" s="69"/>
      <c r="F16" s="67">
        <v>0</v>
      </c>
      <c r="G16" s="69"/>
      <c r="H16" s="70">
        <v>0</v>
      </c>
      <c r="I16" s="71"/>
      <c r="J16" s="67">
        <v>4912.82</v>
      </c>
      <c r="K16" s="69"/>
      <c r="L16" s="70">
        <v>1048.68</v>
      </c>
      <c r="M16" s="71"/>
      <c r="N16" s="67">
        <v>12665.72</v>
      </c>
      <c r="O16" s="69"/>
      <c r="P16" s="70">
        <v>1892.37</v>
      </c>
      <c r="Q16" s="71"/>
      <c r="R16" s="242">
        <f t="shared" si="0"/>
        <v>17578.54</v>
      </c>
      <c r="S16" s="106">
        <f t="shared" si="1"/>
        <v>2941.05</v>
      </c>
      <c r="T16" s="106">
        <v>23209.55</v>
      </c>
      <c r="U16" s="106" t="s">
        <v>155</v>
      </c>
    </row>
    <row r="17" spans="1:21" ht="15.75" thickBot="1">
      <c r="A17" s="92" t="s">
        <v>6</v>
      </c>
      <c r="B17" s="113"/>
      <c r="C17" s="73">
        <v>0</v>
      </c>
      <c r="D17" s="74">
        <v>0</v>
      </c>
      <c r="E17" s="75"/>
      <c r="F17" s="73">
        <v>0</v>
      </c>
      <c r="G17" s="75"/>
      <c r="H17" s="76">
        <v>0</v>
      </c>
      <c r="I17" s="77"/>
      <c r="J17" s="73">
        <v>25437.72</v>
      </c>
      <c r="K17" s="75"/>
      <c r="L17" s="76">
        <v>5922.91</v>
      </c>
      <c r="M17" s="77"/>
      <c r="N17" s="73">
        <v>60150.15</v>
      </c>
      <c r="O17" s="75"/>
      <c r="P17" s="76">
        <v>11866.79</v>
      </c>
      <c r="Q17" s="77"/>
      <c r="R17" s="243">
        <f t="shared" si="0"/>
        <v>85587.87</v>
      </c>
      <c r="S17" s="105">
        <f t="shared" si="1"/>
        <v>17789.7</v>
      </c>
      <c r="T17" s="105">
        <v>59127.88</v>
      </c>
      <c r="U17" s="102" t="s">
        <v>155</v>
      </c>
    </row>
    <row r="18" spans="1:21" ht="15.75" thickBot="1">
      <c r="A18" s="93" t="s">
        <v>99</v>
      </c>
      <c r="B18" s="113"/>
      <c r="C18" s="59">
        <v>65.28</v>
      </c>
      <c r="D18" s="60">
        <v>0</v>
      </c>
      <c r="E18" s="61"/>
      <c r="F18" s="59">
        <v>228.48</v>
      </c>
      <c r="G18" s="61"/>
      <c r="H18" s="62">
        <v>0</v>
      </c>
      <c r="I18" s="63"/>
      <c r="J18" s="59">
        <v>163.2</v>
      </c>
      <c r="K18" s="61"/>
      <c r="L18" s="62">
        <v>0</v>
      </c>
      <c r="M18" s="63"/>
      <c r="N18" s="59">
        <v>424.37</v>
      </c>
      <c r="O18" s="61"/>
      <c r="P18" s="62">
        <v>0</v>
      </c>
      <c r="Q18" s="63"/>
      <c r="R18" s="237">
        <f>C18+F18+J18+N18+R19</f>
        <v>4838.77</v>
      </c>
      <c r="S18" s="102">
        <f>D18+H18+L18+P18+S19</f>
        <v>1747.99</v>
      </c>
      <c r="T18" s="102">
        <f>R18</f>
        <v>4838.77</v>
      </c>
      <c r="U18" s="105" t="s">
        <v>157</v>
      </c>
    </row>
    <row r="19" spans="1:21" ht="15.75" hidden="1" thickBot="1">
      <c r="A19" s="94" t="s">
        <v>101</v>
      </c>
      <c r="B19" s="113"/>
      <c r="C19" s="67">
        <v>745.68</v>
      </c>
      <c r="D19" s="68">
        <v>0</v>
      </c>
      <c r="E19" s="69"/>
      <c r="F19" s="67">
        <v>691.12</v>
      </c>
      <c r="G19" s="69"/>
      <c r="H19" s="70">
        <v>452.6</v>
      </c>
      <c r="I19" s="71"/>
      <c r="J19" s="67">
        <v>808.37</v>
      </c>
      <c r="K19" s="69"/>
      <c r="L19" s="70">
        <v>475.74</v>
      </c>
      <c r="M19" s="71"/>
      <c r="N19" s="67">
        <v>1712.27</v>
      </c>
      <c r="O19" s="69"/>
      <c r="P19" s="70">
        <v>819.65</v>
      </c>
      <c r="Q19" s="71"/>
      <c r="R19" s="242">
        <f t="shared" si="0"/>
        <v>3957.44</v>
      </c>
      <c r="S19" s="106">
        <f>D19+H19+L19+P19</f>
        <v>1747.99</v>
      </c>
      <c r="T19" s="106"/>
      <c r="U19" s="106"/>
    </row>
    <row r="20" spans="1:21" ht="15.75" thickBot="1">
      <c r="A20" s="92" t="s">
        <v>100</v>
      </c>
      <c r="B20" s="249"/>
      <c r="C20" s="73">
        <v>125.46</v>
      </c>
      <c r="D20" s="74">
        <v>0</v>
      </c>
      <c r="E20" s="75"/>
      <c r="F20" s="73">
        <v>313.65</v>
      </c>
      <c r="G20" s="75"/>
      <c r="H20" s="76">
        <v>0</v>
      </c>
      <c r="I20" s="77"/>
      <c r="J20" s="73">
        <v>313.65</v>
      </c>
      <c r="K20" s="75"/>
      <c r="L20" s="76">
        <v>0</v>
      </c>
      <c r="M20" s="77"/>
      <c r="N20" s="73">
        <v>1030.42</v>
      </c>
      <c r="O20" s="75"/>
      <c r="P20" s="76">
        <v>0</v>
      </c>
      <c r="Q20" s="77"/>
      <c r="R20" s="243">
        <f>C20+F20+J20+N20+R21</f>
        <v>9705.29</v>
      </c>
      <c r="S20" s="105">
        <f>D20+H20+L20+P20+S21</f>
        <v>3063.13</v>
      </c>
      <c r="T20" s="105">
        <f>R20</f>
        <v>9705.29</v>
      </c>
      <c r="U20" s="105" t="s">
        <v>157</v>
      </c>
    </row>
    <row r="21" spans="1:21" ht="15.75" hidden="1" thickBot="1">
      <c r="A21" s="276" t="s">
        <v>102</v>
      </c>
      <c r="B21" s="127"/>
      <c r="C21" s="277">
        <v>1301.88</v>
      </c>
      <c r="D21" s="278">
        <v>0</v>
      </c>
      <c r="E21" s="279"/>
      <c r="F21" s="277">
        <v>1177.27</v>
      </c>
      <c r="G21" s="279"/>
      <c r="H21" s="280">
        <v>744.79</v>
      </c>
      <c r="I21" s="281"/>
      <c r="J21" s="277">
        <v>1459.92</v>
      </c>
      <c r="K21" s="279"/>
      <c r="L21" s="280">
        <v>869.57</v>
      </c>
      <c r="M21" s="281"/>
      <c r="N21" s="277">
        <v>3983.04</v>
      </c>
      <c r="O21" s="279"/>
      <c r="P21" s="280">
        <v>1448.77</v>
      </c>
      <c r="Q21" s="281"/>
      <c r="R21" s="244">
        <f t="shared" si="0"/>
        <v>7922.110000000001</v>
      </c>
      <c r="S21" s="134">
        <f>D21+H21+L21+P21</f>
        <v>3063.13</v>
      </c>
      <c r="T21" s="134"/>
      <c r="U21" s="134"/>
    </row>
    <row r="22" spans="1:21" ht="15.75" thickBot="1">
      <c r="A22" s="84"/>
      <c r="B22" s="87"/>
      <c r="C22" s="54"/>
      <c r="D22" s="55"/>
      <c r="E22" s="56"/>
      <c r="F22" s="54"/>
      <c r="G22" s="56"/>
      <c r="H22" s="57"/>
      <c r="I22" s="58"/>
      <c r="J22" s="54"/>
      <c r="K22" s="56"/>
      <c r="L22" s="57"/>
      <c r="M22" s="58"/>
      <c r="N22" s="54"/>
      <c r="O22" s="56"/>
      <c r="P22" s="57"/>
      <c r="Q22" s="58"/>
      <c r="R22" s="243">
        <f>SUM(R9:R21)-R19-R21</f>
        <v>169767.76</v>
      </c>
      <c r="S22" s="243">
        <f>SUM(S9:S21)-S19-S21</f>
        <v>52310.95</v>
      </c>
      <c r="T22" s="243">
        <f>SUM(T9:T21)-T19-T21</f>
        <v>149348.46</v>
      </c>
      <c r="U22" s="10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5.421875" style="34" customWidth="1"/>
    <col min="22" max="23" width="9.140625" style="13" customWidth="1"/>
  </cols>
  <sheetData>
    <row r="1" ht="15">
      <c r="A1" s="32" t="s">
        <v>115</v>
      </c>
    </row>
    <row r="3" ht="15">
      <c r="A3" s="32" t="s">
        <v>130</v>
      </c>
    </row>
    <row r="4" ht="15">
      <c r="A4" s="32" t="s">
        <v>116</v>
      </c>
    </row>
    <row r="5" spans="2:3" ht="15">
      <c r="B5" s="32">
        <v>729.9</v>
      </c>
      <c r="C5" s="33">
        <f>C8/B8</f>
        <v>391.1478873239437</v>
      </c>
    </row>
    <row r="6" ht="15.75" thickBot="1"/>
    <row r="7" spans="1:23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154" t="s">
        <v>137</v>
      </c>
      <c r="T7" s="154" t="s">
        <v>138</v>
      </c>
      <c r="U7" s="154"/>
      <c r="V7" s="21"/>
      <c r="W7" s="21"/>
    </row>
    <row r="8" spans="1:21" ht="15">
      <c r="A8" s="80" t="s">
        <v>139</v>
      </c>
      <c r="B8" s="116">
        <v>15.62</v>
      </c>
      <c r="C8" s="59">
        <v>6109.73</v>
      </c>
      <c r="D8" s="60">
        <v>0</v>
      </c>
      <c r="E8" s="61"/>
      <c r="F8" s="59">
        <v>11401.05</v>
      </c>
      <c r="G8" s="120">
        <v>1</v>
      </c>
      <c r="H8" s="62">
        <v>4329.07</v>
      </c>
      <c r="I8" s="63"/>
      <c r="J8" s="59">
        <v>11401.05</v>
      </c>
      <c r="K8" s="120">
        <v>1</v>
      </c>
      <c r="L8" s="62">
        <v>5883.25</v>
      </c>
      <c r="M8" s="63"/>
      <c r="N8" s="59">
        <v>11401.05</v>
      </c>
      <c r="O8" s="120">
        <v>1</v>
      </c>
      <c r="P8" s="62">
        <v>13559.14</v>
      </c>
      <c r="Q8" s="63"/>
      <c r="R8" s="102">
        <f>C8+F8+J8+N8</f>
        <v>40312.88</v>
      </c>
      <c r="S8" s="102">
        <f aca="true" t="shared" si="0" ref="S8:S17">D8+H8+L8+P8</f>
        <v>23771.46</v>
      </c>
      <c r="T8" s="102">
        <f>SUM(T9:T13)</f>
        <v>36864.56</v>
      </c>
      <c r="U8" s="102"/>
    </row>
    <row r="9" spans="1:23" s="11" customFormat="1" ht="15">
      <c r="A9" s="49" t="s">
        <v>105</v>
      </c>
      <c r="B9" s="117">
        <v>4.77</v>
      </c>
      <c r="C9" s="44">
        <f>B9*C5</f>
        <v>1865.7754225352112</v>
      </c>
      <c r="D9" s="45"/>
      <c r="E9" s="46"/>
      <c r="F9" s="44">
        <f>B9*B5</f>
        <v>3481.6229999999996</v>
      </c>
      <c r="G9" s="121">
        <f>F9/F8</f>
        <v>0.30537739945005066</v>
      </c>
      <c r="H9" s="47">
        <f>G9*H8</f>
        <v>1322.0001386372307</v>
      </c>
      <c r="I9" s="48"/>
      <c r="J9" s="44">
        <v>3481.63</v>
      </c>
      <c r="K9" s="121">
        <f>J9/J8</f>
        <v>0.3053780134285877</v>
      </c>
      <c r="L9" s="47">
        <f>K9*L8</f>
        <v>1796.6151975037387</v>
      </c>
      <c r="M9" s="48"/>
      <c r="N9" s="44">
        <v>3481.63</v>
      </c>
      <c r="O9" s="121">
        <f>N9/N8</f>
        <v>0.3053780134285877</v>
      </c>
      <c r="P9" s="47">
        <f>O9*P8</f>
        <v>4140.663237000101</v>
      </c>
      <c r="Q9" s="48"/>
      <c r="R9" s="103">
        <f>C9+F9+J9+N9</f>
        <v>12310.658422535213</v>
      </c>
      <c r="S9" s="103">
        <f t="shared" si="0"/>
        <v>7259.27857314107</v>
      </c>
      <c r="T9" s="103">
        <v>17366.24</v>
      </c>
      <c r="U9" s="266" t="s">
        <v>156</v>
      </c>
      <c r="V9" s="26"/>
      <c r="W9" s="26"/>
    </row>
    <row r="10" spans="1:23" s="11" customFormat="1" ht="23.25">
      <c r="A10" s="51" t="s">
        <v>146</v>
      </c>
      <c r="B10" s="118">
        <v>3.2</v>
      </c>
      <c r="C10" s="44">
        <f>B10*C5</f>
        <v>1251.67323943662</v>
      </c>
      <c r="D10" s="45"/>
      <c r="E10" s="46"/>
      <c r="F10" s="44">
        <f>B10*B5</f>
        <v>2335.68</v>
      </c>
      <c r="G10" s="121">
        <f>F10/F8</f>
        <v>0.2048653413501388</v>
      </c>
      <c r="H10" s="47">
        <f>G10*H8</f>
        <v>886.8764032786454</v>
      </c>
      <c r="I10" s="48"/>
      <c r="J10" s="44">
        <v>2335.68</v>
      </c>
      <c r="K10" s="121">
        <f>J10/J8</f>
        <v>0.2048653413501388</v>
      </c>
      <c r="L10" s="47">
        <f>K10*L8</f>
        <v>1205.274019498204</v>
      </c>
      <c r="M10" s="48"/>
      <c r="N10" s="44">
        <v>2335.68</v>
      </c>
      <c r="O10" s="121">
        <f>N10/N8</f>
        <v>0.2048653413501388</v>
      </c>
      <c r="P10" s="47">
        <f>O10*P8</f>
        <v>2777.7978445143212</v>
      </c>
      <c r="Q10" s="48"/>
      <c r="R10" s="103">
        <f>C10+F10+J10+N10</f>
        <v>8258.71323943662</v>
      </c>
      <c r="S10" s="103">
        <f t="shared" si="0"/>
        <v>4869.948267291171</v>
      </c>
      <c r="T10" s="103">
        <f>12924.73*60%</f>
        <v>7754.838</v>
      </c>
      <c r="U10" s="266" t="s">
        <v>156</v>
      </c>
      <c r="V10" s="26"/>
      <c r="W10" s="26"/>
    </row>
    <row r="11" spans="1:23" s="11" customFormat="1" ht="15">
      <c r="A11" s="51" t="s">
        <v>107</v>
      </c>
      <c r="B11" s="118">
        <v>1.83</v>
      </c>
      <c r="C11" s="44">
        <f>B11*C5</f>
        <v>715.800633802817</v>
      </c>
      <c r="D11" s="45"/>
      <c r="E11" s="46"/>
      <c r="F11" s="44">
        <f>B11*B5</f>
        <v>1335.717</v>
      </c>
      <c r="G11" s="121">
        <f>F11/F8</f>
        <v>0.11715736708461065</v>
      </c>
      <c r="H11" s="47">
        <f>G11*H8</f>
        <v>507.1824431249754</v>
      </c>
      <c r="I11" s="48"/>
      <c r="J11" s="44">
        <v>1335.72</v>
      </c>
      <c r="K11" s="121">
        <f>J11/J8</f>
        <v>0.11715763021826937</v>
      </c>
      <c r="L11" s="47">
        <f>K11*L8</f>
        <v>689.2676279816333</v>
      </c>
      <c r="M11" s="48"/>
      <c r="N11" s="44">
        <v>1335.72</v>
      </c>
      <c r="O11" s="121">
        <f>N11/N8</f>
        <v>0.11715763021826937</v>
      </c>
      <c r="P11" s="47">
        <f>O11*P8</f>
        <v>1588.556710197745</v>
      </c>
      <c r="Q11" s="48"/>
      <c r="R11" s="103">
        <f>C11+F11+J11+N11</f>
        <v>4722.957633802817</v>
      </c>
      <c r="S11" s="103">
        <f t="shared" si="0"/>
        <v>2785.0067813043534</v>
      </c>
      <c r="T11" s="103">
        <f>12924.73-T10</f>
        <v>5169.892</v>
      </c>
      <c r="U11" s="266" t="s">
        <v>156</v>
      </c>
      <c r="V11" s="26"/>
      <c r="W11" s="26"/>
    </row>
    <row r="12" spans="1:23" s="11" customFormat="1" ht="15">
      <c r="A12" s="51" t="s">
        <v>108</v>
      </c>
      <c r="B12" s="118" t="s">
        <v>145</v>
      </c>
      <c r="C12" s="44">
        <f>B12*C5</f>
        <v>934.8434507042255</v>
      </c>
      <c r="D12" s="45"/>
      <c r="E12" s="46"/>
      <c r="F12" s="44">
        <f>B12*B5</f>
        <v>1744.461</v>
      </c>
      <c r="G12" s="121">
        <f>F12/F8</f>
        <v>0.15300880182088494</v>
      </c>
      <c r="H12" s="47">
        <f>G12*H8</f>
        <v>662.3858136987384</v>
      </c>
      <c r="I12" s="48"/>
      <c r="J12" s="44">
        <v>1744.46</v>
      </c>
      <c r="K12" s="121">
        <f>J12/J8</f>
        <v>0.15300871410966535</v>
      </c>
      <c r="L12" s="47">
        <f>K12*L8</f>
        <v>900.1885172856887</v>
      </c>
      <c r="M12" s="48"/>
      <c r="N12" s="44">
        <v>1744.46</v>
      </c>
      <c r="O12" s="121">
        <f>N12/N8</f>
        <v>0.15300871410966535</v>
      </c>
      <c r="P12" s="47">
        <f>O12*P8</f>
        <v>2074.6665758329277</v>
      </c>
      <c r="Q12" s="48"/>
      <c r="R12" s="103">
        <f>C12+F12+J12+N12</f>
        <v>6168.224450704226</v>
      </c>
      <c r="S12" s="103">
        <f t="shared" si="0"/>
        <v>3637.2409068173547</v>
      </c>
      <c r="T12" s="103">
        <v>6573.59</v>
      </c>
      <c r="U12" s="266" t="s">
        <v>154</v>
      </c>
      <c r="V12" s="26"/>
      <c r="W12" s="26"/>
    </row>
    <row r="13" spans="1:23" s="11" customFormat="1" ht="15.75" thickBot="1">
      <c r="A13" s="66" t="s">
        <v>110</v>
      </c>
      <c r="B13" s="119">
        <f>1.82+1.61</f>
        <v>3.43</v>
      </c>
      <c r="C13" s="67">
        <f>B13*C5</f>
        <v>1341.637253521127</v>
      </c>
      <c r="D13" s="68"/>
      <c r="E13" s="69"/>
      <c r="F13" s="67">
        <f>B13*B5</f>
        <v>2503.5570000000002</v>
      </c>
      <c r="G13" s="122">
        <f>F13/F8</f>
        <v>0.21959003775968006</v>
      </c>
      <c r="H13" s="70">
        <f>G13*H8</f>
        <v>950.620644764298</v>
      </c>
      <c r="I13" s="71"/>
      <c r="J13" s="67">
        <v>2503.56</v>
      </c>
      <c r="K13" s="122">
        <f>J13/J8</f>
        <v>0.21959030089333878</v>
      </c>
      <c r="L13" s="70">
        <f>K13*L8</f>
        <v>1291.9046377307354</v>
      </c>
      <c r="M13" s="71"/>
      <c r="N13" s="67">
        <v>2503.56</v>
      </c>
      <c r="O13" s="122">
        <f>N13/N8</f>
        <v>0.21959030089333878</v>
      </c>
      <c r="P13" s="70">
        <f>O13*P8</f>
        <v>2977.4556324549053</v>
      </c>
      <c r="Q13" s="71"/>
      <c r="R13" s="104">
        <f>C13+F13+J13+N13+0.01</f>
        <v>8852.324253521127</v>
      </c>
      <c r="S13" s="104">
        <f t="shared" si="0"/>
        <v>5219.980914949939</v>
      </c>
      <c r="T13" s="104">
        <v>0</v>
      </c>
      <c r="U13" s="106"/>
      <c r="V13" s="26"/>
      <c r="W13" s="26"/>
    </row>
    <row r="14" spans="1:21" ht="15.75" thickBot="1">
      <c r="A14" s="72" t="s">
        <v>96</v>
      </c>
      <c r="B14" s="113"/>
      <c r="C14" s="73">
        <v>38.74</v>
      </c>
      <c r="D14" s="74">
        <v>0</v>
      </c>
      <c r="E14" s="75"/>
      <c r="F14" s="73">
        <v>38.74</v>
      </c>
      <c r="G14" s="75"/>
      <c r="H14" s="76">
        <v>0</v>
      </c>
      <c r="I14" s="77"/>
      <c r="J14" s="73">
        <v>38.74</v>
      </c>
      <c r="K14" s="75"/>
      <c r="L14" s="76">
        <v>24.11</v>
      </c>
      <c r="M14" s="77"/>
      <c r="N14" s="73">
        <v>-116.22</v>
      </c>
      <c r="O14" s="75"/>
      <c r="P14" s="76">
        <v>94.01</v>
      </c>
      <c r="Q14" s="77"/>
      <c r="R14" s="105">
        <f aca="true" t="shared" si="1" ref="R14:R21">C14+F14+J14+N14</f>
        <v>0</v>
      </c>
      <c r="S14" s="105">
        <f t="shared" si="0"/>
        <v>118.12</v>
      </c>
      <c r="T14" s="105">
        <v>0</v>
      </c>
      <c r="U14" s="105"/>
    </row>
    <row r="15" spans="1:21" ht="15">
      <c r="A15" s="80" t="s">
        <v>97</v>
      </c>
      <c r="B15" s="114"/>
      <c r="C15" s="59">
        <v>0</v>
      </c>
      <c r="D15" s="60">
        <v>0</v>
      </c>
      <c r="E15" s="61"/>
      <c r="F15" s="59">
        <v>0</v>
      </c>
      <c r="G15" s="61"/>
      <c r="H15" s="62">
        <v>0</v>
      </c>
      <c r="I15" s="63"/>
      <c r="J15" s="59">
        <v>1455.09</v>
      </c>
      <c r="K15" s="61"/>
      <c r="L15" s="62">
        <v>399.68</v>
      </c>
      <c r="M15" s="63"/>
      <c r="N15" s="59">
        <v>4119.76</v>
      </c>
      <c r="O15" s="61"/>
      <c r="P15" s="62">
        <v>767.34</v>
      </c>
      <c r="Q15" s="63"/>
      <c r="R15" s="102">
        <f t="shared" si="1"/>
        <v>5574.85</v>
      </c>
      <c r="S15" s="102">
        <f t="shared" si="0"/>
        <v>1167.02</v>
      </c>
      <c r="T15" s="102">
        <v>7381.96</v>
      </c>
      <c r="U15" s="267" t="s">
        <v>155</v>
      </c>
    </row>
    <row r="16" spans="1:21" ht="15.75" thickBot="1">
      <c r="A16" s="81" t="s">
        <v>98</v>
      </c>
      <c r="B16" s="115"/>
      <c r="C16" s="67">
        <v>0</v>
      </c>
      <c r="D16" s="68">
        <v>0</v>
      </c>
      <c r="E16" s="69"/>
      <c r="F16" s="67">
        <v>0</v>
      </c>
      <c r="G16" s="69"/>
      <c r="H16" s="70">
        <v>0</v>
      </c>
      <c r="I16" s="71"/>
      <c r="J16" s="67">
        <v>3558.38</v>
      </c>
      <c r="K16" s="69"/>
      <c r="L16" s="70">
        <v>977.42</v>
      </c>
      <c r="M16" s="71"/>
      <c r="N16" s="67">
        <v>10074.65</v>
      </c>
      <c r="O16" s="69"/>
      <c r="P16" s="70">
        <v>1876.5</v>
      </c>
      <c r="Q16" s="71"/>
      <c r="R16" s="106">
        <f t="shared" si="1"/>
        <v>13633.029999999999</v>
      </c>
      <c r="S16" s="106">
        <f t="shared" si="0"/>
        <v>2853.92</v>
      </c>
      <c r="T16" s="106">
        <v>18000.16</v>
      </c>
      <c r="U16" s="106" t="s">
        <v>155</v>
      </c>
    </row>
    <row r="17" spans="1:21" ht="15.75" thickBot="1">
      <c r="A17" s="72" t="s">
        <v>6</v>
      </c>
      <c r="B17" s="113"/>
      <c r="C17" s="73">
        <v>0</v>
      </c>
      <c r="D17" s="74">
        <v>0</v>
      </c>
      <c r="E17" s="75"/>
      <c r="F17" s="73">
        <v>0</v>
      </c>
      <c r="G17" s="75"/>
      <c r="H17" s="76">
        <v>0</v>
      </c>
      <c r="I17" s="77"/>
      <c r="J17" s="73">
        <v>25535.73</v>
      </c>
      <c r="K17" s="75"/>
      <c r="L17" s="76">
        <v>6299.51</v>
      </c>
      <c r="M17" s="77"/>
      <c r="N17" s="73">
        <v>60434.55</v>
      </c>
      <c r="O17" s="75"/>
      <c r="P17" s="76">
        <v>14488.25</v>
      </c>
      <c r="Q17" s="77"/>
      <c r="R17" s="105">
        <f t="shared" si="1"/>
        <v>85970.28</v>
      </c>
      <c r="S17" s="105">
        <f t="shared" si="0"/>
        <v>20787.760000000002</v>
      </c>
      <c r="T17" s="105">
        <v>59392.06</v>
      </c>
      <c r="U17" s="102" t="s">
        <v>155</v>
      </c>
    </row>
    <row r="18" spans="1:21" ht="15.75" thickBot="1">
      <c r="A18" s="80" t="s">
        <v>99</v>
      </c>
      <c r="B18" s="113"/>
      <c r="C18" s="59">
        <v>391.68</v>
      </c>
      <c r="D18" s="60">
        <v>0</v>
      </c>
      <c r="E18" s="61"/>
      <c r="F18" s="59">
        <v>407.47</v>
      </c>
      <c r="G18" s="61"/>
      <c r="H18" s="62">
        <v>176.71</v>
      </c>
      <c r="I18" s="63"/>
      <c r="J18" s="59">
        <v>424.32</v>
      </c>
      <c r="K18" s="61"/>
      <c r="L18" s="62">
        <v>229.61</v>
      </c>
      <c r="M18" s="63"/>
      <c r="N18" s="59">
        <v>1103.41</v>
      </c>
      <c r="O18" s="61"/>
      <c r="P18" s="62">
        <v>470.08</v>
      </c>
      <c r="Q18" s="63"/>
      <c r="R18" s="102">
        <f>C18+F18+J18+N18+R19</f>
        <v>3320.7</v>
      </c>
      <c r="S18" s="102">
        <f>D18+H18+L18+P18+S19</f>
        <v>1506.67</v>
      </c>
      <c r="T18" s="102">
        <f>R18</f>
        <v>3320.7</v>
      </c>
      <c r="U18" s="105" t="s">
        <v>157</v>
      </c>
    </row>
    <row r="19" spans="1:21" ht="15.75" hidden="1" thickBot="1">
      <c r="A19" s="81" t="s">
        <v>101</v>
      </c>
      <c r="B19" s="113"/>
      <c r="C19" s="67">
        <v>456.96</v>
      </c>
      <c r="D19" s="68">
        <v>0</v>
      </c>
      <c r="E19" s="69"/>
      <c r="F19" s="67">
        <v>-1.04</v>
      </c>
      <c r="G19" s="69"/>
      <c r="H19" s="70">
        <v>153.56</v>
      </c>
      <c r="I19" s="71"/>
      <c r="J19" s="67">
        <v>173.57</v>
      </c>
      <c r="K19" s="69"/>
      <c r="L19" s="70">
        <v>165.23</v>
      </c>
      <c r="M19" s="71"/>
      <c r="N19" s="67">
        <v>364.33</v>
      </c>
      <c r="O19" s="69"/>
      <c r="P19" s="70">
        <v>311.48</v>
      </c>
      <c r="Q19" s="71"/>
      <c r="R19" s="106">
        <f t="shared" si="1"/>
        <v>993.8199999999999</v>
      </c>
      <c r="S19" s="106">
        <f>D19+H19+L19+P19</f>
        <v>630.27</v>
      </c>
      <c r="T19" s="106"/>
      <c r="U19" s="106"/>
    </row>
    <row r="20" spans="1:21" ht="15.75" thickBot="1">
      <c r="A20" s="72" t="s">
        <v>100</v>
      </c>
      <c r="B20" s="249"/>
      <c r="C20" s="73">
        <v>752.76</v>
      </c>
      <c r="D20" s="74">
        <v>0</v>
      </c>
      <c r="E20" s="75"/>
      <c r="F20" s="73">
        <v>783.11</v>
      </c>
      <c r="G20" s="75"/>
      <c r="H20" s="76">
        <v>339.63</v>
      </c>
      <c r="I20" s="77"/>
      <c r="J20" s="73">
        <v>815.49</v>
      </c>
      <c r="K20" s="75"/>
      <c r="L20" s="76">
        <v>441.28</v>
      </c>
      <c r="M20" s="77"/>
      <c r="N20" s="73">
        <v>2679.07</v>
      </c>
      <c r="O20" s="75"/>
      <c r="P20" s="76">
        <v>903.43</v>
      </c>
      <c r="Q20" s="77"/>
      <c r="R20" s="105">
        <f>C20+F20+J20+N20+R21</f>
        <v>6971.620000000001</v>
      </c>
      <c r="S20" s="105">
        <f>D20+H20+L20+P20+S21</f>
        <v>2792.25</v>
      </c>
      <c r="T20" s="105">
        <f>R20</f>
        <v>6971.620000000001</v>
      </c>
      <c r="U20" s="105" t="s">
        <v>157</v>
      </c>
    </row>
    <row r="21" spans="1:21" ht="15.75" hidden="1" thickBot="1">
      <c r="A21" s="284" t="s">
        <v>102</v>
      </c>
      <c r="B21" s="127"/>
      <c r="C21" s="277">
        <v>815.49</v>
      </c>
      <c r="D21" s="278">
        <v>0</v>
      </c>
      <c r="E21" s="279"/>
      <c r="F21" s="277">
        <v>-36.17</v>
      </c>
      <c r="G21" s="279"/>
      <c r="H21" s="280">
        <v>310.13</v>
      </c>
      <c r="I21" s="281"/>
      <c r="J21" s="277">
        <v>327.15</v>
      </c>
      <c r="K21" s="279"/>
      <c r="L21" s="280">
        <v>284.18</v>
      </c>
      <c r="M21" s="281"/>
      <c r="N21" s="277">
        <v>834.72</v>
      </c>
      <c r="O21" s="279"/>
      <c r="P21" s="280">
        <v>513.6</v>
      </c>
      <c r="Q21" s="281"/>
      <c r="R21" s="134">
        <f t="shared" si="1"/>
        <v>1941.19</v>
      </c>
      <c r="S21" s="134">
        <f>D21+H21+L21+P21</f>
        <v>1107.9099999999999</v>
      </c>
      <c r="T21" s="134"/>
      <c r="U21" s="134"/>
    </row>
    <row r="22" spans="1:21" ht="15.75" thickBot="1">
      <c r="A22" s="84"/>
      <c r="B22" s="87"/>
      <c r="C22" s="54"/>
      <c r="D22" s="55"/>
      <c r="E22" s="56"/>
      <c r="F22" s="54"/>
      <c r="G22" s="56"/>
      <c r="H22" s="57"/>
      <c r="I22" s="58"/>
      <c r="J22" s="54"/>
      <c r="K22" s="56"/>
      <c r="L22" s="57"/>
      <c r="M22" s="58"/>
      <c r="N22" s="54"/>
      <c r="O22" s="56"/>
      <c r="P22" s="57"/>
      <c r="Q22" s="58"/>
      <c r="R22" s="134">
        <f>SUM(R9:R21)-R19-R21</f>
        <v>155783.358</v>
      </c>
      <c r="S22" s="134">
        <f>SUM(S9:S21)-S19-S21</f>
        <v>52997.19544350389</v>
      </c>
      <c r="T22" s="134">
        <f>SUM(T9:T21)</f>
        <v>131931.06</v>
      </c>
      <c r="U22" s="134"/>
    </row>
    <row r="23" ht="15">
      <c r="T23" s="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5.8515625" style="34" customWidth="1"/>
    <col min="22" max="23" width="9.140625" style="32" customWidth="1"/>
    <col min="24" max="24" width="9.140625" style="1" customWidth="1"/>
  </cols>
  <sheetData>
    <row r="1" ht="15">
      <c r="A1" s="32" t="s">
        <v>115</v>
      </c>
    </row>
    <row r="3" ht="15">
      <c r="A3" s="32" t="s">
        <v>131</v>
      </c>
    </row>
    <row r="4" ht="15">
      <c r="A4" s="32" t="s">
        <v>116</v>
      </c>
    </row>
    <row r="5" spans="2:4" ht="15">
      <c r="B5" s="32">
        <v>529.26</v>
      </c>
      <c r="C5" s="33">
        <f>C8/B8</f>
        <v>282.2714468629962</v>
      </c>
      <c r="D5" s="33">
        <f>F8/B8</f>
        <v>454.06978233034573</v>
      </c>
    </row>
    <row r="6" ht="15.75" thickBot="1"/>
    <row r="7" spans="1:24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154" t="s">
        <v>137</v>
      </c>
      <c r="T7" s="154" t="s">
        <v>138</v>
      </c>
      <c r="U7" s="154"/>
      <c r="V7" s="43"/>
      <c r="W7" s="43"/>
      <c r="X7" s="152"/>
    </row>
    <row r="8" spans="1:21" ht="15">
      <c r="A8" s="93" t="s">
        <v>139</v>
      </c>
      <c r="B8" s="116">
        <v>15.62</v>
      </c>
      <c r="C8" s="59">
        <v>4409.08</v>
      </c>
      <c r="D8" s="60">
        <v>0</v>
      </c>
      <c r="E8" s="61"/>
      <c r="F8" s="59">
        <v>7092.57</v>
      </c>
      <c r="G8" s="120">
        <v>1</v>
      </c>
      <c r="H8" s="62">
        <v>3017.27</v>
      </c>
      <c r="I8" s="63"/>
      <c r="J8" s="59">
        <v>8267.03</v>
      </c>
      <c r="K8" s="120">
        <v>1</v>
      </c>
      <c r="L8" s="62">
        <v>2427.84</v>
      </c>
      <c r="M8" s="63"/>
      <c r="N8" s="59">
        <v>8267.03</v>
      </c>
      <c r="O8" s="120">
        <v>1</v>
      </c>
      <c r="P8" s="62">
        <v>9596.72</v>
      </c>
      <c r="Q8" s="63"/>
      <c r="R8" s="102">
        <f aca="true" t="shared" si="0" ref="R8:R20">C8+F8+J8+N8</f>
        <v>28035.71</v>
      </c>
      <c r="S8" s="102">
        <f aca="true" t="shared" si="1" ref="S8:S16">D8+H8+L8+P8</f>
        <v>15041.83</v>
      </c>
      <c r="T8" s="102">
        <f>SUM(T9:T13)</f>
        <v>26290.710000000003</v>
      </c>
      <c r="U8" s="102"/>
    </row>
    <row r="9" spans="1:24" s="11" customFormat="1" ht="15">
      <c r="A9" s="208" t="s">
        <v>105</v>
      </c>
      <c r="B9" s="117">
        <v>4.77</v>
      </c>
      <c r="C9" s="44">
        <f>B9*C5</f>
        <v>1346.4348015364917</v>
      </c>
      <c r="D9" s="45"/>
      <c r="E9" s="46"/>
      <c r="F9" s="44">
        <f>B9*D5</f>
        <v>2165.912861715749</v>
      </c>
      <c r="G9" s="121">
        <f>F9/F8</f>
        <v>0.3053777208706786</v>
      </c>
      <c r="H9" s="47">
        <f>G9*H8</f>
        <v>921.4070358514724</v>
      </c>
      <c r="I9" s="48"/>
      <c r="J9" s="44">
        <f>B9*B5</f>
        <v>2524.5701999999997</v>
      </c>
      <c r="K9" s="121">
        <f>J9/J8</f>
        <v>0.30537813459005225</v>
      </c>
      <c r="L9" s="47">
        <f>K9*L8</f>
        <v>741.4092502831126</v>
      </c>
      <c r="M9" s="48"/>
      <c r="N9" s="44">
        <v>2524.57</v>
      </c>
      <c r="O9" s="121">
        <f>N9/N8</f>
        <v>0.3053781103975672</v>
      </c>
      <c r="P9" s="47">
        <f>O9*P8</f>
        <v>2930.6282196145407</v>
      </c>
      <c r="Q9" s="48"/>
      <c r="R9" s="103">
        <f t="shared" si="0"/>
        <v>8561.48786325224</v>
      </c>
      <c r="S9" s="103">
        <f t="shared" si="1"/>
        <v>4593.444505749126</v>
      </c>
      <c r="T9" s="103">
        <v>11941.42</v>
      </c>
      <c r="U9" s="266" t="s">
        <v>156</v>
      </c>
      <c r="V9" s="50"/>
      <c r="W9" s="50"/>
      <c r="X9" s="153"/>
    </row>
    <row r="10" spans="1:24" s="11" customFormat="1" ht="22.5">
      <c r="A10" s="213" t="s">
        <v>146</v>
      </c>
      <c r="B10" s="118">
        <v>3.2</v>
      </c>
      <c r="C10" s="44">
        <f>B10*C5</f>
        <v>903.2686299615879</v>
      </c>
      <c r="D10" s="45"/>
      <c r="E10" s="46"/>
      <c r="F10" s="44">
        <f>B10*D5</f>
        <v>1453.0233034571065</v>
      </c>
      <c r="G10" s="121">
        <f>F10/F8</f>
        <v>0.20486555697823308</v>
      </c>
      <c r="H10" s="47">
        <f>G10*H8</f>
        <v>618.1346991037133</v>
      </c>
      <c r="I10" s="48"/>
      <c r="J10" s="44">
        <f>B10*B5</f>
        <v>1693.632</v>
      </c>
      <c r="K10" s="121">
        <f>J10/J8</f>
        <v>0.20486583452582124</v>
      </c>
      <c r="L10" s="47">
        <f>K10*L8</f>
        <v>497.3814676951699</v>
      </c>
      <c r="M10" s="48"/>
      <c r="N10" s="44">
        <v>1693.63</v>
      </c>
      <c r="O10" s="121">
        <f>N10/N8</f>
        <v>0.20486559260097037</v>
      </c>
      <c r="P10" s="47">
        <f>O10*P8</f>
        <v>1966.0377298255842</v>
      </c>
      <c r="Q10" s="48"/>
      <c r="R10" s="103">
        <f t="shared" si="0"/>
        <v>5743.553933418694</v>
      </c>
      <c r="S10" s="103">
        <f t="shared" si="1"/>
        <v>3081.5538966244676</v>
      </c>
      <c r="T10" s="103">
        <f>9582.7*60%</f>
        <v>5749.62</v>
      </c>
      <c r="U10" s="266" t="s">
        <v>156</v>
      </c>
      <c r="V10" s="50"/>
      <c r="W10" s="50"/>
      <c r="X10" s="153"/>
    </row>
    <row r="11" spans="1:24" s="11" customFormat="1" ht="15">
      <c r="A11" s="213" t="s">
        <v>107</v>
      </c>
      <c r="B11" s="118">
        <v>1.83</v>
      </c>
      <c r="C11" s="44">
        <f>B11*C5</f>
        <v>516.556747759283</v>
      </c>
      <c r="D11" s="45"/>
      <c r="E11" s="46"/>
      <c r="F11" s="44">
        <f>B11*D5</f>
        <v>830.9477016645327</v>
      </c>
      <c r="G11" s="121">
        <f>F11/F8</f>
        <v>0.11715749039692702</v>
      </c>
      <c r="H11" s="47">
        <f>G11*H8</f>
        <v>353.495781049936</v>
      </c>
      <c r="I11" s="48"/>
      <c r="J11" s="44">
        <f>B11*B5-0.01</f>
        <v>968.5358</v>
      </c>
      <c r="K11" s="121">
        <f>J11/J8</f>
        <v>0.11715643949519959</v>
      </c>
      <c r="L11" s="47">
        <f>K11*L8</f>
        <v>284.43709006402537</v>
      </c>
      <c r="M11" s="48"/>
      <c r="N11" s="44">
        <v>968.54</v>
      </c>
      <c r="O11" s="121">
        <f>N11/N8</f>
        <v>0.11715694753738645</v>
      </c>
      <c r="P11" s="47">
        <f>O11*P8</f>
        <v>1124.3224215709872</v>
      </c>
      <c r="Q11" s="48"/>
      <c r="R11" s="103">
        <f t="shared" si="0"/>
        <v>3284.5802494238155</v>
      </c>
      <c r="S11" s="103">
        <f t="shared" si="1"/>
        <v>1762.2552926849485</v>
      </c>
      <c r="T11" s="103">
        <f>9582.7-T10</f>
        <v>3833.080000000001</v>
      </c>
      <c r="U11" s="266" t="s">
        <v>156</v>
      </c>
      <c r="V11" s="50"/>
      <c r="W11" s="50"/>
      <c r="X11" s="153"/>
    </row>
    <row r="12" spans="1:24" s="11" customFormat="1" ht="15">
      <c r="A12" s="213" t="s">
        <v>108</v>
      </c>
      <c r="B12" s="118" t="s">
        <v>145</v>
      </c>
      <c r="C12" s="44">
        <f>B12*C5</f>
        <v>674.628758002561</v>
      </c>
      <c r="D12" s="45"/>
      <c r="E12" s="46"/>
      <c r="F12" s="44">
        <f>B12*D5</f>
        <v>1085.2267797695263</v>
      </c>
      <c r="G12" s="121">
        <f>F12/F8</f>
        <v>0.1530089628681178</v>
      </c>
      <c r="H12" s="47">
        <f>G12*H8</f>
        <v>461.66935339308577</v>
      </c>
      <c r="I12" s="48"/>
      <c r="J12" s="44">
        <f>B12*B5</f>
        <v>1264.9314</v>
      </c>
      <c r="K12" s="121">
        <f>J12/J8</f>
        <v>0.15300917016147272</v>
      </c>
      <c r="L12" s="47">
        <f>K12*L8</f>
        <v>371.48178368482996</v>
      </c>
      <c r="M12" s="48"/>
      <c r="N12" s="44">
        <v>1264.93</v>
      </c>
      <c r="O12" s="121">
        <f>N12/N8</f>
        <v>0.15300900081407712</v>
      </c>
      <c r="P12" s="47">
        <f>O12*P8</f>
        <v>1468.38453829247</v>
      </c>
      <c r="Q12" s="48"/>
      <c r="R12" s="103">
        <f t="shared" si="0"/>
        <v>4289.7169377720875</v>
      </c>
      <c r="S12" s="103">
        <f t="shared" si="1"/>
        <v>2301.535675370386</v>
      </c>
      <c r="T12" s="103">
        <v>4766.59</v>
      </c>
      <c r="U12" s="266" t="s">
        <v>154</v>
      </c>
      <c r="V12" s="50"/>
      <c r="W12" s="50"/>
      <c r="X12" s="153"/>
    </row>
    <row r="13" spans="1:24" s="11" customFormat="1" ht="15.75" thickBot="1">
      <c r="A13" s="214" t="s">
        <v>110</v>
      </c>
      <c r="B13" s="119">
        <f>1.82+1.61</f>
        <v>3.43</v>
      </c>
      <c r="C13" s="67">
        <f>B13*C5</f>
        <v>968.191062740077</v>
      </c>
      <c r="D13" s="68"/>
      <c r="E13" s="69"/>
      <c r="F13" s="67">
        <f>B13*D5</f>
        <v>1557.4593533930858</v>
      </c>
      <c r="G13" s="122">
        <f>F13/F8</f>
        <v>0.21959026888604355</v>
      </c>
      <c r="H13" s="70">
        <f>G13*H8</f>
        <v>662.5631306017926</v>
      </c>
      <c r="I13" s="71"/>
      <c r="J13" s="67">
        <f>B13*B5</f>
        <v>1815.3618000000001</v>
      </c>
      <c r="K13" s="122">
        <f>J13/J8</f>
        <v>0.21959056638236465</v>
      </c>
      <c r="L13" s="70">
        <f>K13*L8</f>
        <v>533.1307606857603</v>
      </c>
      <c r="M13" s="71"/>
      <c r="N13" s="67">
        <v>1815.36</v>
      </c>
      <c r="O13" s="122">
        <f>N13/N8</f>
        <v>0.21959034864999882</v>
      </c>
      <c r="P13" s="70">
        <f>O13*P8</f>
        <v>2107.3470906964167</v>
      </c>
      <c r="Q13" s="71"/>
      <c r="R13" s="104">
        <f t="shared" si="0"/>
        <v>6156.3722161331625</v>
      </c>
      <c r="S13" s="104">
        <f t="shared" si="1"/>
        <v>3303.0409819839697</v>
      </c>
      <c r="T13" s="104">
        <v>0</v>
      </c>
      <c r="U13" s="106"/>
      <c r="V13" s="50"/>
      <c r="W13" s="50"/>
      <c r="X13" s="153"/>
    </row>
    <row r="14" spans="1:21" ht="15.75" thickBot="1">
      <c r="A14" s="93" t="s">
        <v>97</v>
      </c>
      <c r="B14" s="113"/>
      <c r="C14" s="59">
        <v>0</v>
      </c>
      <c r="D14" s="60">
        <v>0</v>
      </c>
      <c r="E14" s="61"/>
      <c r="F14" s="59">
        <v>0</v>
      </c>
      <c r="G14" s="61"/>
      <c r="H14" s="62">
        <v>0</v>
      </c>
      <c r="I14" s="63"/>
      <c r="J14" s="59">
        <v>1411.67</v>
      </c>
      <c r="K14" s="61"/>
      <c r="L14" s="62">
        <v>176.13</v>
      </c>
      <c r="M14" s="63"/>
      <c r="N14" s="59">
        <v>3911.72</v>
      </c>
      <c r="O14" s="61"/>
      <c r="P14" s="62">
        <v>952.97</v>
      </c>
      <c r="Q14" s="63"/>
      <c r="R14" s="102">
        <f t="shared" si="0"/>
        <v>5323.389999999999</v>
      </c>
      <c r="S14" s="102">
        <f t="shared" si="1"/>
        <v>1129.1</v>
      </c>
      <c r="T14" s="102">
        <v>7048.99</v>
      </c>
      <c r="U14" s="267" t="s">
        <v>155</v>
      </c>
    </row>
    <row r="15" spans="1:21" ht="15.75" thickBot="1">
      <c r="A15" s="94" t="s">
        <v>98</v>
      </c>
      <c r="B15" s="113"/>
      <c r="C15" s="67">
        <v>0</v>
      </c>
      <c r="D15" s="68">
        <v>0</v>
      </c>
      <c r="E15" s="69"/>
      <c r="F15" s="67">
        <v>0</v>
      </c>
      <c r="G15" s="69"/>
      <c r="H15" s="70">
        <v>0</v>
      </c>
      <c r="I15" s="71"/>
      <c r="J15" s="67">
        <v>3452.2</v>
      </c>
      <c r="K15" s="69"/>
      <c r="L15" s="70">
        <v>430.68</v>
      </c>
      <c r="M15" s="71"/>
      <c r="N15" s="67">
        <v>9565.88</v>
      </c>
      <c r="O15" s="69"/>
      <c r="P15" s="70">
        <v>2330.55</v>
      </c>
      <c r="Q15" s="71"/>
      <c r="R15" s="106">
        <f t="shared" si="0"/>
        <v>13018.079999999998</v>
      </c>
      <c r="S15" s="106">
        <f t="shared" si="1"/>
        <v>2761.23</v>
      </c>
      <c r="T15" s="106">
        <v>17188.22</v>
      </c>
      <c r="U15" s="106" t="s">
        <v>155</v>
      </c>
    </row>
    <row r="16" spans="1:21" ht="15.75" thickBot="1">
      <c r="A16" s="92" t="s">
        <v>6</v>
      </c>
      <c r="B16" s="113"/>
      <c r="C16" s="73">
        <v>0</v>
      </c>
      <c r="D16" s="74">
        <v>0</v>
      </c>
      <c r="E16" s="75"/>
      <c r="F16" s="73">
        <v>0</v>
      </c>
      <c r="G16" s="75"/>
      <c r="H16" s="76">
        <v>0</v>
      </c>
      <c r="I16" s="77"/>
      <c r="J16" s="73">
        <v>18516.28</v>
      </c>
      <c r="K16" s="75"/>
      <c r="L16" s="76">
        <v>2875.55</v>
      </c>
      <c r="M16" s="77"/>
      <c r="N16" s="73">
        <v>43821.84</v>
      </c>
      <c r="O16" s="75"/>
      <c r="P16" s="76">
        <v>11272.1</v>
      </c>
      <c r="Q16" s="77"/>
      <c r="R16" s="105">
        <f t="shared" si="0"/>
        <v>62338.119999999995</v>
      </c>
      <c r="S16" s="105">
        <f t="shared" si="1"/>
        <v>14147.650000000001</v>
      </c>
      <c r="T16" s="105">
        <v>43065.92</v>
      </c>
      <c r="U16" s="102" t="s">
        <v>155</v>
      </c>
    </row>
    <row r="17" spans="1:21" ht="15.75" thickBot="1">
      <c r="A17" s="93" t="s">
        <v>99</v>
      </c>
      <c r="B17" s="113"/>
      <c r="C17" s="59">
        <v>359.04</v>
      </c>
      <c r="D17" s="60">
        <v>0</v>
      </c>
      <c r="E17" s="61"/>
      <c r="F17" s="59">
        <v>356.86</v>
      </c>
      <c r="G17" s="61"/>
      <c r="H17" s="62">
        <v>248.51</v>
      </c>
      <c r="I17" s="63"/>
      <c r="J17" s="59">
        <v>359.04</v>
      </c>
      <c r="K17" s="61"/>
      <c r="L17" s="62">
        <v>97.58</v>
      </c>
      <c r="M17" s="63"/>
      <c r="N17" s="59">
        <v>933.64</v>
      </c>
      <c r="O17" s="61"/>
      <c r="P17" s="62">
        <v>379.94</v>
      </c>
      <c r="Q17" s="63"/>
      <c r="R17" s="102">
        <f>C17+F17+J17+N17+R18</f>
        <v>3558.34</v>
      </c>
      <c r="S17" s="102">
        <f>D17+H17+L17+P17+S18</f>
        <v>1672.95</v>
      </c>
      <c r="T17" s="102">
        <f>R17</f>
        <v>3558.34</v>
      </c>
      <c r="U17" s="105" t="s">
        <v>157</v>
      </c>
    </row>
    <row r="18" spans="1:21" ht="15.75" hidden="1" thickBot="1">
      <c r="A18" s="94" t="s">
        <v>101</v>
      </c>
      <c r="B18" s="113"/>
      <c r="C18" s="67">
        <v>295.95</v>
      </c>
      <c r="D18" s="68">
        <v>0</v>
      </c>
      <c r="E18" s="69"/>
      <c r="F18" s="67">
        <v>324.48</v>
      </c>
      <c r="G18" s="69"/>
      <c r="H18" s="70">
        <v>114.68</v>
      </c>
      <c r="I18" s="71"/>
      <c r="J18" s="67">
        <v>326.13</v>
      </c>
      <c r="K18" s="69"/>
      <c r="L18" s="70">
        <v>153.39</v>
      </c>
      <c r="M18" s="71"/>
      <c r="N18" s="67">
        <v>603.2</v>
      </c>
      <c r="O18" s="69"/>
      <c r="P18" s="70">
        <v>678.85</v>
      </c>
      <c r="Q18" s="71"/>
      <c r="R18" s="106">
        <f>C18+F18+J18+N18</f>
        <v>1549.7600000000002</v>
      </c>
      <c r="S18" s="106">
        <f>D18+H18+L18+P18</f>
        <v>946.9200000000001</v>
      </c>
      <c r="T18" s="106"/>
      <c r="U18" s="106"/>
    </row>
    <row r="19" spans="1:21" ht="15.75" thickBot="1">
      <c r="A19" s="92" t="s">
        <v>100</v>
      </c>
      <c r="B19" s="113"/>
      <c r="C19" s="73">
        <v>690.03</v>
      </c>
      <c r="D19" s="74">
        <v>0</v>
      </c>
      <c r="E19" s="75"/>
      <c r="F19" s="73">
        <v>439.11</v>
      </c>
      <c r="G19" s="75"/>
      <c r="H19" s="76">
        <v>334.21</v>
      </c>
      <c r="I19" s="77"/>
      <c r="J19" s="73">
        <v>690.03</v>
      </c>
      <c r="K19" s="75"/>
      <c r="L19" s="76">
        <v>174.97</v>
      </c>
      <c r="M19" s="77"/>
      <c r="N19" s="73">
        <v>2266.91</v>
      </c>
      <c r="O19" s="75"/>
      <c r="P19" s="76">
        <v>639.02</v>
      </c>
      <c r="Q19" s="77"/>
      <c r="R19" s="105">
        <f>C19+F19+J19+N19+R20</f>
        <v>6744.63</v>
      </c>
      <c r="S19" s="105">
        <f>D19+H19+L19+P19+S20</f>
        <v>2677.54</v>
      </c>
      <c r="T19" s="105">
        <f>R19</f>
        <v>6744.63</v>
      </c>
      <c r="U19" s="105" t="s">
        <v>157</v>
      </c>
    </row>
    <row r="20" spans="1:21" ht="15.75" hidden="1" thickBot="1">
      <c r="A20" s="276" t="s">
        <v>102</v>
      </c>
      <c r="B20" s="294"/>
      <c r="C20" s="277">
        <v>517.79</v>
      </c>
      <c r="D20" s="278">
        <v>0</v>
      </c>
      <c r="E20" s="279"/>
      <c r="F20" s="277">
        <v>448.66</v>
      </c>
      <c r="G20" s="279"/>
      <c r="H20" s="280">
        <v>195.49</v>
      </c>
      <c r="I20" s="281"/>
      <c r="J20" s="277">
        <v>562.41</v>
      </c>
      <c r="K20" s="279"/>
      <c r="L20" s="280">
        <v>217.86</v>
      </c>
      <c r="M20" s="281"/>
      <c r="N20" s="277">
        <v>1129.69</v>
      </c>
      <c r="O20" s="279"/>
      <c r="P20" s="280">
        <v>1115.99</v>
      </c>
      <c r="Q20" s="281"/>
      <c r="R20" s="134">
        <f t="shared" si="0"/>
        <v>2658.55</v>
      </c>
      <c r="S20" s="134">
        <f>D20+H20+L20+P20</f>
        <v>1529.3400000000001</v>
      </c>
      <c r="T20" s="134"/>
      <c r="U20" s="134"/>
    </row>
    <row r="21" spans="1:21" ht="15.75" thickBot="1">
      <c r="A21" s="125"/>
      <c r="B21" s="127"/>
      <c r="C21" s="54"/>
      <c r="D21" s="55"/>
      <c r="E21" s="56"/>
      <c r="F21" s="54"/>
      <c r="G21" s="56"/>
      <c r="H21" s="57"/>
      <c r="I21" s="58"/>
      <c r="J21" s="85"/>
      <c r="K21" s="56"/>
      <c r="L21" s="86"/>
      <c r="M21" s="58"/>
      <c r="N21" s="85"/>
      <c r="O21" s="56"/>
      <c r="P21" s="86"/>
      <c r="Q21" s="58"/>
      <c r="R21" s="134">
        <f>SUM(R9:R20)-R18-R20</f>
        <v>119018.27119999999</v>
      </c>
      <c r="S21" s="134">
        <f>SUM(S9:S20)-S18-S20</f>
        <v>37430.3003524129</v>
      </c>
      <c r="T21" s="134">
        <f>SUM(T9:T20)-T18-T20</f>
        <v>103896.81</v>
      </c>
      <c r="U21" s="134"/>
    </row>
    <row r="22" spans="2:15" ht="15">
      <c r="B22" s="87"/>
      <c r="G22" s="46"/>
      <c r="K22" s="46"/>
      <c r="O22" s="4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4.7109375" style="34" customWidth="1"/>
    <col min="22" max="22" width="9.140625" style="32" customWidth="1"/>
    <col min="23" max="23" width="9.140625" style="13" customWidth="1"/>
  </cols>
  <sheetData>
    <row r="1" ht="15">
      <c r="A1" s="32" t="s">
        <v>115</v>
      </c>
    </row>
    <row r="3" ht="15">
      <c r="A3" s="32" t="s">
        <v>132</v>
      </c>
    </row>
    <row r="4" ht="15">
      <c r="A4" s="32" t="s">
        <v>116</v>
      </c>
    </row>
    <row r="5" spans="2:4" ht="15">
      <c r="B5" s="32">
        <v>696.5</v>
      </c>
      <c r="C5" s="33">
        <f>C8/B8</f>
        <v>371.6786171574904</v>
      </c>
      <c r="D5" s="33">
        <f>F8/B8</f>
        <v>673.7266325224073</v>
      </c>
    </row>
    <row r="6" ht="15.75" thickBot="1"/>
    <row r="7" spans="1:23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154" t="s">
        <v>137</v>
      </c>
      <c r="T7" s="154" t="s">
        <v>138</v>
      </c>
      <c r="U7" s="154"/>
      <c r="V7" s="43"/>
      <c r="W7" s="21"/>
    </row>
    <row r="8" spans="1:21" ht="15">
      <c r="A8" s="80" t="s">
        <v>139</v>
      </c>
      <c r="B8" s="116">
        <v>15.62</v>
      </c>
      <c r="C8" s="59">
        <v>5805.62</v>
      </c>
      <c r="D8" s="60">
        <v>0</v>
      </c>
      <c r="E8" s="61"/>
      <c r="F8" s="59">
        <v>10523.61</v>
      </c>
      <c r="G8" s="120">
        <v>1</v>
      </c>
      <c r="H8" s="62">
        <v>4251.18</v>
      </c>
      <c r="I8" s="63"/>
      <c r="J8" s="59">
        <v>10879.33</v>
      </c>
      <c r="K8" s="120">
        <v>1</v>
      </c>
      <c r="L8" s="62">
        <v>5572.57</v>
      </c>
      <c r="M8" s="63"/>
      <c r="N8" s="59">
        <v>10879.33</v>
      </c>
      <c r="O8" s="120">
        <v>1</v>
      </c>
      <c r="P8" s="62">
        <v>11996.66</v>
      </c>
      <c r="Q8" s="63"/>
      <c r="R8" s="102">
        <f aca="true" t="shared" si="0" ref="R8:R21">C8+F8+J8+N8</f>
        <v>38087.89</v>
      </c>
      <c r="S8" s="102">
        <f aca="true" t="shared" si="1" ref="S8:S17">D8+H8+L8+P8</f>
        <v>21820.41</v>
      </c>
      <c r="T8" s="102">
        <f>SUM(T9:T13)</f>
        <v>35423.490000000005</v>
      </c>
      <c r="U8" s="102"/>
    </row>
    <row r="9" spans="1:23" s="11" customFormat="1" ht="15">
      <c r="A9" s="208" t="s">
        <v>105</v>
      </c>
      <c r="B9" s="117">
        <v>4.77</v>
      </c>
      <c r="C9" s="44">
        <f>B9*C5</f>
        <v>1772.9070038412292</v>
      </c>
      <c r="D9" s="45"/>
      <c r="E9" s="46"/>
      <c r="F9" s="44">
        <f>B9*D5</f>
        <v>3213.6760371318824</v>
      </c>
      <c r="G9" s="121">
        <f>F9/F8</f>
        <v>0.3053777208706786</v>
      </c>
      <c r="H9" s="47">
        <f>G9*H8</f>
        <v>1298.2156594110115</v>
      </c>
      <c r="I9" s="48"/>
      <c r="J9" s="44">
        <f>B9*B5</f>
        <v>3322.305</v>
      </c>
      <c r="K9" s="121">
        <f>J9/J8</f>
        <v>0.3053777208706786</v>
      </c>
      <c r="L9" s="47">
        <f>K9*L8</f>
        <v>1701.7387259923173</v>
      </c>
      <c r="M9" s="48"/>
      <c r="N9" s="44">
        <v>3322.305</v>
      </c>
      <c r="O9" s="121">
        <f>N9/N8</f>
        <v>0.3053777208706786</v>
      </c>
      <c r="P9" s="47">
        <f>O9*P8</f>
        <v>3663.512688860435</v>
      </c>
      <c r="Q9" s="48"/>
      <c r="R9" s="103">
        <f t="shared" si="0"/>
        <v>11631.193040973112</v>
      </c>
      <c r="S9" s="103">
        <f t="shared" si="1"/>
        <v>6663.4670742637645</v>
      </c>
      <c r="T9" s="103">
        <v>16362.32</v>
      </c>
      <c r="U9" s="266" t="s">
        <v>156</v>
      </c>
      <c r="V9" s="50"/>
      <c r="W9" s="26"/>
    </row>
    <row r="10" spans="1:23" s="11" customFormat="1" ht="22.5">
      <c r="A10" s="213" t="s">
        <v>146</v>
      </c>
      <c r="B10" s="118">
        <v>3.2</v>
      </c>
      <c r="C10" s="44">
        <f>B10*C5</f>
        <v>1189.3715749039693</v>
      </c>
      <c r="D10" s="45"/>
      <c r="E10" s="46"/>
      <c r="F10" s="44">
        <f>B10*D5</f>
        <v>2155.9252240717033</v>
      </c>
      <c r="G10" s="121">
        <f>F10/F8</f>
        <v>0.20486555697823305</v>
      </c>
      <c r="H10" s="47">
        <f>G10*H8</f>
        <v>870.9203585147249</v>
      </c>
      <c r="I10" s="48"/>
      <c r="J10" s="44">
        <f>B10*B5</f>
        <v>2228.8</v>
      </c>
      <c r="K10" s="121">
        <f>J10/J8</f>
        <v>0.20486555697823305</v>
      </c>
      <c r="L10" s="47">
        <f>K10*L8</f>
        <v>1141.6276568501921</v>
      </c>
      <c r="M10" s="48"/>
      <c r="N10" s="44">
        <v>2228.8</v>
      </c>
      <c r="O10" s="121">
        <f>N10/N8</f>
        <v>0.20486555697823305</v>
      </c>
      <c r="P10" s="47">
        <f>O10*P8</f>
        <v>2457.7024327784893</v>
      </c>
      <c r="Q10" s="48"/>
      <c r="R10" s="103">
        <f t="shared" si="0"/>
        <v>7802.896798975673</v>
      </c>
      <c r="S10" s="103">
        <f t="shared" si="1"/>
        <v>4470.250448143406</v>
      </c>
      <c r="T10" s="103">
        <f>12788.37*60%</f>
        <v>7673.022</v>
      </c>
      <c r="U10" s="266" t="s">
        <v>156</v>
      </c>
      <c r="V10" s="50"/>
      <c r="W10" s="26"/>
    </row>
    <row r="11" spans="1:23" s="11" customFormat="1" ht="15">
      <c r="A11" s="213" t="s">
        <v>107</v>
      </c>
      <c r="B11" s="118">
        <v>1.83</v>
      </c>
      <c r="C11" s="44">
        <f>B11*C5</f>
        <v>680.1718693982075</v>
      </c>
      <c r="D11" s="45"/>
      <c r="E11" s="46"/>
      <c r="F11" s="44">
        <f>B11*D5</f>
        <v>1232.9197375160054</v>
      </c>
      <c r="G11" s="121">
        <f>F11/F8</f>
        <v>0.11715749039692704</v>
      </c>
      <c r="H11" s="47">
        <f>G11*H8</f>
        <v>498.05758002560833</v>
      </c>
      <c r="I11" s="48"/>
      <c r="J11" s="44">
        <f>B11*B5</f>
        <v>1274.595</v>
      </c>
      <c r="K11" s="121">
        <f>J11/J8</f>
        <v>0.11715749039692702</v>
      </c>
      <c r="L11" s="47">
        <f>K11*L8</f>
        <v>652.8683162612036</v>
      </c>
      <c r="M11" s="48"/>
      <c r="N11" s="44">
        <v>1274.595</v>
      </c>
      <c r="O11" s="121">
        <f>N11/N8</f>
        <v>0.11715749039692702</v>
      </c>
      <c r="P11" s="47">
        <f>O11*P8</f>
        <v>1405.4985787451985</v>
      </c>
      <c r="Q11" s="48"/>
      <c r="R11" s="103">
        <f t="shared" si="0"/>
        <v>4462.281606914213</v>
      </c>
      <c r="S11" s="103">
        <f t="shared" si="1"/>
        <v>2556.4244750320104</v>
      </c>
      <c r="T11" s="103">
        <f>12788.37-T10</f>
        <v>5115.348000000001</v>
      </c>
      <c r="U11" s="266" t="s">
        <v>156</v>
      </c>
      <c r="V11" s="50"/>
      <c r="W11" s="26"/>
    </row>
    <row r="12" spans="1:23" s="11" customFormat="1" ht="15">
      <c r="A12" s="213" t="s">
        <v>108</v>
      </c>
      <c r="B12" s="118" t="s">
        <v>145</v>
      </c>
      <c r="C12" s="44">
        <f>B12*C5</f>
        <v>888.3118950064021</v>
      </c>
      <c r="D12" s="45"/>
      <c r="E12" s="46"/>
      <c r="F12" s="44">
        <f>B12*D5</f>
        <v>1610.2066517285534</v>
      </c>
      <c r="G12" s="121">
        <f>F12/F8</f>
        <v>0.15300896286811783</v>
      </c>
      <c r="H12" s="47">
        <f>G12*H8</f>
        <v>650.4686427656852</v>
      </c>
      <c r="I12" s="48"/>
      <c r="J12" s="44">
        <f>B12*B5</f>
        <v>1664.635</v>
      </c>
      <c r="K12" s="121">
        <f>J12/J8</f>
        <v>0.1530089628681178</v>
      </c>
      <c r="L12" s="47">
        <f>K12*L8</f>
        <v>852.6531562099872</v>
      </c>
      <c r="M12" s="48"/>
      <c r="N12" s="44">
        <v>1664.635</v>
      </c>
      <c r="O12" s="121">
        <f>N12/N8</f>
        <v>0.1530089628681178</v>
      </c>
      <c r="P12" s="47">
        <f>O12*P8</f>
        <v>1835.596504481434</v>
      </c>
      <c r="Q12" s="48"/>
      <c r="R12" s="103">
        <f t="shared" si="0"/>
        <v>5827.788546734956</v>
      </c>
      <c r="S12" s="103">
        <f t="shared" si="1"/>
        <v>3338.7183034571062</v>
      </c>
      <c r="T12" s="103">
        <v>6272.8</v>
      </c>
      <c r="U12" s="266" t="s">
        <v>154</v>
      </c>
      <c r="V12" s="50"/>
      <c r="W12" s="26"/>
    </row>
    <row r="13" spans="1:23" s="11" customFormat="1" ht="15.75" thickBot="1">
      <c r="A13" s="214" t="s">
        <v>110</v>
      </c>
      <c r="B13" s="119">
        <f>1.82+1.61</f>
        <v>3.43</v>
      </c>
      <c r="C13" s="67">
        <f>B13*C5</f>
        <v>1274.8576568501921</v>
      </c>
      <c r="D13" s="68"/>
      <c r="E13" s="69"/>
      <c r="F13" s="67">
        <f>B13*D5</f>
        <v>2310.8823495518573</v>
      </c>
      <c r="G13" s="122">
        <f>F13/F8</f>
        <v>0.21959026888604358</v>
      </c>
      <c r="H13" s="70">
        <f>G13*H8</f>
        <v>933.5177592829708</v>
      </c>
      <c r="I13" s="71"/>
      <c r="J13" s="67">
        <f>B13*B5</f>
        <v>2388.995</v>
      </c>
      <c r="K13" s="122">
        <f>J13/J8</f>
        <v>0.21959026888604352</v>
      </c>
      <c r="L13" s="70">
        <f>K13*L8</f>
        <v>1223.6821446862996</v>
      </c>
      <c r="M13" s="71"/>
      <c r="N13" s="67">
        <v>2388.995</v>
      </c>
      <c r="O13" s="122">
        <f>N13/N8</f>
        <v>0.21959026888604352</v>
      </c>
      <c r="P13" s="70">
        <f>O13*P8</f>
        <v>2634.349795134443</v>
      </c>
      <c r="Q13" s="71"/>
      <c r="R13" s="104">
        <f t="shared" si="0"/>
        <v>8363.73000640205</v>
      </c>
      <c r="S13" s="104">
        <f t="shared" si="1"/>
        <v>4791.5496991037135</v>
      </c>
      <c r="T13" s="104">
        <v>0</v>
      </c>
      <c r="U13" s="106"/>
      <c r="V13" s="50"/>
      <c r="W13" s="26"/>
    </row>
    <row r="14" spans="1:21" ht="15.75" thickBot="1">
      <c r="A14" s="92" t="s">
        <v>96</v>
      </c>
      <c r="B14" s="113"/>
      <c r="C14" s="73">
        <v>66.11</v>
      </c>
      <c r="D14" s="74">
        <v>0</v>
      </c>
      <c r="E14" s="75"/>
      <c r="F14" s="73">
        <v>38.61</v>
      </c>
      <c r="G14" s="75"/>
      <c r="H14" s="76">
        <v>0</v>
      </c>
      <c r="I14" s="77"/>
      <c r="J14" s="73">
        <v>-1.15</v>
      </c>
      <c r="K14" s="75"/>
      <c r="L14" s="76">
        <v>29.94</v>
      </c>
      <c r="M14" s="77"/>
      <c r="N14" s="73">
        <v>27.5</v>
      </c>
      <c r="O14" s="75"/>
      <c r="P14" s="76">
        <v>73.63</v>
      </c>
      <c r="Q14" s="77"/>
      <c r="R14" s="105">
        <f t="shared" si="0"/>
        <v>131.07</v>
      </c>
      <c r="S14" s="105">
        <f t="shared" si="1"/>
        <v>103.57</v>
      </c>
      <c r="T14" s="105">
        <v>0</v>
      </c>
      <c r="U14" s="105"/>
    </row>
    <row r="15" spans="1:21" ht="15">
      <c r="A15" s="93" t="s">
        <v>97</v>
      </c>
      <c r="B15" s="114"/>
      <c r="C15" s="59">
        <v>0</v>
      </c>
      <c r="D15" s="60">
        <v>0</v>
      </c>
      <c r="E15" s="61"/>
      <c r="F15" s="59">
        <v>0</v>
      </c>
      <c r="G15" s="61"/>
      <c r="H15" s="62">
        <v>0</v>
      </c>
      <c r="I15" s="63"/>
      <c r="J15" s="59">
        <v>1224.45</v>
      </c>
      <c r="K15" s="61"/>
      <c r="L15" s="62">
        <v>300.91</v>
      </c>
      <c r="M15" s="63"/>
      <c r="N15" s="59">
        <v>2879.46</v>
      </c>
      <c r="O15" s="61"/>
      <c r="P15" s="62">
        <v>879.48</v>
      </c>
      <c r="Q15" s="63"/>
      <c r="R15" s="102">
        <f t="shared" si="0"/>
        <v>4103.91</v>
      </c>
      <c r="S15" s="102">
        <f t="shared" si="1"/>
        <v>1180.39</v>
      </c>
      <c r="T15" s="102">
        <v>5434.21</v>
      </c>
      <c r="U15" s="267" t="s">
        <v>155</v>
      </c>
    </row>
    <row r="16" spans="1:21" ht="15.75" thickBot="1">
      <c r="A16" s="94" t="s">
        <v>98</v>
      </c>
      <c r="B16" s="115"/>
      <c r="C16" s="67">
        <v>0</v>
      </c>
      <c r="D16" s="68">
        <v>0</v>
      </c>
      <c r="E16" s="69"/>
      <c r="F16" s="67">
        <v>0</v>
      </c>
      <c r="G16" s="69"/>
      <c r="H16" s="70">
        <v>0</v>
      </c>
      <c r="I16" s="71"/>
      <c r="J16" s="67">
        <v>2994.36</v>
      </c>
      <c r="K16" s="69"/>
      <c r="L16" s="70">
        <v>735.85</v>
      </c>
      <c r="M16" s="71"/>
      <c r="N16" s="67">
        <v>7041.63</v>
      </c>
      <c r="O16" s="69"/>
      <c r="P16" s="70">
        <v>2150.78</v>
      </c>
      <c r="Q16" s="71"/>
      <c r="R16" s="106">
        <f t="shared" si="0"/>
        <v>10035.99</v>
      </c>
      <c r="S16" s="106">
        <f t="shared" si="1"/>
        <v>2886.63</v>
      </c>
      <c r="T16" s="106">
        <v>13250.86</v>
      </c>
      <c r="U16" s="106" t="s">
        <v>155</v>
      </c>
    </row>
    <row r="17" spans="1:21" ht="15.75" thickBot="1">
      <c r="A17" s="92" t="s">
        <v>6</v>
      </c>
      <c r="B17" s="113"/>
      <c r="C17" s="73">
        <v>0</v>
      </c>
      <c r="D17" s="74">
        <v>0</v>
      </c>
      <c r="E17" s="75"/>
      <c r="F17" s="73">
        <v>0</v>
      </c>
      <c r="G17" s="75"/>
      <c r="H17" s="76">
        <v>0</v>
      </c>
      <c r="I17" s="77"/>
      <c r="J17" s="73">
        <v>24367.2</v>
      </c>
      <c r="K17" s="75"/>
      <c r="L17" s="76">
        <v>5635.66</v>
      </c>
      <c r="M17" s="77"/>
      <c r="N17" s="73">
        <v>57669.06</v>
      </c>
      <c r="O17" s="75"/>
      <c r="P17" s="76">
        <v>13993.55</v>
      </c>
      <c r="Q17" s="77"/>
      <c r="R17" s="105">
        <f t="shared" si="0"/>
        <v>82036.26</v>
      </c>
      <c r="S17" s="105">
        <f t="shared" si="1"/>
        <v>19629.21</v>
      </c>
      <c r="T17" s="105">
        <v>56674.27</v>
      </c>
      <c r="U17" s="102" t="s">
        <v>155</v>
      </c>
    </row>
    <row r="18" spans="1:21" ht="15.75" thickBot="1">
      <c r="A18" s="93" t="s">
        <v>99</v>
      </c>
      <c r="B18" s="113"/>
      <c r="C18" s="59">
        <v>293.76</v>
      </c>
      <c r="D18" s="60">
        <v>0</v>
      </c>
      <c r="E18" s="61"/>
      <c r="F18" s="59">
        <v>293.76</v>
      </c>
      <c r="G18" s="61"/>
      <c r="H18" s="62">
        <v>78.95</v>
      </c>
      <c r="I18" s="63"/>
      <c r="J18" s="59">
        <v>293.76</v>
      </c>
      <c r="K18" s="61"/>
      <c r="L18" s="62">
        <v>241.4</v>
      </c>
      <c r="M18" s="63"/>
      <c r="N18" s="59">
        <v>763.9</v>
      </c>
      <c r="O18" s="61"/>
      <c r="P18" s="62">
        <v>495.16</v>
      </c>
      <c r="Q18" s="63"/>
      <c r="R18" s="102">
        <f>C18+F18+J18+N18+R19</f>
        <v>2866.0299999999997</v>
      </c>
      <c r="S18" s="102">
        <f>D18+H18+L18+P18+S19</f>
        <v>1407.3400000000001</v>
      </c>
      <c r="T18" s="102">
        <f>R18</f>
        <v>2866.0299999999997</v>
      </c>
      <c r="U18" s="105" t="s">
        <v>157</v>
      </c>
    </row>
    <row r="19" spans="1:21" ht="15.75" hidden="1" thickBot="1">
      <c r="A19" s="94" t="s">
        <v>101</v>
      </c>
      <c r="B19" s="113"/>
      <c r="C19" s="67">
        <v>489.6</v>
      </c>
      <c r="D19" s="68">
        <v>0</v>
      </c>
      <c r="E19" s="69"/>
      <c r="F19" s="67">
        <v>-139.45</v>
      </c>
      <c r="G19" s="69"/>
      <c r="H19" s="70">
        <v>155.33</v>
      </c>
      <c r="I19" s="71"/>
      <c r="J19" s="67">
        <v>238.24</v>
      </c>
      <c r="K19" s="69"/>
      <c r="L19" s="70">
        <v>94.75</v>
      </c>
      <c r="M19" s="71"/>
      <c r="N19" s="67">
        <v>632.46</v>
      </c>
      <c r="O19" s="69"/>
      <c r="P19" s="70">
        <v>341.75</v>
      </c>
      <c r="Q19" s="71"/>
      <c r="R19" s="106">
        <f t="shared" si="0"/>
        <v>1220.8500000000001</v>
      </c>
      <c r="S19" s="106">
        <f>D19+H19+L19+P19</f>
        <v>591.83</v>
      </c>
      <c r="T19" s="106"/>
      <c r="U19" s="106"/>
    </row>
    <row r="20" spans="1:21" ht="15.75" thickBot="1">
      <c r="A20" s="92" t="s">
        <v>100</v>
      </c>
      <c r="B20" s="249"/>
      <c r="C20" s="73">
        <v>564.57</v>
      </c>
      <c r="D20" s="74">
        <v>0</v>
      </c>
      <c r="E20" s="75"/>
      <c r="F20" s="73">
        <v>501.84</v>
      </c>
      <c r="G20" s="75"/>
      <c r="H20" s="76">
        <v>151.73</v>
      </c>
      <c r="I20" s="77"/>
      <c r="J20" s="73">
        <v>564.57</v>
      </c>
      <c r="K20" s="75"/>
      <c r="L20" s="76">
        <v>448.61</v>
      </c>
      <c r="M20" s="77"/>
      <c r="N20" s="73">
        <v>1854.73</v>
      </c>
      <c r="O20" s="75"/>
      <c r="P20" s="76">
        <v>904.24</v>
      </c>
      <c r="Q20" s="77"/>
      <c r="R20" s="105">
        <f>C20+F20+J20+N20+R21</f>
        <v>5762.15</v>
      </c>
      <c r="S20" s="105">
        <f>D20+H20+L20+P20+S21</f>
        <v>2610.14</v>
      </c>
      <c r="T20" s="105">
        <f>R20</f>
        <v>5762.15</v>
      </c>
      <c r="U20" s="105" t="s">
        <v>157</v>
      </c>
    </row>
    <row r="21" spans="1:21" ht="15.75" hidden="1" thickBot="1">
      <c r="A21" s="276" t="s">
        <v>102</v>
      </c>
      <c r="B21" s="127"/>
      <c r="C21" s="277">
        <v>940.94</v>
      </c>
      <c r="D21" s="278">
        <v>0</v>
      </c>
      <c r="E21" s="279"/>
      <c r="F21" s="277">
        <v>-298.24</v>
      </c>
      <c r="G21" s="279"/>
      <c r="H21" s="280">
        <v>286.81</v>
      </c>
      <c r="I21" s="281"/>
      <c r="J21" s="277">
        <v>456.24</v>
      </c>
      <c r="K21" s="279"/>
      <c r="L21" s="280">
        <v>177.27</v>
      </c>
      <c r="M21" s="281"/>
      <c r="N21" s="277">
        <v>1177.5</v>
      </c>
      <c r="O21" s="279"/>
      <c r="P21" s="280">
        <v>641.48</v>
      </c>
      <c r="Q21" s="281"/>
      <c r="R21" s="134">
        <f t="shared" si="0"/>
        <v>2276.44</v>
      </c>
      <c r="S21" s="134">
        <f>D21+H21+L21+P21</f>
        <v>1105.56</v>
      </c>
      <c r="T21" s="134"/>
      <c r="U21" s="134"/>
    </row>
    <row r="22" spans="1:21" ht="15.75" thickBot="1">
      <c r="A22" s="84"/>
      <c r="B22" s="87"/>
      <c r="C22" s="54"/>
      <c r="D22" s="55"/>
      <c r="E22" s="56"/>
      <c r="F22" s="54"/>
      <c r="G22" s="56"/>
      <c r="H22" s="57"/>
      <c r="I22" s="58"/>
      <c r="J22" s="85"/>
      <c r="K22" s="56"/>
      <c r="L22" s="86"/>
      <c r="M22" s="58"/>
      <c r="N22" s="85"/>
      <c r="O22" s="56"/>
      <c r="P22" s="86"/>
      <c r="Q22" s="58"/>
      <c r="R22" s="134">
        <f>SUM(R9:R21)-R19-R21</f>
        <v>143023.3</v>
      </c>
      <c r="S22" s="134">
        <f>SUM(S9:S21)-S19-S21</f>
        <v>49637.69</v>
      </c>
      <c r="T22" s="134">
        <f>SUM(T9:T21)-T19-T21</f>
        <v>119411.01</v>
      </c>
      <c r="U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35.281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5.421875" style="34" customWidth="1"/>
    <col min="22" max="22" width="9.140625" style="32" customWidth="1"/>
    <col min="23" max="23" width="9.140625" style="13" customWidth="1"/>
  </cols>
  <sheetData>
    <row r="1" ht="15">
      <c r="A1" s="32" t="s">
        <v>115</v>
      </c>
    </row>
    <row r="3" ht="15">
      <c r="A3" s="32" t="s">
        <v>133</v>
      </c>
    </row>
    <row r="4" ht="15">
      <c r="A4" s="32" t="s">
        <v>116</v>
      </c>
    </row>
    <row r="5" spans="2:4" ht="15">
      <c r="B5" s="32">
        <v>736.6</v>
      </c>
      <c r="C5" s="33">
        <f>C8/B8</f>
        <v>393.19910371318826</v>
      </c>
      <c r="D5" s="33">
        <f>F8/B8</f>
        <v>713.933418693982</v>
      </c>
    </row>
    <row r="6" ht="15.75" thickBot="1"/>
    <row r="7" spans="1:23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154" t="s">
        <v>137</v>
      </c>
      <c r="T7" s="154" t="s">
        <v>138</v>
      </c>
      <c r="U7" s="154"/>
      <c r="V7" s="43"/>
      <c r="W7" s="21"/>
    </row>
    <row r="8" spans="1:21" ht="15">
      <c r="A8" s="80" t="s">
        <v>139</v>
      </c>
      <c r="B8" s="116">
        <v>15.62</v>
      </c>
      <c r="C8" s="59">
        <v>6141.77</v>
      </c>
      <c r="D8" s="60">
        <v>0</v>
      </c>
      <c r="E8" s="61"/>
      <c r="F8" s="59">
        <v>11151.64</v>
      </c>
      <c r="G8" s="120">
        <v>1</v>
      </c>
      <c r="H8" s="62">
        <v>4837.69</v>
      </c>
      <c r="I8" s="63"/>
      <c r="J8" s="59">
        <v>11505.69</v>
      </c>
      <c r="K8" s="120">
        <v>1</v>
      </c>
      <c r="L8" s="62">
        <v>6138.62</v>
      </c>
      <c r="M8" s="63"/>
      <c r="N8" s="59">
        <v>11505.69</v>
      </c>
      <c r="O8" s="120">
        <v>1</v>
      </c>
      <c r="P8" s="62">
        <v>13741.78</v>
      </c>
      <c r="Q8" s="63"/>
      <c r="R8" s="102">
        <f aca="true" t="shared" si="0" ref="R8:R21">C8+F8+J8+N8</f>
        <v>40304.79</v>
      </c>
      <c r="S8" s="102">
        <f aca="true" t="shared" si="1" ref="S8:S17">D8+H8+L8+P8</f>
        <v>24718.09</v>
      </c>
      <c r="T8" s="102">
        <f>SUM(T9:T13)</f>
        <v>36050.229999999996</v>
      </c>
      <c r="U8" s="102"/>
    </row>
    <row r="9" spans="1:23" s="11" customFormat="1" ht="15">
      <c r="A9" s="49" t="s">
        <v>105</v>
      </c>
      <c r="B9" s="117">
        <v>4.77</v>
      </c>
      <c r="C9" s="44">
        <f>B9*C5</f>
        <v>1875.5597247119078</v>
      </c>
      <c r="D9" s="45"/>
      <c r="E9" s="46"/>
      <c r="F9" s="44">
        <f>B9*D5</f>
        <v>3405.4624071702942</v>
      </c>
      <c r="G9" s="121">
        <f>F9/F8</f>
        <v>0.3053777208706786</v>
      </c>
      <c r="H9" s="47">
        <f>G9*H8</f>
        <v>1477.3227464788731</v>
      </c>
      <c r="I9" s="48"/>
      <c r="J9" s="44">
        <f>B9*B5</f>
        <v>3513.582</v>
      </c>
      <c r="K9" s="121">
        <f>J9/J8</f>
        <v>0.30537777395358295</v>
      </c>
      <c r="L9" s="47">
        <f>K9*L8</f>
        <v>1874.5981107469433</v>
      </c>
      <c r="M9" s="48"/>
      <c r="N9" s="44">
        <v>3513.582</v>
      </c>
      <c r="O9" s="121">
        <f>N9/N8</f>
        <v>0.30537777395358295</v>
      </c>
      <c r="P9" s="47">
        <f>O9*P8</f>
        <v>4196.434186559867</v>
      </c>
      <c r="Q9" s="48"/>
      <c r="R9" s="103">
        <f t="shared" si="0"/>
        <v>12308.186131882203</v>
      </c>
      <c r="S9" s="103">
        <f t="shared" si="1"/>
        <v>7548.355043785684</v>
      </c>
      <c r="T9" s="103">
        <v>16708.17</v>
      </c>
      <c r="U9" s="266" t="s">
        <v>156</v>
      </c>
      <c r="V9" s="50"/>
      <c r="W9" s="26"/>
    </row>
    <row r="10" spans="1:23" s="11" customFormat="1" ht="23.25">
      <c r="A10" s="51" t="s">
        <v>146</v>
      </c>
      <c r="B10" s="118">
        <v>3.2</v>
      </c>
      <c r="C10" s="44">
        <f>B10*C5</f>
        <v>1258.2371318822024</v>
      </c>
      <c r="D10" s="45"/>
      <c r="E10" s="46"/>
      <c r="F10" s="44">
        <f>B10*D5</f>
        <v>2284.586939820743</v>
      </c>
      <c r="G10" s="121">
        <f>F10/F8</f>
        <v>0.20486555697823305</v>
      </c>
      <c r="H10" s="47">
        <f>G10*H8</f>
        <v>991.0760563380281</v>
      </c>
      <c r="I10" s="48"/>
      <c r="J10" s="44">
        <f>B10*B5</f>
        <v>2357.1200000000003</v>
      </c>
      <c r="K10" s="121">
        <f>J10/J8</f>
        <v>0.2048655925894058</v>
      </c>
      <c r="L10" s="47">
        <f>K10*L8</f>
        <v>1257.592023981178</v>
      </c>
      <c r="M10" s="48"/>
      <c r="N10" s="44">
        <v>2357.1200000000003</v>
      </c>
      <c r="O10" s="121">
        <f>N10/N8</f>
        <v>0.2048655925894058</v>
      </c>
      <c r="P10" s="47">
        <f>O10*P8</f>
        <v>2815.2179029332447</v>
      </c>
      <c r="Q10" s="48"/>
      <c r="R10" s="103">
        <f t="shared" si="0"/>
        <v>8257.064071702946</v>
      </c>
      <c r="S10" s="103">
        <f t="shared" si="1"/>
        <v>5063.88598325245</v>
      </c>
      <c r="T10" s="103">
        <f>12708.14*60%</f>
        <v>7624.883999999999</v>
      </c>
      <c r="U10" s="266" t="s">
        <v>156</v>
      </c>
      <c r="V10" s="50"/>
      <c r="W10" s="26"/>
    </row>
    <row r="11" spans="1:23" s="11" customFormat="1" ht="15">
      <c r="A11" s="51" t="s">
        <v>107</v>
      </c>
      <c r="B11" s="118">
        <v>1.83</v>
      </c>
      <c r="C11" s="44">
        <f>B11*C5</f>
        <v>719.5543597951346</v>
      </c>
      <c r="D11" s="45"/>
      <c r="E11" s="46"/>
      <c r="F11" s="44">
        <f>B11*D5</f>
        <v>1306.4981562099872</v>
      </c>
      <c r="G11" s="121">
        <f>F11/F8</f>
        <v>0.11715749039692702</v>
      </c>
      <c r="H11" s="47">
        <f>G11*H8</f>
        <v>566.7716197183098</v>
      </c>
      <c r="I11" s="48"/>
      <c r="J11" s="44">
        <f>B11*B5</f>
        <v>1347.978</v>
      </c>
      <c r="K11" s="121">
        <f>J11/J8</f>
        <v>0.11715751076206642</v>
      </c>
      <c r="L11" s="47">
        <f>K11*L8</f>
        <v>719.1854387142362</v>
      </c>
      <c r="M11" s="48"/>
      <c r="N11" s="44">
        <v>1347.978</v>
      </c>
      <c r="O11" s="121">
        <f>N11/N8</f>
        <v>0.11715751076206642</v>
      </c>
      <c r="P11" s="47">
        <f>O11*P8</f>
        <v>1609.9527382399492</v>
      </c>
      <c r="Q11" s="48"/>
      <c r="R11" s="103">
        <f t="shared" si="0"/>
        <v>4722.008516005122</v>
      </c>
      <c r="S11" s="103">
        <f t="shared" si="1"/>
        <v>2895.9097966724953</v>
      </c>
      <c r="T11" s="103">
        <f>12708.14-T10</f>
        <v>5083.256</v>
      </c>
      <c r="U11" s="266" t="s">
        <v>156</v>
      </c>
      <c r="V11" s="50"/>
      <c r="W11" s="26"/>
    </row>
    <row r="12" spans="1:23" s="11" customFormat="1" ht="15">
      <c r="A12" s="51" t="s">
        <v>108</v>
      </c>
      <c r="B12" s="118" t="s">
        <v>145</v>
      </c>
      <c r="C12" s="44">
        <f>B12*C5</f>
        <v>939.74585787452</v>
      </c>
      <c r="D12" s="45"/>
      <c r="E12" s="46"/>
      <c r="F12" s="44">
        <f>B12*D5</f>
        <v>1706.3008706786172</v>
      </c>
      <c r="G12" s="121">
        <f>F12/F8</f>
        <v>0.15300896286811783</v>
      </c>
      <c r="H12" s="47">
        <f>G12*H8</f>
        <v>740.2099295774649</v>
      </c>
      <c r="I12" s="48"/>
      <c r="J12" s="44">
        <f>B12*B5</f>
        <v>1760.4740000000002</v>
      </c>
      <c r="K12" s="121">
        <f>J12/J8</f>
        <v>0.15300898946521244</v>
      </c>
      <c r="L12" s="47">
        <f>K12*L8</f>
        <v>939.2640429109423</v>
      </c>
      <c r="M12" s="48"/>
      <c r="N12" s="44">
        <v>1760.4740000000002</v>
      </c>
      <c r="O12" s="121">
        <f>N12/N8</f>
        <v>0.15300898946521244</v>
      </c>
      <c r="P12" s="47">
        <f>O12*P8</f>
        <v>2102.615871253267</v>
      </c>
      <c r="Q12" s="48"/>
      <c r="R12" s="103">
        <f t="shared" si="0"/>
        <v>6166.994728553138</v>
      </c>
      <c r="S12" s="103">
        <f t="shared" si="1"/>
        <v>3782.089843741674</v>
      </c>
      <c r="T12" s="103">
        <v>6633.92</v>
      </c>
      <c r="U12" s="266" t="s">
        <v>154</v>
      </c>
      <c r="V12" s="50"/>
      <c r="W12" s="26"/>
    </row>
    <row r="13" spans="1:23" s="11" customFormat="1" ht="15.75" thickBot="1">
      <c r="A13" s="66" t="s">
        <v>110</v>
      </c>
      <c r="B13" s="119">
        <f>1.82+1.61</f>
        <v>3.43</v>
      </c>
      <c r="C13" s="67">
        <f>B13*C5</f>
        <v>1348.6729257362358</v>
      </c>
      <c r="D13" s="68"/>
      <c r="E13" s="69"/>
      <c r="F13" s="67">
        <f>B13*D5</f>
        <v>2448.7916261203586</v>
      </c>
      <c r="G13" s="122">
        <f>F13/F8</f>
        <v>0.21959026888604355</v>
      </c>
      <c r="H13" s="70">
        <f>G13*H8</f>
        <v>1062.309647887324</v>
      </c>
      <c r="I13" s="71"/>
      <c r="J13" s="67">
        <f>B13*B5</f>
        <v>2526.538</v>
      </c>
      <c r="K13" s="122">
        <f>J13/J8</f>
        <v>0.2195903070567693</v>
      </c>
      <c r="L13" s="70">
        <f>K13*L8</f>
        <v>1347.9814507048252</v>
      </c>
      <c r="M13" s="71"/>
      <c r="N13" s="67">
        <v>2526.538</v>
      </c>
      <c r="O13" s="122">
        <f>N13/N8</f>
        <v>0.2195903070567693</v>
      </c>
      <c r="P13" s="70">
        <f>O13*P8</f>
        <v>3017.5616897065715</v>
      </c>
      <c r="Q13" s="71"/>
      <c r="R13" s="104">
        <f t="shared" si="0"/>
        <v>8850.540551856595</v>
      </c>
      <c r="S13" s="104">
        <f t="shared" si="1"/>
        <v>5427.85278829872</v>
      </c>
      <c r="T13" s="104">
        <v>0</v>
      </c>
      <c r="U13" s="106"/>
      <c r="V13" s="50"/>
      <c r="W13" s="26"/>
    </row>
    <row r="14" spans="1:21" ht="15.75" thickBot="1">
      <c r="A14" s="72" t="s">
        <v>96</v>
      </c>
      <c r="B14" s="113"/>
      <c r="C14" s="73">
        <v>31.53</v>
      </c>
      <c r="D14" s="74">
        <v>0</v>
      </c>
      <c r="E14" s="75"/>
      <c r="F14" s="73">
        <v>31.53</v>
      </c>
      <c r="G14" s="75"/>
      <c r="H14" s="76">
        <v>24.59</v>
      </c>
      <c r="I14" s="77"/>
      <c r="J14" s="73">
        <v>31.53</v>
      </c>
      <c r="K14" s="75"/>
      <c r="L14" s="76">
        <v>16.42</v>
      </c>
      <c r="M14" s="77"/>
      <c r="N14" s="73">
        <v>31.53</v>
      </c>
      <c r="O14" s="75"/>
      <c r="P14" s="76">
        <v>16.76</v>
      </c>
      <c r="Q14" s="77"/>
      <c r="R14" s="105">
        <f t="shared" si="0"/>
        <v>126.12</v>
      </c>
      <c r="S14" s="105">
        <f t="shared" si="1"/>
        <v>57.77000000000001</v>
      </c>
      <c r="T14" s="105">
        <v>0</v>
      </c>
      <c r="U14" s="105"/>
    </row>
    <row r="15" spans="1:21" ht="15">
      <c r="A15" s="80" t="s">
        <v>97</v>
      </c>
      <c r="B15" s="114"/>
      <c r="C15" s="59">
        <v>0</v>
      </c>
      <c r="D15" s="60">
        <v>0</v>
      </c>
      <c r="E15" s="61"/>
      <c r="F15" s="59">
        <v>0</v>
      </c>
      <c r="G15" s="61"/>
      <c r="H15" s="62">
        <v>0</v>
      </c>
      <c r="I15" s="63"/>
      <c r="J15" s="59">
        <v>2426.61</v>
      </c>
      <c r="K15" s="61"/>
      <c r="L15" s="62">
        <v>563.74</v>
      </c>
      <c r="M15" s="63"/>
      <c r="N15" s="59">
        <v>7331.03</v>
      </c>
      <c r="O15" s="61"/>
      <c r="P15" s="62">
        <v>1266.35</v>
      </c>
      <c r="Q15" s="63"/>
      <c r="R15" s="102">
        <f t="shared" si="0"/>
        <v>9757.64</v>
      </c>
      <c r="S15" s="102">
        <f t="shared" si="1"/>
        <v>1830.09</v>
      </c>
      <c r="T15" s="102">
        <v>12920.62</v>
      </c>
      <c r="U15" s="267" t="s">
        <v>155</v>
      </c>
    </row>
    <row r="16" spans="1:21" ht="15.75" thickBot="1">
      <c r="A16" s="81" t="s">
        <v>98</v>
      </c>
      <c r="B16" s="115"/>
      <c r="C16" s="67">
        <v>0</v>
      </c>
      <c r="D16" s="68">
        <v>0</v>
      </c>
      <c r="E16" s="69"/>
      <c r="F16" s="67">
        <v>0</v>
      </c>
      <c r="G16" s="69"/>
      <c r="H16" s="70">
        <v>0</v>
      </c>
      <c r="I16" s="71"/>
      <c r="J16" s="67">
        <v>5934.1</v>
      </c>
      <c r="K16" s="69"/>
      <c r="L16" s="70">
        <v>1378.59</v>
      </c>
      <c r="M16" s="71"/>
      <c r="N16" s="67">
        <v>17927.52</v>
      </c>
      <c r="O16" s="69"/>
      <c r="P16" s="70">
        <v>3096.69</v>
      </c>
      <c r="Q16" s="71"/>
      <c r="R16" s="106">
        <f t="shared" si="0"/>
        <v>23861.620000000003</v>
      </c>
      <c r="S16" s="106">
        <f t="shared" si="1"/>
        <v>4475.28</v>
      </c>
      <c r="T16" s="106">
        <v>31505.32</v>
      </c>
      <c r="U16" s="106" t="s">
        <v>155</v>
      </c>
    </row>
    <row r="17" spans="1:21" ht="15.75" thickBot="1">
      <c r="A17" s="72" t="s">
        <v>6</v>
      </c>
      <c r="B17" s="113"/>
      <c r="C17" s="73">
        <v>0</v>
      </c>
      <c r="D17" s="74">
        <v>0</v>
      </c>
      <c r="E17" s="75"/>
      <c r="F17" s="73">
        <v>0</v>
      </c>
      <c r="G17" s="75"/>
      <c r="H17" s="76">
        <v>0</v>
      </c>
      <c r="I17" s="77"/>
      <c r="J17" s="73">
        <v>25770.12</v>
      </c>
      <c r="K17" s="75"/>
      <c r="L17" s="76">
        <v>6359.92</v>
      </c>
      <c r="M17" s="77"/>
      <c r="N17" s="73">
        <v>60997.62</v>
      </c>
      <c r="O17" s="75"/>
      <c r="P17" s="76">
        <v>14713.65</v>
      </c>
      <c r="Q17" s="77"/>
      <c r="R17" s="105">
        <f t="shared" si="0"/>
        <v>86767.74</v>
      </c>
      <c r="S17" s="105">
        <f t="shared" si="1"/>
        <v>21073.57</v>
      </c>
      <c r="T17" s="105">
        <v>59942.98</v>
      </c>
      <c r="U17" s="102" t="s">
        <v>155</v>
      </c>
    </row>
    <row r="18" spans="1:21" ht="15.75" thickBot="1">
      <c r="A18" s="80" t="s">
        <v>99</v>
      </c>
      <c r="B18" s="113"/>
      <c r="C18" s="59">
        <v>979.2</v>
      </c>
      <c r="D18" s="60">
        <v>0</v>
      </c>
      <c r="E18" s="61"/>
      <c r="F18" s="59">
        <v>968.53</v>
      </c>
      <c r="G18" s="61"/>
      <c r="H18" s="62">
        <v>517.03</v>
      </c>
      <c r="I18" s="63"/>
      <c r="J18" s="59">
        <v>992.64</v>
      </c>
      <c r="K18" s="61"/>
      <c r="L18" s="62">
        <v>584.64</v>
      </c>
      <c r="M18" s="63"/>
      <c r="N18" s="59">
        <v>2604.83</v>
      </c>
      <c r="O18" s="61"/>
      <c r="P18" s="62">
        <v>1330</v>
      </c>
      <c r="Q18" s="63"/>
      <c r="R18" s="102">
        <f>C18+F18+J18+N18+R19</f>
        <v>5941.18</v>
      </c>
      <c r="S18" s="102">
        <f>D18+H18+L18+P18+S19</f>
        <v>2625.51</v>
      </c>
      <c r="T18" s="102">
        <f>R18</f>
        <v>5941.18</v>
      </c>
      <c r="U18" s="105" t="s">
        <v>157</v>
      </c>
    </row>
    <row r="19" spans="1:21" ht="15.75" hidden="1" thickBot="1">
      <c r="A19" s="81" t="s">
        <v>101</v>
      </c>
      <c r="B19" s="113"/>
      <c r="C19" s="67">
        <v>93.21</v>
      </c>
      <c r="D19" s="68">
        <v>0</v>
      </c>
      <c r="E19" s="69"/>
      <c r="F19" s="67">
        <v>38.36</v>
      </c>
      <c r="G19" s="69"/>
      <c r="H19" s="70">
        <v>29.7</v>
      </c>
      <c r="I19" s="71"/>
      <c r="J19" s="67">
        <v>61.58</v>
      </c>
      <c r="K19" s="69"/>
      <c r="L19" s="70">
        <v>45.89</v>
      </c>
      <c r="M19" s="71"/>
      <c r="N19" s="67">
        <v>202.83</v>
      </c>
      <c r="O19" s="69"/>
      <c r="P19" s="70">
        <v>118.25</v>
      </c>
      <c r="Q19" s="71"/>
      <c r="R19" s="106">
        <f t="shared" si="0"/>
        <v>395.98</v>
      </c>
      <c r="S19" s="106">
        <f>D19+H19+L19+P19</f>
        <v>193.84</v>
      </c>
      <c r="T19" s="106"/>
      <c r="U19" s="106"/>
    </row>
    <row r="20" spans="1:21" ht="15.75" thickBot="1">
      <c r="A20" s="72" t="s">
        <v>100</v>
      </c>
      <c r="B20" s="249"/>
      <c r="C20" s="73">
        <v>1881.9</v>
      </c>
      <c r="D20" s="74">
        <v>0</v>
      </c>
      <c r="E20" s="75"/>
      <c r="F20" s="73">
        <v>1681.56</v>
      </c>
      <c r="G20" s="75"/>
      <c r="H20" s="76">
        <v>993.67</v>
      </c>
      <c r="I20" s="77"/>
      <c r="J20" s="73">
        <v>1907.73</v>
      </c>
      <c r="K20" s="75"/>
      <c r="L20" s="76">
        <v>1123.58</v>
      </c>
      <c r="M20" s="77"/>
      <c r="N20" s="73">
        <v>6338</v>
      </c>
      <c r="O20" s="75"/>
      <c r="P20" s="76">
        <v>2376.29</v>
      </c>
      <c r="Q20" s="77"/>
      <c r="R20" s="105">
        <f>C20+F20+J20+N20+R21</f>
        <v>12583.640000000001</v>
      </c>
      <c r="S20" s="105">
        <f>D20+H20+L20+P20+S21</f>
        <v>4837.54</v>
      </c>
      <c r="T20" s="105">
        <f>R20</f>
        <v>12583.640000000001</v>
      </c>
      <c r="U20" s="105" t="s">
        <v>157</v>
      </c>
    </row>
    <row r="21" spans="1:21" ht="15.75" hidden="1" thickBot="1">
      <c r="A21" s="284" t="s">
        <v>102</v>
      </c>
      <c r="B21" s="127"/>
      <c r="C21" s="277">
        <v>176.01</v>
      </c>
      <c r="D21" s="278">
        <v>0</v>
      </c>
      <c r="E21" s="279"/>
      <c r="F21" s="277">
        <v>61.6</v>
      </c>
      <c r="G21" s="279"/>
      <c r="H21" s="280">
        <v>52.39</v>
      </c>
      <c r="I21" s="281"/>
      <c r="J21" s="277">
        <v>105.14</v>
      </c>
      <c r="K21" s="279"/>
      <c r="L21" s="280">
        <v>82.15</v>
      </c>
      <c r="M21" s="281"/>
      <c r="N21" s="277">
        <v>431.7</v>
      </c>
      <c r="O21" s="279"/>
      <c r="P21" s="280">
        <v>209.46</v>
      </c>
      <c r="Q21" s="281"/>
      <c r="R21" s="134">
        <f t="shared" si="0"/>
        <v>774.45</v>
      </c>
      <c r="S21" s="134">
        <f>D21+H21+L21+P21</f>
        <v>344</v>
      </c>
      <c r="T21" s="134"/>
      <c r="U21" s="134"/>
    </row>
    <row r="22" spans="1:21" ht="15.75" thickBot="1">
      <c r="A22" s="84"/>
      <c r="B22" s="87"/>
      <c r="C22" s="54"/>
      <c r="D22" s="55"/>
      <c r="E22" s="56"/>
      <c r="F22" s="54"/>
      <c r="G22" s="56"/>
      <c r="H22" s="57"/>
      <c r="I22" s="58"/>
      <c r="J22" s="85"/>
      <c r="K22" s="56"/>
      <c r="L22" s="86"/>
      <c r="M22" s="58"/>
      <c r="N22" s="85"/>
      <c r="O22" s="56"/>
      <c r="P22" s="86"/>
      <c r="Q22" s="58"/>
      <c r="R22" s="134">
        <f>SUM(R9:R21)-R19-R21</f>
        <v>179342.73400000003</v>
      </c>
      <c r="S22" s="134">
        <f>SUM(S9:S21)-S19-S21</f>
        <v>59617.85345575102</v>
      </c>
      <c r="T22" s="134">
        <f>SUM(T9:T21)-T19-T21</f>
        <v>158943.97</v>
      </c>
      <c r="U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4">
      <selection activeCell="T30" sqref="T30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5.140625" style="34" customWidth="1"/>
    <col min="22" max="22" width="9.140625" style="32" customWidth="1"/>
    <col min="23" max="23" width="9.140625" style="13" customWidth="1"/>
  </cols>
  <sheetData>
    <row r="1" ht="15">
      <c r="A1" s="32" t="s">
        <v>115</v>
      </c>
    </row>
    <row r="3" ht="15">
      <c r="A3" s="32" t="s">
        <v>134</v>
      </c>
    </row>
    <row r="4" ht="15">
      <c r="A4" s="32" t="s">
        <v>116</v>
      </c>
    </row>
    <row r="5" spans="2:3" ht="15">
      <c r="B5" s="32">
        <v>525.1</v>
      </c>
      <c r="C5" s="33">
        <f>C8/B8</f>
        <v>280.0537772087068</v>
      </c>
    </row>
    <row r="6" ht="15.75" thickBot="1"/>
    <row r="7" spans="1:23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154" t="s">
        <v>137</v>
      </c>
      <c r="T7" s="161" t="s">
        <v>138</v>
      </c>
      <c r="U7" s="161"/>
      <c r="V7" s="43"/>
      <c r="W7" s="21"/>
    </row>
    <row r="8" spans="1:21" ht="15">
      <c r="A8" s="93" t="s">
        <v>139</v>
      </c>
      <c r="B8" s="116">
        <v>15.62</v>
      </c>
      <c r="C8" s="59">
        <v>4374.44</v>
      </c>
      <c r="D8" s="60">
        <v>0</v>
      </c>
      <c r="E8" s="61"/>
      <c r="F8" s="59">
        <v>8202.07</v>
      </c>
      <c r="G8" s="120">
        <v>1</v>
      </c>
      <c r="H8" s="62">
        <v>4716.14</v>
      </c>
      <c r="I8" s="63"/>
      <c r="J8" s="59">
        <v>8202.07</v>
      </c>
      <c r="K8" s="120">
        <v>1</v>
      </c>
      <c r="L8" s="62">
        <v>2920.54</v>
      </c>
      <c r="M8" s="63"/>
      <c r="N8" s="59">
        <v>8202.07</v>
      </c>
      <c r="O8" s="120">
        <v>1</v>
      </c>
      <c r="P8" s="62">
        <v>8180.52</v>
      </c>
      <c r="Q8" s="63"/>
      <c r="R8" s="237">
        <f aca="true" t="shared" si="0" ref="R8:R21">C8+F8+J8+N8</f>
        <v>28980.649999999998</v>
      </c>
      <c r="S8" s="102">
        <f aca="true" t="shared" si="1" ref="S8:S17">D8+H8+L8+P8</f>
        <v>15817.2</v>
      </c>
      <c r="T8" s="102">
        <f>SUM(T9:T13)</f>
        <v>27233.66</v>
      </c>
      <c r="U8" s="272"/>
    </row>
    <row r="9" spans="1:23" s="11" customFormat="1" ht="15">
      <c r="A9" s="208" t="s">
        <v>105</v>
      </c>
      <c r="B9" s="117">
        <v>4.77</v>
      </c>
      <c r="C9" s="44">
        <f>B9*C5</f>
        <v>1335.8565172855313</v>
      </c>
      <c r="D9" s="45"/>
      <c r="E9" s="46"/>
      <c r="F9" s="44">
        <v>2504.73</v>
      </c>
      <c r="G9" s="121">
        <f>F9/F8</f>
        <v>0.305377788777711</v>
      </c>
      <c r="H9" s="47">
        <f>G9*H8</f>
        <v>1440.204404766114</v>
      </c>
      <c r="I9" s="234"/>
      <c r="J9" s="44">
        <v>2504.73</v>
      </c>
      <c r="K9" s="121">
        <f>J9/J8</f>
        <v>0.305377788777711</v>
      </c>
      <c r="L9" s="47">
        <f>K9*L8</f>
        <v>891.868047236856</v>
      </c>
      <c r="M9" s="48"/>
      <c r="N9" s="44">
        <v>2504.73</v>
      </c>
      <c r="O9" s="121">
        <f>N9/N8</f>
        <v>0.305377788777711</v>
      </c>
      <c r="P9" s="47">
        <f>O9*P8</f>
        <v>2498.1491086518404</v>
      </c>
      <c r="Q9" s="48"/>
      <c r="R9" s="238">
        <f t="shared" si="0"/>
        <v>8850.046517285531</v>
      </c>
      <c r="S9" s="103">
        <f t="shared" si="1"/>
        <v>4830.221560654811</v>
      </c>
      <c r="T9" s="135">
        <v>12479.56</v>
      </c>
      <c r="U9" s="266" t="s">
        <v>156</v>
      </c>
      <c r="V9" s="50"/>
      <c r="W9" s="26"/>
    </row>
    <row r="10" spans="1:23" s="11" customFormat="1" ht="22.5">
      <c r="A10" s="213" t="s">
        <v>146</v>
      </c>
      <c r="B10" s="118">
        <v>3.2</v>
      </c>
      <c r="C10" s="44">
        <f>B10*C5</f>
        <v>896.1720870678618</v>
      </c>
      <c r="D10" s="45"/>
      <c r="E10" s="46"/>
      <c r="F10" s="44">
        <v>1680.32</v>
      </c>
      <c r="G10" s="121">
        <f>F10/F8</f>
        <v>0.20486535715983892</v>
      </c>
      <c r="H10" s="47">
        <f>G10*H8</f>
        <v>966.1737055158028</v>
      </c>
      <c r="I10" s="234"/>
      <c r="J10" s="44">
        <v>1680.32</v>
      </c>
      <c r="K10" s="121">
        <f>J10/J8</f>
        <v>0.20486535715983892</v>
      </c>
      <c r="L10" s="47">
        <f>K10*L8</f>
        <v>598.317470199596</v>
      </c>
      <c r="M10" s="48"/>
      <c r="N10" s="44">
        <v>1680.32</v>
      </c>
      <c r="O10" s="121">
        <f>N10/N8</f>
        <v>0.20486535715983892</v>
      </c>
      <c r="P10" s="47">
        <f>O10*P8</f>
        <v>1675.9051515532055</v>
      </c>
      <c r="Q10" s="48"/>
      <c r="R10" s="238">
        <f t="shared" si="0"/>
        <v>5937.132087067861</v>
      </c>
      <c r="S10" s="103">
        <f t="shared" si="1"/>
        <v>3240.396327268604</v>
      </c>
      <c r="T10" s="135">
        <f>10024.96*60%</f>
        <v>6014.976</v>
      </c>
      <c r="U10" s="266" t="s">
        <v>156</v>
      </c>
      <c r="V10" s="50"/>
      <c r="W10" s="26"/>
    </row>
    <row r="11" spans="1:23" s="11" customFormat="1" ht="15">
      <c r="A11" s="213" t="s">
        <v>107</v>
      </c>
      <c r="B11" s="118">
        <v>1.83</v>
      </c>
      <c r="C11" s="44">
        <f>B11*C5</f>
        <v>512.4984122919334</v>
      </c>
      <c r="D11" s="45"/>
      <c r="E11" s="46"/>
      <c r="F11" s="44">
        <v>960.93</v>
      </c>
      <c r="G11" s="121">
        <f>F11/F8</f>
        <v>0.11715701036445678</v>
      </c>
      <c r="H11" s="47">
        <f>G11*H8</f>
        <v>552.5288628602292</v>
      </c>
      <c r="I11" s="234"/>
      <c r="J11" s="44">
        <v>960.93</v>
      </c>
      <c r="K11" s="121">
        <f>J11/J8</f>
        <v>0.11715701036445678</v>
      </c>
      <c r="L11" s="47">
        <f>K11*L8</f>
        <v>342.1617350498106</v>
      </c>
      <c r="M11" s="48"/>
      <c r="N11" s="44">
        <v>960.93</v>
      </c>
      <c r="O11" s="121">
        <f>N11/N8</f>
        <v>0.11715701036445678</v>
      </c>
      <c r="P11" s="47">
        <f>O11*P8</f>
        <v>958.405266426646</v>
      </c>
      <c r="Q11" s="48"/>
      <c r="R11" s="238">
        <f t="shared" si="0"/>
        <v>3395.288412291933</v>
      </c>
      <c r="S11" s="103">
        <f t="shared" si="1"/>
        <v>1853.0958643366857</v>
      </c>
      <c r="T11" s="135">
        <f>10024.96-T10</f>
        <v>4009.9839999999995</v>
      </c>
      <c r="U11" s="266" t="s">
        <v>156</v>
      </c>
      <c r="V11" s="50"/>
      <c r="W11" s="26"/>
    </row>
    <row r="12" spans="1:23" s="11" customFormat="1" ht="15">
      <c r="A12" s="213" t="s">
        <v>108</v>
      </c>
      <c r="B12" s="118" t="s">
        <v>145</v>
      </c>
      <c r="C12" s="44">
        <f>B12*C5</f>
        <v>669.3285275288092</v>
      </c>
      <c r="D12" s="45"/>
      <c r="E12" s="46"/>
      <c r="F12" s="44">
        <v>1254.99</v>
      </c>
      <c r="G12" s="121">
        <f>F12/F8</f>
        <v>0.15300893554919673</v>
      </c>
      <c r="H12" s="47">
        <f>G12*H8</f>
        <v>721.6115613009887</v>
      </c>
      <c r="I12" s="234"/>
      <c r="J12" s="44">
        <v>1254.99</v>
      </c>
      <c r="K12" s="121">
        <f>J12/J8</f>
        <v>0.15300893554919673</v>
      </c>
      <c r="L12" s="47">
        <f>K12*L8</f>
        <v>446.868716628851</v>
      </c>
      <c r="M12" s="48"/>
      <c r="N12" s="44">
        <v>1254.99</v>
      </c>
      <c r="O12" s="121">
        <f>N12/N8</f>
        <v>0.15300893554919673</v>
      </c>
      <c r="P12" s="47">
        <f>O12*P8</f>
        <v>1251.692657438915</v>
      </c>
      <c r="Q12" s="48"/>
      <c r="R12" s="238">
        <f t="shared" si="0"/>
        <v>4434.298527528809</v>
      </c>
      <c r="S12" s="103">
        <f t="shared" si="1"/>
        <v>2420.1729353687547</v>
      </c>
      <c r="T12" s="135">
        <v>4729.14</v>
      </c>
      <c r="U12" s="266" t="s">
        <v>154</v>
      </c>
      <c r="V12" s="50"/>
      <c r="W12" s="26"/>
    </row>
    <row r="13" spans="1:23" s="11" customFormat="1" ht="15.75" thickBot="1">
      <c r="A13" s="214" t="s">
        <v>110</v>
      </c>
      <c r="B13" s="119">
        <f>1.82+1.61</f>
        <v>3.43</v>
      </c>
      <c r="C13" s="67">
        <f>B13*C5</f>
        <v>960.5844558258643</v>
      </c>
      <c r="D13" s="68"/>
      <c r="E13" s="69"/>
      <c r="F13" s="67">
        <v>1801.1</v>
      </c>
      <c r="G13" s="122">
        <f>F13/F8</f>
        <v>0.2195909081487966</v>
      </c>
      <c r="H13" s="70">
        <f>G13*H8</f>
        <v>1035.6214655568656</v>
      </c>
      <c r="I13" s="235"/>
      <c r="J13" s="67">
        <v>1801.1</v>
      </c>
      <c r="K13" s="122">
        <f>J13/J8</f>
        <v>0.2195909081487966</v>
      </c>
      <c r="L13" s="70">
        <f>K13*L8</f>
        <v>641.3240308848864</v>
      </c>
      <c r="M13" s="71"/>
      <c r="N13" s="67">
        <v>1801.1</v>
      </c>
      <c r="O13" s="122">
        <f>N13/N8</f>
        <v>0.2195909081487966</v>
      </c>
      <c r="P13" s="70">
        <f>O13*P8</f>
        <v>1796.3678159293936</v>
      </c>
      <c r="Q13" s="71"/>
      <c r="R13" s="239">
        <f t="shared" si="0"/>
        <v>6363.884455825864</v>
      </c>
      <c r="S13" s="104">
        <f t="shared" si="1"/>
        <v>3473.3133123711455</v>
      </c>
      <c r="T13" s="136">
        <v>0</v>
      </c>
      <c r="U13" s="273"/>
      <c r="V13" s="50"/>
      <c r="W13" s="26"/>
    </row>
    <row r="14" spans="1:21" ht="15.75" thickBot="1">
      <c r="A14" s="236" t="s">
        <v>96</v>
      </c>
      <c r="B14" s="182"/>
      <c r="C14" s="189">
        <v>68.97</v>
      </c>
      <c r="D14" s="190">
        <v>0</v>
      </c>
      <c r="E14" s="140"/>
      <c r="F14" s="189">
        <v>68.97</v>
      </c>
      <c r="G14" s="140"/>
      <c r="H14" s="191">
        <v>36.96</v>
      </c>
      <c r="I14" s="192"/>
      <c r="J14" s="189">
        <v>68.97</v>
      </c>
      <c r="K14" s="140"/>
      <c r="L14" s="191">
        <v>15.79</v>
      </c>
      <c r="M14" s="192"/>
      <c r="N14" s="189">
        <v>68.97</v>
      </c>
      <c r="O14" s="140"/>
      <c r="P14" s="191">
        <v>105.2</v>
      </c>
      <c r="Q14" s="192"/>
      <c r="R14" s="240">
        <f t="shared" si="0"/>
        <v>275.88</v>
      </c>
      <c r="S14" s="193">
        <f t="shared" si="1"/>
        <v>157.95</v>
      </c>
      <c r="T14" s="241">
        <v>0</v>
      </c>
      <c r="U14" s="241"/>
    </row>
    <row r="15" spans="1:21" ht="15">
      <c r="A15" s="93" t="s">
        <v>97</v>
      </c>
      <c r="B15" s="114"/>
      <c r="C15" s="59">
        <v>0</v>
      </c>
      <c r="D15" s="60">
        <v>0</v>
      </c>
      <c r="E15" s="61"/>
      <c r="F15" s="59">
        <v>0</v>
      </c>
      <c r="G15" s="61"/>
      <c r="H15" s="62">
        <v>0</v>
      </c>
      <c r="I15" s="63"/>
      <c r="J15" s="59">
        <v>1644.57</v>
      </c>
      <c r="K15" s="61"/>
      <c r="L15" s="62">
        <v>305.8</v>
      </c>
      <c r="M15" s="63"/>
      <c r="N15" s="59">
        <v>5402.85</v>
      </c>
      <c r="O15" s="61"/>
      <c r="P15" s="62">
        <v>803.8</v>
      </c>
      <c r="Q15" s="63"/>
      <c r="R15" s="237">
        <f t="shared" si="0"/>
        <v>7047.42</v>
      </c>
      <c r="S15" s="102">
        <f t="shared" si="1"/>
        <v>1109.6</v>
      </c>
      <c r="T15" s="272">
        <v>9331.87</v>
      </c>
      <c r="U15" s="267" t="s">
        <v>155</v>
      </c>
    </row>
    <row r="16" spans="1:21" ht="15.75" thickBot="1">
      <c r="A16" s="94" t="s">
        <v>98</v>
      </c>
      <c r="B16" s="115"/>
      <c r="C16" s="67">
        <v>0</v>
      </c>
      <c r="D16" s="68">
        <v>0</v>
      </c>
      <c r="E16" s="69"/>
      <c r="F16" s="67">
        <v>0</v>
      </c>
      <c r="G16" s="69"/>
      <c r="H16" s="70">
        <v>0</v>
      </c>
      <c r="I16" s="71"/>
      <c r="J16" s="67">
        <v>4021.72</v>
      </c>
      <c r="K16" s="69"/>
      <c r="L16" s="70">
        <v>747.81</v>
      </c>
      <c r="M16" s="71"/>
      <c r="N16" s="67">
        <v>13212.42</v>
      </c>
      <c r="O16" s="69"/>
      <c r="P16" s="70">
        <v>1965.63</v>
      </c>
      <c r="Q16" s="71"/>
      <c r="R16" s="242">
        <f t="shared" si="0"/>
        <v>17234.14</v>
      </c>
      <c r="S16" s="106">
        <f t="shared" si="1"/>
        <v>2713.44</v>
      </c>
      <c r="T16" s="273">
        <v>22754.83</v>
      </c>
      <c r="U16" s="106" t="s">
        <v>155</v>
      </c>
    </row>
    <row r="17" spans="1:21" ht="15.75" thickBot="1">
      <c r="A17" s="92" t="s">
        <v>6</v>
      </c>
      <c r="B17" s="113"/>
      <c r="C17" s="73">
        <v>0</v>
      </c>
      <c r="D17" s="74">
        <v>0</v>
      </c>
      <c r="E17" s="75"/>
      <c r="F17" s="73">
        <v>0</v>
      </c>
      <c r="G17" s="75"/>
      <c r="H17" s="76">
        <v>0</v>
      </c>
      <c r="I17" s="77"/>
      <c r="J17" s="73">
        <v>18370.75</v>
      </c>
      <c r="K17" s="75"/>
      <c r="L17" s="76">
        <v>3481.41</v>
      </c>
      <c r="M17" s="77"/>
      <c r="N17" s="73">
        <v>43477.4</v>
      </c>
      <c r="O17" s="75"/>
      <c r="P17" s="76">
        <v>9846.64</v>
      </c>
      <c r="Q17" s="77"/>
      <c r="R17" s="243">
        <f t="shared" si="0"/>
        <v>61848.15</v>
      </c>
      <c r="S17" s="105">
        <f t="shared" si="1"/>
        <v>13328.05</v>
      </c>
      <c r="T17" s="274">
        <v>42727.43</v>
      </c>
      <c r="U17" s="102" t="s">
        <v>155</v>
      </c>
    </row>
    <row r="18" spans="1:21" ht="15.75" thickBot="1">
      <c r="A18" s="93" t="s">
        <v>99</v>
      </c>
      <c r="B18" s="113"/>
      <c r="C18" s="59">
        <v>750.72</v>
      </c>
      <c r="D18" s="60">
        <v>0</v>
      </c>
      <c r="E18" s="61"/>
      <c r="F18" s="59">
        <v>522.24</v>
      </c>
      <c r="G18" s="61"/>
      <c r="H18" s="62">
        <v>451.43</v>
      </c>
      <c r="I18" s="63"/>
      <c r="J18" s="59">
        <v>522.24</v>
      </c>
      <c r="K18" s="61"/>
      <c r="L18" s="62">
        <v>262.09</v>
      </c>
      <c r="M18" s="63"/>
      <c r="N18" s="59">
        <v>1358.01</v>
      </c>
      <c r="O18" s="61"/>
      <c r="P18" s="62">
        <v>526.98</v>
      </c>
      <c r="Q18" s="63"/>
      <c r="R18" s="237">
        <f>C18+F18+J18+N18+R19</f>
        <v>4524.5599999999995</v>
      </c>
      <c r="S18" s="102">
        <f>D18+H18+L18+P18+S19</f>
        <v>1664.6100000000001</v>
      </c>
      <c r="T18" s="272">
        <f>R18</f>
        <v>4524.5599999999995</v>
      </c>
      <c r="U18" s="105" t="s">
        <v>157</v>
      </c>
    </row>
    <row r="19" spans="1:21" ht="15.75" hidden="1" thickBot="1">
      <c r="A19" s="94" t="s">
        <v>101</v>
      </c>
      <c r="B19" s="113"/>
      <c r="C19" s="67">
        <v>202.57</v>
      </c>
      <c r="D19" s="68">
        <v>0</v>
      </c>
      <c r="E19" s="69"/>
      <c r="F19" s="67">
        <v>235.26</v>
      </c>
      <c r="G19" s="69"/>
      <c r="H19" s="70">
        <v>149.36</v>
      </c>
      <c r="I19" s="71"/>
      <c r="J19" s="67">
        <v>200.44</v>
      </c>
      <c r="K19" s="69"/>
      <c r="L19" s="70">
        <v>17.18</v>
      </c>
      <c r="M19" s="71"/>
      <c r="N19" s="67">
        <v>733.08</v>
      </c>
      <c r="O19" s="69"/>
      <c r="P19" s="70">
        <v>257.57</v>
      </c>
      <c r="Q19" s="71"/>
      <c r="R19" s="242">
        <f t="shared" si="0"/>
        <v>1371.35</v>
      </c>
      <c r="S19" s="106">
        <f>D19+H19+L19+P19</f>
        <v>424.11</v>
      </c>
      <c r="T19" s="273"/>
      <c r="U19" s="273"/>
    </row>
    <row r="20" spans="1:21" ht="15.75" thickBot="1">
      <c r="A20" s="92" t="s">
        <v>100</v>
      </c>
      <c r="B20" s="249"/>
      <c r="C20" s="73">
        <v>1442.78</v>
      </c>
      <c r="D20" s="74">
        <v>0</v>
      </c>
      <c r="E20" s="75"/>
      <c r="F20" s="73">
        <v>1003.68</v>
      </c>
      <c r="G20" s="75"/>
      <c r="H20" s="76">
        <v>867.59</v>
      </c>
      <c r="I20" s="77"/>
      <c r="J20" s="73">
        <v>1003.68</v>
      </c>
      <c r="K20" s="75"/>
      <c r="L20" s="76">
        <v>503.69</v>
      </c>
      <c r="M20" s="77"/>
      <c r="N20" s="73">
        <v>3297.33</v>
      </c>
      <c r="O20" s="75"/>
      <c r="P20" s="76">
        <v>1012.79</v>
      </c>
      <c r="Q20" s="77"/>
      <c r="R20" s="243">
        <f>C20+F20+J20+N20+R21</f>
        <v>9477.97</v>
      </c>
      <c r="S20" s="105">
        <f>D20+H20+L20+P20+S21</f>
        <v>3195.5199999999995</v>
      </c>
      <c r="T20" s="274">
        <f>R20</f>
        <v>9477.97</v>
      </c>
      <c r="U20" s="105" t="s">
        <v>157</v>
      </c>
    </row>
    <row r="21" spans="1:21" ht="15.75" hidden="1" thickBot="1">
      <c r="A21" s="276" t="s">
        <v>102</v>
      </c>
      <c r="B21" s="127"/>
      <c r="C21" s="277">
        <v>411.78</v>
      </c>
      <c r="D21" s="278">
        <v>0</v>
      </c>
      <c r="E21" s="279"/>
      <c r="F21" s="277">
        <v>326.72</v>
      </c>
      <c r="G21" s="279"/>
      <c r="H21" s="280">
        <v>206.34</v>
      </c>
      <c r="I21" s="281"/>
      <c r="J21" s="277">
        <v>375.96</v>
      </c>
      <c r="K21" s="279"/>
      <c r="L21" s="280">
        <v>49.5</v>
      </c>
      <c r="M21" s="281"/>
      <c r="N21" s="277">
        <v>1616.04</v>
      </c>
      <c r="O21" s="279"/>
      <c r="P21" s="280">
        <v>555.61</v>
      </c>
      <c r="Q21" s="281"/>
      <c r="R21" s="244">
        <f t="shared" si="0"/>
        <v>2730.5</v>
      </c>
      <c r="S21" s="134">
        <f>D21+H21+L21+P21</f>
        <v>811.45</v>
      </c>
      <c r="T21" s="374"/>
      <c r="U21" s="374"/>
    </row>
    <row r="22" spans="1:21" ht="15.75" thickBot="1">
      <c r="A22" s="293"/>
      <c r="B22" s="87"/>
      <c r="C22" s="54"/>
      <c r="D22" s="55"/>
      <c r="E22" s="56"/>
      <c r="F22" s="54"/>
      <c r="G22" s="56"/>
      <c r="H22" s="57"/>
      <c r="I22" s="58"/>
      <c r="J22" s="85"/>
      <c r="K22" s="56"/>
      <c r="L22" s="86"/>
      <c r="M22" s="58"/>
      <c r="N22" s="85"/>
      <c r="O22" s="56"/>
      <c r="P22" s="86"/>
      <c r="Q22" s="58"/>
      <c r="R22" s="244">
        <f>SUM(R9:R21)-R19-R21</f>
        <v>129388.76999999999</v>
      </c>
      <c r="S22" s="244">
        <f>SUM(S9:S21)-S19-S21</f>
        <v>37986.369999999995</v>
      </c>
      <c r="T22" s="244">
        <f>SUM(T9:T21)-T19-T21</f>
        <v>116050.32</v>
      </c>
      <c r="U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2">
      <selection activeCell="R7" sqref="R7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4.140625" style="34" customWidth="1"/>
    <col min="22" max="23" width="9.140625" style="13" customWidth="1"/>
  </cols>
  <sheetData>
    <row r="1" ht="15">
      <c r="A1" s="32" t="s">
        <v>115</v>
      </c>
    </row>
    <row r="3" ht="15">
      <c r="A3" s="32" t="s">
        <v>135</v>
      </c>
    </row>
    <row r="4" ht="15">
      <c r="A4" s="32" t="s">
        <v>116</v>
      </c>
    </row>
    <row r="5" spans="2:3" ht="15">
      <c r="B5" s="32">
        <v>530.57</v>
      </c>
      <c r="C5" s="33">
        <f>C8/B8</f>
        <v>282.9718309859155</v>
      </c>
    </row>
    <row r="6" ht="15.75" thickBot="1"/>
    <row r="7" spans="1:23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154" t="s">
        <v>137</v>
      </c>
      <c r="T7" s="154" t="s">
        <v>138</v>
      </c>
      <c r="U7" s="154"/>
      <c r="V7" s="21"/>
      <c r="W7" s="21"/>
    </row>
    <row r="8" spans="1:21" ht="15">
      <c r="A8" s="80" t="s">
        <v>139</v>
      </c>
      <c r="B8" s="116">
        <v>15.62</v>
      </c>
      <c r="C8" s="59">
        <v>4420.02</v>
      </c>
      <c r="D8" s="60">
        <v>0</v>
      </c>
      <c r="E8" s="61"/>
      <c r="F8" s="59">
        <v>8287.51</v>
      </c>
      <c r="G8" s="120">
        <v>1</v>
      </c>
      <c r="H8" s="62">
        <v>4762.81</v>
      </c>
      <c r="I8" s="63"/>
      <c r="J8" s="59">
        <v>8287.51</v>
      </c>
      <c r="K8" s="120">
        <v>1</v>
      </c>
      <c r="L8" s="62">
        <v>3698.15</v>
      </c>
      <c r="M8" s="63"/>
      <c r="N8" s="59">
        <v>8287.51</v>
      </c>
      <c r="O8" s="120">
        <v>1</v>
      </c>
      <c r="P8" s="62">
        <v>10723.59</v>
      </c>
      <c r="Q8" s="63"/>
      <c r="R8" s="102">
        <f aca="true" t="shared" si="0" ref="R8:R21">C8+F8+J8+N8</f>
        <v>29282.550000000003</v>
      </c>
      <c r="S8" s="102">
        <f aca="true" t="shared" si="1" ref="S8:S17">D8+H8+L8+P8</f>
        <v>19184.550000000003</v>
      </c>
      <c r="T8" s="102">
        <f>SUM(T9:T13)</f>
        <v>27538.19</v>
      </c>
      <c r="U8" s="102"/>
    </row>
    <row r="9" spans="1:23" s="11" customFormat="1" ht="15">
      <c r="A9" s="49" t="s">
        <v>105</v>
      </c>
      <c r="B9" s="117">
        <v>4.77</v>
      </c>
      <c r="C9" s="44">
        <f>B9*C5</f>
        <v>1349.7756338028169</v>
      </c>
      <c r="D9" s="45"/>
      <c r="E9" s="46"/>
      <c r="F9" s="44">
        <v>2530.82</v>
      </c>
      <c r="G9" s="121">
        <f>F9/F8</f>
        <v>0.30537761040409</v>
      </c>
      <c r="H9" s="47">
        <f>G9*H8</f>
        <v>1454.455536608704</v>
      </c>
      <c r="I9" s="234"/>
      <c r="J9" s="44">
        <v>2530.82</v>
      </c>
      <c r="K9" s="121">
        <f>J9/J8</f>
        <v>0.30537761040409</v>
      </c>
      <c r="L9" s="47">
        <f>K9*L8</f>
        <v>1129.3322099158854</v>
      </c>
      <c r="M9" s="48"/>
      <c r="N9" s="44">
        <v>2530.82</v>
      </c>
      <c r="O9" s="121">
        <f>N9/N8</f>
        <v>0.30537761040409</v>
      </c>
      <c r="P9" s="47">
        <f>O9*P8</f>
        <v>3274.7442891531955</v>
      </c>
      <c r="Q9" s="48"/>
      <c r="R9" s="103">
        <f t="shared" si="0"/>
        <v>8942.235633802817</v>
      </c>
      <c r="S9" s="103">
        <f t="shared" si="1"/>
        <v>5858.532035677785</v>
      </c>
      <c r="T9" s="103">
        <v>12609.57</v>
      </c>
      <c r="U9" s="266" t="s">
        <v>156</v>
      </c>
      <c r="V9" s="26"/>
      <c r="W9" s="26"/>
    </row>
    <row r="10" spans="1:23" s="11" customFormat="1" ht="23.25">
      <c r="A10" s="51" t="s">
        <v>146</v>
      </c>
      <c r="B10" s="118">
        <v>3.2</v>
      </c>
      <c r="C10" s="44">
        <f>B10*C5</f>
        <v>905.5098591549297</v>
      </c>
      <c r="D10" s="45"/>
      <c r="E10" s="46"/>
      <c r="F10" s="44">
        <v>1697.83</v>
      </c>
      <c r="G10" s="121">
        <f>F10/F8</f>
        <v>0.20486611780860595</v>
      </c>
      <c r="H10" s="47">
        <f>G10*H8</f>
        <v>975.7383945600066</v>
      </c>
      <c r="I10" s="234"/>
      <c r="J10" s="44">
        <v>1697.83</v>
      </c>
      <c r="K10" s="121">
        <f>J10/J8</f>
        <v>0.20486611780860595</v>
      </c>
      <c r="L10" s="47">
        <f>K10*L8</f>
        <v>757.6256335738962</v>
      </c>
      <c r="M10" s="48"/>
      <c r="N10" s="44">
        <v>1697.83</v>
      </c>
      <c r="O10" s="121">
        <f>N10/N8</f>
        <v>0.20486611780860595</v>
      </c>
      <c r="P10" s="47">
        <f>O10*P8</f>
        <v>2196.9002522711885</v>
      </c>
      <c r="Q10" s="48"/>
      <c r="R10" s="103">
        <f t="shared" si="0"/>
        <v>5998.999859154929</v>
      </c>
      <c r="S10" s="103">
        <f t="shared" si="1"/>
        <v>3930.264280405091</v>
      </c>
      <c r="T10" s="103">
        <f>10150.23*60%</f>
        <v>6090.138</v>
      </c>
      <c r="U10" s="266" t="s">
        <v>156</v>
      </c>
      <c r="V10" s="26"/>
      <c r="W10" s="26"/>
    </row>
    <row r="11" spans="1:23" s="11" customFormat="1" ht="15">
      <c r="A11" s="51" t="s">
        <v>107</v>
      </c>
      <c r="B11" s="118">
        <v>1.83</v>
      </c>
      <c r="C11" s="44">
        <f>B11*C5</f>
        <v>517.8384507042255</v>
      </c>
      <c r="D11" s="45"/>
      <c r="E11" s="46"/>
      <c r="F11" s="44">
        <v>970.94</v>
      </c>
      <c r="G11" s="121">
        <f>F11/F8</f>
        <v>0.11715702303828292</v>
      </c>
      <c r="H11" s="47">
        <f>G11*H8</f>
        <v>557.9966408969643</v>
      </c>
      <c r="I11" s="234"/>
      <c r="J11" s="44">
        <v>970.94</v>
      </c>
      <c r="K11" s="121">
        <f>J11/J8</f>
        <v>0.11715702303828292</v>
      </c>
      <c r="L11" s="47">
        <f>K11*L8</f>
        <v>433.264244749026</v>
      </c>
      <c r="M11" s="48"/>
      <c r="N11" s="44">
        <v>970.94</v>
      </c>
      <c r="O11" s="121">
        <f>N11/N8</f>
        <v>0.11715702303828292</v>
      </c>
      <c r="P11" s="47">
        <f>O11*P8</f>
        <v>1256.3438806831002</v>
      </c>
      <c r="Q11" s="48"/>
      <c r="R11" s="103">
        <f t="shared" si="0"/>
        <v>3430.6584507042257</v>
      </c>
      <c r="S11" s="103">
        <f t="shared" si="1"/>
        <v>2247.6047663290906</v>
      </c>
      <c r="T11" s="103">
        <f>10150.23-T10</f>
        <v>4060.0919999999996</v>
      </c>
      <c r="U11" s="266" t="s">
        <v>156</v>
      </c>
      <c r="V11" s="26"/>
      <c r="W11" s="26"/>
    </row>
    <row r="12" spans="1:23" s="11" customFormat="1" ht="15">
      <c r="A12" s="51" t="s">
        <v>108</v>
      </c>
      <c r="B12" s="118" t="s">
        <v>145</v>
      </c>
      <c r="C12" s="44">
        <f>B12*C5</f>
        <v>676.3026760563381</v>
      </c>
      <c r="D12" s="45">
        <v>0</v>
      </c>
      <c r="E12" s="46"/>
      <c r="F12" s="44">
        <v>1268.06</v>
      </c>
      <c r="G12" s="121">
        <f>F12/F8</f>
        <v>0.1530085634889128</v>
      </c>
      <c r="H12" s="47">
        <f>G12*H8</f>
        <v>728.7507162706289</v>
      </c>
      <c r="I12" s="234"/>
      <c r="J12" s="44">
        <v>1268.06</v>
      </c>
      <c r="K12" s="121">
        <f>J12/J8</f>
        <v>0.1530085634889128</v>
      </c>
      <c r="L12" s="47">
        <f>K12*L8</f>
        <v>565.8486190665229</v>
      </c>
      <c r="M12" s="48"/>
      <c r="N12" s="44">
        <v>1268.06</v>
      </c>
      <c r="O12" s="121">
        <f>N12/N8</f>
        <v>0.1530085634889128</v>
      </c>
      <c r="P12" s="47">
        <f>O12*P8</f>
        <v>1640.8011013440705</v>
      </c>
      <c r="Q12" s="48"/>
      <c r="R12" s="103">
        <f t="shared" si="0"/>
        <v>4480.482676056337</v>
      </c>
      <c r="S12" s="103">
        <f t="shared" si="1"/>
        <v>2935.4004366812223</v>
      </c>
      <c r="T12" s="103">
        <v>4778.39</v>
      </c>
      <c r="U12" s="266" t="s">
        <v>154</v>
      </c>
      <c r="V12" s="26"/>
      <c r="W12" s="26"/>
    </row>
    <row r="13" spans="1:23" s="11" customFormat="1" ht="15.75" thickBot="1">
      <c r="A13" s="66" t="s">
        <v>110</v>
      </c>
      <c r="B13" s="119">
        <f>1.82+1.61</f>
        <v>3.43</v>
      </c>
      <c r="C13" s="67">
        <f>B13*C5</f>
        <v>970.5933802816903</v>
      </c>
      <c r="D13" s="68"/>
      <c r="E13" s="69"/>
      <c r="F13" s="67">
        <v>1819.86</v>
      </c>
      <c r="G13" s="122">
        <f>F13/F8</f>
        <v>0.21959068526010828</v>
      </c>
      <c r="H13" s="70">
        <f>G13*H8</f>
        <v>1045.8687116636963</v>
      </c>
      <c r="I13" s="235"/>
      <c r="J13" s="67">
        <v>1819.86</v>
      </c>
      <c r="K13" s="122">
        <f>J13/J8</f>
        <v>0.21959068526010828</v>
      </c>
      <c r="L13" s="70">
        <f>K13*L8</f>
        <v>812.0792926946694</v>
      </c>
      <c r="M13" s="71"/>
      <c r="N13" s="67">
        <v>1819.86</v>
      </c>
      <c r="O13" s="122">
        <f>N13/N8</f>
        <v>0.21959068526010828</v>
      </c>
      <c r="P13" s="70">
        <f>O13*P8</f>
        <v>2354.8004765484447</v>
      </c>
      <c r="Q13" s="71"/>
      <c r="R13" s="104">
        <f t="shared" si="0"/>
        <v>6430.17338028169</v>
      </c>
      <c r="S13" s="104">
        <f t="shared" si="1"/>
        <v>4212.74848090681</v>
      </c>
      <c r="T13" s="104">
        <v>0</v>
      </c>
      <c r="U13" s="106"/>
      <c r="V13" s="26"/>
      <c r="W13" s="26"/>
    </row>
    <row r="14" spans="1:21" ht="15.75" thickBot="1">
      <c r="A14" s="72" t="s">
        <v>96</v>
      </c>
      <c r="B14" s="113"/>
      <c r="C14" s="73">
        <v>31.47</v>
      </c>
      <c r="D14" s="74">
        <v>0</v>
      </c>
      <c r="E14" s="75"/>
      <c r="F14" s="73">
        <v>31.47</v>
      </c>
      <c r="G14" s="75"/>
      <c r="H14" s="76">
        <v>25.08</v>
      </c>
      <c r="I14" s="77"/>
      <c r="J14" s="73">
        <v>31.47</v>
      </c>
      <c r="K14" s="75"/>
      <c r="L14" s="76">
        <v>16.16</v>
      </c>
      <c r="M14" s="77"/>
      <c r="N14" s="73">
        <v>31.47</v>
      </c>
      <c r="O14" s="75"/>
      <c r="P14" s="76">
        <v>0</v>
      </c>
      <c r="Q14" s="77"/>
      <c r="R14" s="105">
        <f t="shared" si="0"/>
        <v>125.88</v>
      </c>
      <c r="S14" s="105">
        <f t="shared" si="1"/>
        <v>41.239999999999995</v>
      </c>
      <c r="T14" s="105">
        <v>0</v>
      </c>
      <c r="U14" s="105"/>
    </row>
    <row r="15" spans="1:21" ht="15">
      <c r="A15" s="80" t="s">
        <v>97</v>
      </c>
      <c r="B15" s="114"/>
      <c r="C15" s="59">
        <v>0</v>
      </c>
      <c r="D15" s="60">
        <v>0</v>
      </c>
      <c r="E15" s="61"/>
      <c r="F15" s="59">
        <v>0</v>
      </c>
      <c r="G15" s="61"/>
      <c r="H15" s="62">
        <v>0</v>
      </c>
      <c r="I15" s="63"/>
      <c r="J15" s="59">
        <v>1364.16</v>
      </c>
      <c r="K15" s="61"/>
      <c r="L15" s="62">
        <v>279.72</v>
      </c>
      <c r="M15" s="63"/>
      <c r="N15" s="59">
        <v>4100.87</v>
      </c>
      <c r="O15" s="61"/>
      <c r="P15" s="62">
        <v>858.52</v>
      </c>
      <c r="Q15" s="63"/>
      <c r="R15" s="102">
        <f t="shared" si="0"/>
        <v>5465.03</v>
      </c>
      <c r="S15" s="102">
        <f t="shared" si="1"/>
        <v>1138.24</v>
      </c>
      <c r="T15" s="102">
        <v>7236.54</v>
      </c>
      <c r="U15" s="267" t="s">
        <v>155</v>
      </c>
    </row>
    <row r="16" spans="1:21" ht="15.75" thickBot="1">
      <c r="A16" s="81" t="s">
        <v>98</v>
      </c>
      <c r="B16" s="115"/>
      <c r="C16" s="67">
        <v>0</v>
      </c>
      <c r="D16" s="68">
        <v>0</v>
      </c>
      <c r="E16" s="69"/>
      <c r="F16" s="67">
        <v>0</v>
      </c>
      <c r="G16" s="69"/>
      <c r="H16" s="70">
        <v>0</v>
      </c>
      <c r="I16" s="71"/>
      <c r="J16" s="67">
        <v>3335.96</v>
      </c>
      <c r="K16" s="69"/>
      <c r="L16" s="70">
        <v>684.02</v>
      </c>
      <c r="M16" s="71"/>
      <c r="N16" s="67">
        <v>10028.37</v>
      </c>
      <c r="O16" s="69"/>
      <c r="P16" s="70">
        <v>2099.49</v>
      </c>
      <c r="Q16" s="71"/>
      <c r="R16" s="106">
        <f t="shared" si="0"/>
        <v>13364.330000000002</v>
      </c>
      <c r="S16" s="106">
        <f t="shared" si="1"/>
        <v>2783.5099999999998</v>
      </c>
      <c r="T16" s="106">
        <v>17645.39</v>
      </c>
      <c r="U16" s="106" t="s">
        <v>155</v>
      </c>
    </row>
    <row r="17" spans="1:21" ht="15.75" thickBot="1">
      <c r="A17" s="72" t="s">
        <v>6</v>
      </c>
      <c r="B17" s="113"/>
      <c r="C17" s="73">
        <v>0</v>
      </c>
      <c r="D17" s="74">
        <v>0</v>
      </c>
      <c r="E17" s="75"/>
      <c r="F17" s="73">
        <v>0</v>
      </c>
      <c r="G17" s="75"/>
      <c r="H17" s="76">
        <v>0</v>
      </c>
      <c r="I17" s="77"/>
      <c r="J17" s="73">
        <v>18562.12</v>
      </c>
      <c r="K17" s="75"/>
      <c r="L17" s="76">
        <v>4208.82</v>
      </c>
      <c r="M17" s="77"/>
      <c r="N17" s="73">
        <v>43930.32</v>
      </c>
      <c r="O17" s="75"/>
      <c r="P17" s="76">
        <v>12246.05</v>
      </c>
      <c r="Q17" s="77"/>
      <c r="R17" s="105">
        <f t="shared" si="0"/>
        <v>62492.44</v>
      </c>
      <c r="S17" s="105">
        <f t="shared" si="1"/>
        <v>16454.87</v>
      </c>
      <c r="T17" s="105">
        <v>43172.54</v>
      </c>
      <c r="U17" s="102" t="s">
        <v>155</v>
      </c>
    </row>
    <row r="18" spans="1:21" ht="15.75" thickBot="1">
      <c r="A18" s="80" t="s">
        <v>99</v>
      </c>
      <c r="B18" s="113"/>
      <c r="C18" s="59">
        <v>522.24</v>
      </c>
      <c r="D18" s="60">
        <v>0</v>
      </c>
      <c r="E18" s="61"/>
      <c r="F18" s="59">
        <v>522.24</v>
      </c>
      <c r="G18" s="61"/>
      <c r="H18" s="62">
        <v>386.06</v>
      </c>
      <c r="I18" s="63"/>
      <c r="J18" s="59">
        <v>522.24</v>
      </c>
      <c r="K18" s="61"/>
      <c r="L18" s="62">
        <v>238.96</v>
      </c>
      <c r="M18" s="63"/>
      <c r="N18" s="59">
        <v>1358.03</v>
      </c>
      <c r="O18" s="61"/>
      <c r="P18" s="62">
        <v>727.11</v>
      </c>
      <c r="Q18" s="63"/>
      <c r="R18" s="102">
        <f>C18+F18+J18+N18+R19</f>
        <v>3247.74</v>
      </c>
      <c r="S18" s="102">
        <f>D18+H18+L18+P18+S19</f>
        <v>1541.39</v>
      </c>
      <c r="T18" s="102">
        <f>R18</f>
        <v>3247.74</v>
      </c>
      <c r="U18" s="105" t="s">
        <v>157</v>
      </c>
    </row>
    <row r="19" spans="1:21" ht="15.75" hidden="1" thickBot="1">
      <c r="A19" s="81" t="s">
        <v>101</v>
      </c>
      <c r="B19" s="113"/>
      <c r="C19" s="67">
        <v>138.97</v>
      </c>
      <c r="D19" s="68">
        <v>0</v>
      </c>
      <c r="E19" s="69"/>
      <c r="F19" s="67">
        <v>4.38</v>
      </c>
      <c r="G19" s="69"/>
      <c r="H19" s="70">
        <v>65.47</v>
      </c>
      <c r="I19" s="71"/>
      <c r="J19" s="67">
        <v>45.54</v>
      </c>
      <c r="K19" s="69"/>
      <c r="L19" s="70">
        <v>31.07</v>
      </c>
      <c r="M19" s="71"/>
      <c r="N19" s="67">
        <v>134.1</v>
      </c>
      <c r="O19" s="69"/>
      <c r="P19" s="70">
        <v>92.72</v>
      </c>
      <c r="Q19" s="71"/>
      <c r="R19" s="106">
        <f t="shared" si="0"/>
        <v>322.99</v>
      </c>
      <c r="S19" s="106">
        <f>D19+H19+L19+P19</f>
        <v>189.26</v>
      </c>
      <c r="T19" s="106"/>
      <c r="U19" s="106"/>
    </row>
    <row r="20" spans="1:21" ht="15.75" thickBot="1">
      <c r="A20" s="72" t="s">
        <v>100</v>
      </c>
      <c r="B20" s="249"/>
      <c r="C20" s="73">
        <v>1003.68</v>
      </c>
      <c r="D20" s="74">
        <v>0</v>
      </c>
      <c r="E20" s="75"/>
      <c r="F20" s="73">
        <v>1003.68</v>
      </c>
      <c r="G20" s="75"/>
      <c r="H20" s="76">
        <v>741.94</v>
      </c>
      <c r="I20" s="77"/>
      <c r="J20" s="73">
        <v>1003.68</v>
      </c>
      <c r="K20" s="75"/>
      <c r="L20" s="76">
        <v>459.25</v>
      </c>
      <c r="M20" s="77"/>
      <c r="N20" s="73">
        <v>3297.33</v>
      </c>
      <c r="O20" s="75"/>
      <c r="P20" s="76">
        <v>1397.42</v>
      </c>
      <c r="Q20" s="77"/>
      <c r="R20" s="105">
        <f>C20+F20+J20+N20+R21</f>
        <v>7095.95</v>
      </c>
      <c r="S20" s="105">
        <f>D20+H20+L20+P20+S21</f>
        <v>2964.96</v>
      </c>
      <c r="T20" s="105">
        <f>R20</f>
        <v>7095.95</v>
      </c>
      <c r="U20" s="105" t="s">
        <v>157</v>
      </c>
    </row>
    <row r="21" spans="1:21" ht="15.75" hidden="1" thickBot="1">
      <c r="A21" s="284" t="s">
        <v>102</v>
      </c>
      <c r="B21" s="127"/>
      <c r="C21" s="277">
        <v>272.94</v>
      </c>
      <c r="D21" s="278">
        <v>0</v>
      </c>
      <c r="E21" s="279"/>
      <c r="F21" s="277">
        <v>-14.73</v>
      </c>
      <c r="G21" s="279"/>
      <c r="H21" s="280">
        <v>115.36</v>
      </c>
      <c r="I21" s="281"/>
      <c r="J21" s="277">
        <v>107.39</v>
      </c>
      <c r="K21" s="279"/>
      <c r="L21" s="280">
        <v>62.64</v>
      </c>
      <c r="M21" s="281"/>
      <c r="N21" s="277">
        <v>421.98</v>
      </c>
      <c r="O21" s="279"/>
      <c r="P21" s="280">
        <v>188.35</v>
      </c>
      <c r="Q21" s="281"/>
      <c r="R21" s="134">
        <f t="shared" si="0"/>
        <v>787.5799999999999</v>
      </c>
      <c r="S21" s="134">
        <f>D21+H21+L21+P21</f>
        <v>366.35</v>
      </c>
      <c r="T21" s="134"/>
      <c r="U21" s="134"/>
    </row>
    <row r="22" spans="1:21" ht="15.75" thickBot="1">
      <c r="A22" s="84"/>
      <c r="B22" s="87"/>
      <c r="C22" s="54"/>
      <c r="D22" s="55"/>
      <c r="E22" s="56"/>
      <c r="F22" s="54"/>
      <c r="G22" s="56"/>
      <c r="H22" s="57"/>
      <c r="I22" s="58"/>
      <c r="J22" s="85"/>
      <c r="K22" s="56"/>
      <c r="L22" s="86"/>
      <c r="M22" s="58"/>
      <c r="N22" s="85"/>
      <c r="O22" s="56"/>
      <c r="P22" s="86"/>
      <c r="Q22" s="58"/>
      <c r="R22" s="134">
        <f>SUM(R9:R21)-R19-R21</f>
        <v>121073.92000000001</v>
      </c>
      <c r="S22" s="134">
        <f>SUM(S9:S21)-S19-S21</f>
        <v>44108.76</v>
      </c>
      <c r="T22" s="134">
        <f>SUM(T9:T21)</f>
        <v>105936.35</v>
      </c>
      <c r="U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4">
      <selection activeCell="R14" sqref="R14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11" width="10.140625" style="32" hidden="1" customWidth="1"/>
    <col min="12" max="12" width="10.140625" style="33" hidden="1" customWidth="1"/>
    <col min="13" max="15" width="10.140625" style="32" hidden="1" customWidth="1"/>
    <col min="16" max="16" width="10.140625" style="33" hidden="1" customWidth="1"/>
    <col min="17" max="18" width="16.00390625" style="34" customWidth="1"/>
    <col min="19" max="19" width="16.00390625" style="33" customWidth="1"/>
    <col min="20" max="20" width="24.140625" style="34" customWidth="1"/>
    <col min="21" max="22" width="9.140625" style="13" customWidth="1"/>
  </cols>
  <sheetData>
    <row r="1" ht="15">
      <c r="A1" s="32" t="s">
        <v>115</v>
      </c>
    </row>
    <row r="3" ht="15">
      <c r="A3" s="32" t="s">
        <v>136</v>
      </c>
    </row>
    <row r="4" ht="15">
      <c r="A4" s="32" t="s">
        <v>116</v>
      </c>
    </row>
    <row r="5" spans="2:4" ht="15">
      <c r="B5" s="32">
        <v>2428.6</v>
      </c>
      <c r="C5" s="33">
        <f>C8/B8</f>
        <v>1295.41357234315</v>
      </c>
      <c r="D5" s="33">
        <f>F8/B8</f>
        <v>2395.7458386683743</v>
      </c>
    </row>
    <row r="6" ht="15.75" thickBot="1"/>
    <row r="7" spans="1:22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38" t="s">
        <v>92</v>
      </c>
      <c r="J7" s="40"/>
      <c r="K7" s="41" t="s">
        <v>93</v>
      </c>
      <c r="L7" s="42" t="s">
        <v>113</v>
      </c>
      <c r="M7" s="38" t="s">
        <v>94</v>
      </c>
      <c r="N7" s="40"/>
      <c r="O7" s="41" t="s">
        <v>95</v>
      </c>
      <c r="P7" s="42" t="s">
        <v>114</v>
      </c>
      <c r="Q7" s="37" t="s">
        <v>159</v>
      </c>
      <c r="R7" s="154" t="s">
        <v>137</v>
      </c>
      <c r="S7" s="154" t="s">
        <v>138</v>
      </c>
      <c r="T7" s="154"/>
      <c r="U7" s="21"/>
      <c r="V7" s="21"/>
    </row>
    <row r="8" spans="1:20" ht="15">
      <c r="A8" s="93" t="s">
        <v>139</v>
      </c>
      <c r="B8" s="116">
        <v>15.62</v>
      </c>
      <c r="C8" s="59">
        <v>20234.36</v>
      </c>
      <c r="D8" s="60">
        <v>0</v>
      </c>
      <c r="E8" s="61"/>
      <c r="F8" s="59">
        <v>37421.55</v>
      </c>
      <c r="G8" s="120">
        <v>1</v>
      </c>
      <c r="H8" s="62">
        <v>15509.69</v>
      </c>
      <c r="I8" s="59">
        <v>37934.72</v>
      </c>
      <c r="J8" s="120">
        <v>1</v>
      </c>
      <c r="K8" s="62">
        <v>16385.26</v>
      </c>
      <c r="L8" s="63"/>
      <c r="M8" s="59">
        <v>37934.72</v>
      </c>
      <c r="N8" s="120">
        <v>1</v>
      </c>
      <c r="O8" s="62">
        <v>46645.41</v>
      </c>
      <c r="P8" s="63"/>
      <c r="Q8" s="102">
        <f aca="true" t="shared" si="0" ref="Q8:Q21">C8+F8+I8+M8</f>
        <v>133525.35</v>
      </c>
      <c r="R8" s="102">
        <f aca="true" t="shared" si="1" ref="R8:R17">D8+H8+K8+O8</f>
        <v>78540.36</v>
      </c>
      <c r="S8" s="102">
        <f>SUM(S9:S13)</f>
        <v>115695.5</v>
      </c>
      <c r="T8" s="102"/>
    </row>
    <row r="9" spans="1:22" s="11" customFormat="1" ht="15">
      <c r="A9" s="49" t="s">
        <v>105</v>
      </c>
      <c r="B9" s="117">
        <v>4.77</v>
      </c>
      <c r="C9" s="44">
        <f>B9*C5</f>
        <v>6179.122740076825</v>
      </c>
      <c r="D9" s="45"/>
      <c r="E9" s="46"/>
      <c r="F9" s="44">
        <f>D5*B9</f>
        <v>11427.707650448145</v>
      </c>
      <c r="G9" s="121">
        <f>F9/F8</f>
        <v>0.3053777208706786</v>
      </c>
      <c r="H9" s="47">
        <f>G9*H8</f>
        <v>4736.313783610755</v>
      </c>
      <c r="I9" s="44">
        <v>11584.42</v>
      </c>
      <c r="J9" s="121">
        <f>I9/I8</f>
        <v>0.3053777647495487</v>
      </c>
      <c r="K9" s="47">
        <f>J9*K8</f>
        <v>5003.694073640189</v>
      </c>
      <c r="L9" s="48"/>
      <c r="M9" s="44">
        <v>11584.42</v>
      </c>
      <c r="N9" s="121">
        <f>M9/M8</f>
        <v>0.3053777647495487</v>
      </c>
      <c r="O9" s="47">
        <f>N9*O8</f>
        <v>14244.471041626248</v>
      </c>
      <c r="P9" s="48"/>
      <c r="Q9" s="103">
        <f t="shared" si="0"/>
        <v>40775.67039052497</v>
      </c>
      <c r="R9" s="103">
        <f t="shared" si="1"/>
        <v>23984.47889887719</v>
      </c>
      <c r="S9" s="103">
        <v>57441.53</v>
      </c>
      <c r="T9" s="266" t="s">
        <v>156</v>
      </c>
      <c r="U9" s="26"/>
      <c r="V9" s="26"/>
    </row>
    <row r="10" spans="1:22" s="11" customFormat="1" ht="23.25">
      <c r="A10" s="51" t="s">
        <v>146</v>
      </c>
      <c r="B10" s="118">
        <v>3.2</v>
      </c>
      <c r="C10" s="44">
        <f>B10*C5</f>
        <v>4145.32343149808</v>
      </c>
      <c r="D10" s="45"/>
      <c r="E10" s="46"/>
      <c r="F10" s="44">
        <f>B10*D5</f>
        <v>7666.386683738798</v>
      </c>
      <c r="G10" s="121">
        <f>F10/F8</f>
        <v>0.20486555697823305</v>
      </c>
      <c r="H10" s="47">
        <f>G10*H8</f>
        <v>3177.4012804097315</v>
      </c>
      <c r="I10" s="44">
        <v>7771.52</v>
      </c>
      <c r="J10" s="121">
        <f>I10/I8</f>
        <v>0.20486562178394885</v>
      </c>
      <c r="K10" s="47">
        <f>J10*K8</f>
        <v>3356.776477991665</v>
      </c>
      <c r="L10" s="48"/>
      <c r="M10" s="44">
        <v>7771.52</v>
      </c>
      <c r="N10" s="121">
        <f>M10/M8</f>
        <v>0.20486562178394885</v>
      </c>
      <c r="O10" s="47">
        <f>N10*O8</f>
        <v>9556.040923017226</v>
      </c>
      <c r="P10" s="48"/>
      <c r="Q10" s="103">
        <f t="shared" si="0"/>
        <v>27354.75011523688</v>
      </c>
      <c r="R10" s="103">
        <f t="shared" si="1"/>
        <v>16090.218681418623</v>
      </c>
      <c r="S10" s="103">
        <f>36381.63*60%</f>
        <v>21828.978</v>
      </c>
      <c r="T10" s="266" t="s">
        <v>156</v>
      </c>
      <c r="U10" s="26"/>
      <c r="V10" s="26"/>
    </row>
    <row r="11" spans="1:22" s="11" customFormat="1" ht="15">
      <c r="A11" s="51" t="s">
        <v>107</v>
      </c>
      <c r="B11" s="118">
        <v>1.83</v>
      </c>
      <c r="C11" s="44">
        <f>B11*C5</f>
        <v>2370.606837387965</v>
      </c>
      <c r="D11" s="45"/>
      <c r="E11" s="46"/>
      <c r="F11" s="44">
        <f>B11*D5</f>
        <v>4384.214884763125</v>
      </c>
      <c r="G11" s="121">
        <f>F11/F8</f>
        <v>0.11715749039692704</v>
      </c>
      <c r="H11" s="47">
        <f>G11*H8</f>
        <v>1817.0763572343153</v>
      </c>
      <c r="I11" s="44">
        <v>4444.34</v>
      </c>
      <c r="J11" s="121">
        <f>I11/I8</f>
        <v>0.1171575801798458</v>
      </c>
      <c r="K11" s="47">
        <f>J11*K8</f>
        <v>1919.65741221762</v>
      </c>
      <c r="L11" s="48"/>
      <c r="M11" s="44">
        <v>4444.34</v>
      </c>
      <c r="N11" s="121">
        <f>M11/M8</f>
        <v>0.1171575801798458</v>
      </c>
      <c r="O11" s="47">
        <f>N11*O8</f>
        <v>5464.863362096781</v>
      </c>
      <c r="P11" s="48"/>
      <c r="Q11" s="103">
        <f t="shared" si="0"/>
        <v>15643.50172215109</v>
      </c>
      <c r="R11" s="103">
        <f t="shared" si="1"/>
        <v>9201.597131548717</v>
      </c>
      <c r="S11" s="103">
        <f>36381.63-S10</f>
        <v>14552.651999999998</v>
      </c>
      <c r="T11" s="266" t="s">
        <v>156</v>
      </c>
      <c r="U11" s="26"/>
      <c r="V11" s="26"/>
    </row>
    <row r="12" spans="1:22" s="11" customFormat="1" ht="15">
      <c r="A12" s="51" t="s">
        <v>108</v>
      </c>
      <c r="B12" s="118" t="s">
        <v>145</v>
      </c>
      <c r="C12" s="44">
        <f>B12*C5</f>
        <v>3096.038437900129</v>
      </c>
      <c r="D12" s="45">
        <v>0</v>
      </c>
      <c r="E12" s="46"/>
      <c r="F12" s="44">
        <f>B12*D5</f>
        <v>5725.832554417415</v>
      </c>
      <c r="G12" s="121">
        <f>F12/F8</f>
        <v>0.15300896286811783</v>
      </c>
      <c r="H12" s="47">
        <f>G12*H8</f>
        <v>2373.1215813060185</v>
      </c>
      <c r="I12" s="44">
        <v>5804.35</v>
      </c>
      <c r="J12" s="121">
        <f>I12/I8</f>
        <v>0.1530089058255867</v>
      </c>
      <c r="K12" s="47">
        <f>J12*K8</f>
        <v>2507.0907042677527</v>
      </c>
      <c r="L12" s="48"/>
      <c r="M12" s="44">
        <v>5804.35</v>
      </c>
      <c r="N12" s="121">
        <f>M12/M8</f>
        <v>0.1530089058255867</v>
      </c>
      <c r="O12" s="47">
        <f>N12*O8</f>
        <v>7137.163145885881</v>
      </c>
      <c r="P12" s="48"/>
      <c r="Q12" s="103">
        <f t="shared" si="0"/>
        <v>20430.570992317545</v>
      </c>
      <c r="R12" s="103">
        <f t="shared" si="1"/>
        <v>12017.375431459652</v>
      </c>
      <c r="S12" s="103">
        <v>21872.34</v>
      </c>
      <c r="T12" s="266" t="s">
        <v>154</v>
      </c>
      <c r="U12" s="26"/>
      <c r="V12" s="26"/>
    </row>
    <row r="13" spans="1:22" s="11" customFormat="1" ht="15.75" thickBot="1">
      <c r="A13" s="66" t="s">
        <v>110</v>
      </c>
      <c r="B13" s="119">
        <f>1.82+1.61</f>
        <v>3.43</v>
      </c>
      <c r="C13" s="67">
        <f>B13*C5</f>
        <v>4443.268553137004</v>
      </c>
      <c r="D13" s="68"/>
      <c r="E13" s="69"/>
      <c r="F13" s="67">
        <f>B13*D5</f>
        <v>8217.408226632524</v>
      </c>
      <c r="G13" s="122">
        <f>F13/F8</f>
        <v>0.21959026888604355</v>
      </c>
      <c r="H13" s="70">
        <f>G13*H8</f>
        <v>3405.776997439181</v>
      </c>
      <c r="I13" s="67">
        <v>8330.09</v>
      </c>
      <c r="J13" s="122">
        <f>I13/I8</f>
        <v>0.21959012746106996</v>
      </c>
      <c r="K13" s="70">
        <f>J13*K8</f>
        <v>3598.041331882771</v>
      </c>
      <c r="L13" s="71"/>
      <c r="M13" s="67">
        <v>8330.09</v>
      </c>
      <c r="N13" s="122">
        <f>M13/M8</f>
        <v>0.21959012746106996</v>
      </c>
      <c r="O13" s="70">
        <f>N13*O8</f>
        <v>10242.871527373867</v>
      </c>
      <c r="P13" s="71"/>
      <c r="Q13" s="104">
        <f t="shared" si="0"/>
        <v>29320.85677976953</v>
      </c>
      <c r="R13" s="104">
        <f t="shared" si="1"/>
        <v>17246.68985669582</v>
      </c>
      <c r="S13" s="104">
        <v>0</v>
      </c>
      <c r="T13" s="106"/>
      <c r="U13" s="26"/>
      <c r="V13" s="26"/>
    </row>
    <row r="14" spans="1:20" ht="15.75" thickBot="1">
      <c r="A14" s="188" t="s">
        <v>96</v>
      </c>
      <c r="B14" s="182"/>
      <c r="C14" s="189">
        <v>295.97</v>
      </c>
      <c r="D14" s="190">
        <v>0</v>
      </c>
      <c r="E14" s="140"/>
      <c r="F14" s="189">
        <v>255.73</v>
      </c>
      <c r="G14" s="140"/>
      <c r="H14" s="191">
        <v>93.51</v>
      </c>
      <c r="I14" s="189">
        <v>295.77</v>
      </c>
      <c r="J14" s="140"/>
      <c r="K14" s="191">
        <v>124.95</v>
      </c>
      <c r="L14" s="192"/>
      <c r="M14" s="189">
        <v>295.77</v>
      </c>
      <c r="N14" s="140"/>
      <c r="O14" s="191">
        <v>396.76</v>
      </c>
      <c r="P14" s="192"/>
      <c r="Q14" s="193">
        <f t="shared" si="0"/>
        <v>1143.24</v>
      </c>
      <c r="R14" s="193">
        <f t="shared" si="1"/>
        <v>615.22</v>
      </c>
      <c r="S14" s="193"/>
      <c r="T14" s="193"/>
    </row>
    <row r="15" spans="1:20" ht="15">
      <c r="A15" s="80" t="s">
        <v>97</v>
      </c>
      <c r="B15" s="114"/>
      <c r="C15" s="64">
        <v>0</v>
      </c>
      <c r="D15" s="194">
        <v>0</v>
      </c>
      <c r="E15" s="95"/>
      <c r="F15" s="64">
        <v>0</v>
      </c>
      <c r="G15" s="95"/>
      <c r="H15" s="65">
        <v>0</v>
      </c>
      <c r="I15" s="64">
        <v>6377.63</v>
      </c>
      <c r="J15" s="95"/>
      <c r="K15" s="65">
        <v>1252.39</v>
      </c>
      <c r="L15" s="195"/>
      <c r="M15" s="64">
        <v>17938.48</v>
      </c>
      <c r="N15" s="95"/>
      <c r="O15" s="65">
        <v>4594.01</v>
      </c>
      <c r="P15" s="195"/>
      <c r="Q15" s="102">
        <f t="shared" si="0"/>
        <v>24316.11</v>
      </c>
      <c r="R15" s="102">
        <f t="shared" si="1"/>
        <v>5846.400000000001</v>
      </c>
      <c r="S15" s="102">
        <v>32198.28</v>
      </c>
      <c r="T15" s="267" t="s">
        <v>155</v>
      </c>
    </row>
    <row r="16" spans="1:20" ht="15.75" thickBot="1">
      <c r="A16" s="81" t="s">
        <v>98</v>
      </c>
      <c r="B16" s="115"/>
      <c r="C16" s="82">
        <v>0</v>
      </c>
      <c r="D16" s="196">
        <v>0</v>
      </c>
      <c r="E16" s="97"/>
      <c r="F16" s="82">
        <v>0</v>
      </c>
      <c r="G16" s="97"/>
      <c r="H16" s="83">
        <v>0</v>
      </c>
      <c r="I16" s="82">
        <v>15596.34</v>
      </c>
      <c r="J16" s="97"/>
      <c r="K16" s="83">
        <v>3062.62</v>
      </c>
      <c r="L16" s="197"/>
      <c r="M16" s="82">
        <v>43868.02</v>
      </c>
      <c r="N16" s="97"/>
      <c r="O16" s="83">
        <v>11234.69</v>
      </c>
      <c r="P16" s="197"/>
      <c r="Q16" s="106">
        <f t="shared" si="0"/>
        <v>59464.36</v>
      </c>
      <c r="R16" s="106">
        <f t="shared" si="1"/>
        <v>14297.310000000001</v>
      </c>
      <c r="S16" s="106">
        <v>78512.85</v>
      </c>
      <c r="T16" s="106" t="s">
        <v>155</v>
      </c>
    </row>
    <row r="17" spans="1:20" ht="15.75" thickBot="1">
      <c r="A17" s="72" t="s">
        <v>6</v>
      </c>
      <c r="B17" s="113"/>
      <c r="C17" s="78">
        <v>0</v>
      </c>
      <c r="D17" s="198">
        <v>0</v>
      </c>
      <c r="E17" s="96"/>
      <c r="F17" s="78">
        <v>0</v>
      </c>
      <c r="G17" s="96"/>
      <c r="H17" s="79">
        <v>0</v>
      </c>
      <c r="I17" s="78">
        <v>84965.1</v>
      </c>
      <c r="J17" s="96"/>
      <c r="K17" s="79">
        <v>17274.49</v>
      </c>
      <c r="L17" s="199"/>
      <c r="M17" s="78">
        <v>201087.86</v>
      </c>
      <c r="N17" s="96"/>
      <c r="O17" s="79">
        <v>59111.42</v>
      </c>
      <c r="P17" s="199"/>
      <c r="Q17" s="105">
        <f t="shared" si="0"/>
        <v>286052.95999999996</v>
      </c>
      <c r="R17" s="105">
        <f t="shared" si="1"/>
        <v>76385.91</v>
      </c>
      <c r="S17" s="105">
        <v>197618.01</v>
      </c>
      <c r="T17" s="102" t="s">
        <v>155</v>
      </c>
    </row>
    <row r="18" spans="1:20" ht="15.75" thickBot="1">
      <c r="A18" s="80" t="s">
        <v>99</v>
      </c>
      <c r="B18" s="113"/>
      <c r="C18" s="64">
        <v>1894.21</v>
      </c>
      <c r="D18" s="194">
        <v>0</v>
      </c>
      <c r="E18" s="95"/>
      <c r="F18" s="64">
        <v>1893.12</v>
      </c>
      <c r="G18" s="95"/>
      <c r="H18" s="65">
        <v>978.14</v>
      </c>
      <c r="I18" s="64">
        <v>1893.12</v>
      </c>
      <c r="J18" s="95"/>
      <c r="K18" s="65">
        <v>915.4</v>
      </c>
      <c r="L18" s="195"/>
      <c r="M18" s="64">
        <v>4433.16</v>
      </c>
      <c r="N18" s="95"/>
      <c r="O18" s="65">
        <v>2821.94</v>
      </c>
      <c r="P18" s="195"/>
      <c r="Q18" s="102">
        <f>C18+F18+I18+M18+Q19</f>
        <v>14417.1</v>
      </c>
      <c r="R18" s="102">
        <f>D18+H18+K18+O18+R19</f>
        <v>6663.049999999999</v>
      </c>
      <c r="S18" s="102">
        <f>Q18</f>
        <v>14417.1</v>
      </c>
      <c r="T18" s="105" t="s">
        <v>157</v>
      </c>
    </row>
    <row r="19" spans="1:20" ht="15.75" hidden="1" thickBot="1">
      <c r="A19" s="81" t="s">
        <v>101</v>
      </c>
      <c r="B19" s="113"/>
      <c r="C19" s="82">
        <v>1293.08</v>
      </c>
      <c r="D19" s="196">
        <v>0</v>
      </c>
      <c r="E19" s="97"/>
      <c r="F19" s="82">
        <v>448.71</v>
      </c>
      <c r="G19" s="97"/>
      <c r="H19" s="83">
        <v>444.88</v>
      </c>
      <c r="I19" s="82">
        <v>801.98</v>
      </c>
      <c r="J19" s="97"/>
      <c r="K19" s="83">
        <v>477.83</v>
      </c>
      <c r="L19" s="197"/>
      <c r="M19" s="82">
        <v>1759.72</v>
      </c>
      <c r="N19" s="97"/>
      <c r="O19" s="83">
        <v>1024.86</v>
      </c>
      <c r="P19" s="197"/>
      <c r="Q19" s="106">
        <f t="shared" si="0"/>
        <v>4303.49</v>
      </c>
      <c r="R19" s="106">
        <f>D19+H19+K19+O19</f>
        <v>1947.57</v>
      </c>
      <c r="S19" s="106"/>
      <c r="T19" s="106"/>
    </row>
    <row r="20" spans="1:20" ht="15.75" thickBot="1">
      <c r="A20" s="80" t="s">
        <v>100</v>
      </c>
      <c r="B20" s="185"/>
      <c r="C20" s="64">
        <v>3640.41</v>
      </c>
      <c r="D20" s="194">
        <v>0</v>
      </c>
      <c r="E20" s="95"/>
      <c r="F20" s="64">
        <v>3512.86</v>
      </c>
      <c r="G20" s="95"/>
      <c r="H20" s="65">
        <v>1879.84</v>
      </c>
      <c r="I20" s="64">
        <v>3638.32</v>
      </c>
      <c r="J20" s="95"/>
      <c r="K20" s="65">
        <v>1728.46</v>
      </c>
      <c r="L20" s="195"/>
      <c r="M20" s="64">
        <v>10796.96</v>
      </c>
      <c r="N20" s="95"/>
      <c r="O20" s="65">
        <v>5471.74</v>
      </c>
      <c r="P20" s="195"/>
      <c r="Q20" s="102">
        <f>C20+F20+I20+M20+Q21</f>
        <v>31267.48</v>
      </c>
      <c r="R20" s="102">
        <f>D20+H20+K20+O20+R21</f>
        <v>12759.390000000001</v>
      </c>
      <c r="S20" s="102">
        <f>Q20</f>
        <v>31267.48</v>
      </c>
      <c r="T20" s="105" t="s">
        <v>157</v>
      </c>
    </row>
    <row r="21" spans="1:20" ht="15.75" hidden="1" thickBot="1">
      <c r="A21" s="81" t="s">
        <v>102</v>
      </c>
      <c r="B21" s="186"/>
      <c r="C21" s="82">
        <v>2441.09</v>
      </c>
      <c r="D21" s="196">
        <v>0</v>
      </c>
      <c r="E21" s="97"/>
      <c r="F21" s="82">
        <v>839.05</v>
      </c>
      <c r="G21" s="97"/>
      <c r="H21" s="83">
        <v>833.28</v>
      </c>
      <c r="I21" s="82">
        <v>1513.68</v>
      </c>
      <c r="J21" s="97"/>
      <c r="K21" s="83">
        <v>882.75</v>
      </c>
      <c r="L21" s="197"/>
      <c r="M21" s="82">
        <v>4885.11</v>
      </c>
      <c r="N21" s="97"/>
      <c r="O21" s="83">
        <v>1963.32</v>
      </c>
      <c r="P21" s="197"/>
      <c r="Q21" s="106">
        <f t="shared" si="0"/>
        <v>9678.93</v>
      </c>
      <c r="R21" s="106">
        <f>D21+H21+K21+O21</f>
        <v>3679.35</v>
      </c>
      <c r="S21" s="106"/>
      <c r="T21" s="106"/>
    </row>
    <row r="22" spans="1:20" ht="15.75" thickBot="1">
      <c r="A22" s="200"/>
      <c r="B22" s="187"/>
      <c r="C22" s="73"/>
      <c r="D22" s="74"/>
      <c r="E22" s="75"/>
      <c r="F22" s="73"/>
      <c r="G22" s="75"/>
      <c r="H22" s="76"/>
      <c r="I22" s="201"/>
      <c r="J22" s="75"/>
      <c r="K22" s="202"/>
      <c r="L22" s="77"/>
      <c r="M22" s="201"/>
      <c r="N22" s="75"/>
      <c r="O22" s="202"/>
      <c r="P22" s="77"/>
      <c r="Q22" s="105">
        <f>SUM(Q9:Q21)-Q19-Q21</f>
        <v>550186.6</v>
      </c>
      <c r="R22" s="105">
        <f>SUM(R9:R21)-R19-R21</f>
        <v>195107.64</v>
      </c>
      <c r="S22" s="105">
        <f>SUM(S9:S21)-S19-S21</f>
        <v>469709.22</v>
      </c>
      <c r="T22" s="10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S33" sqref="S33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4.57421875" style="34" customWidth="1"/>
    <col min="22" max="23" width="9.140625" style="13" customWidth="1"/>
  </cols>
  <sheetData>
    <row r="1" ht="15">
      <c r="A1" s="32" t="s">
        <v>115</v>
      </c>
    </row>
    <row r="3" ht="15">
      <c r="A3" s="32" t="s">
        <v>124</v>
      </c>
    </row>
    <row r="4" ht="15">
      <c r="A4" s="32" t="s">
        <v>116</v>
      </c>
    </row>
    <row r="5" spans="2:3" ht="15">
      <c r="B5" s="32">
        <v>537.4</v>
      </c>
      <c r="C5" s="33">
        <f>C8/B8</f>
        <v>286.6145966709347</v>
      </c>
    </row>
    <row r="6" ht="15.75" thickBot="1"/>
    <row r="7" spans="1:23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154" t="s">
        <v>137</v>
      </c>
      <c r="T7" s="154" t="s">
        <v>138</v>
      </c>
      <c r="U7" s="154"/>
      <c r="V7" s="21"/>
      <c r="W7" s="21"/>
    </row>
    <row r="8" spans="1:21" ht="15">
      <c r="A8" s="93" t="s">
        <v>139</v>
      </c>
      <c r="B8" s="168">
        <v>15.62</v>
      </c>
      <c r="C8" s="203">
        <v>4476.92</v>
      </c>
      <c r="D8" s="204">
        <v>0</v>
      </c>
      <c r="E8" s="205"/>
      <c r="F8" s="203">
        <v>8394.17</v>
      </c>
      <c r="G8" s="169">
        <v>1</v>
      </c>
      <c r="H8" s="206">
        <v>3078.74</v>
      </c>
      <c r="I8" s="207"/>
      <c r="J8" s="203">
        <v>8394.17</v>
      </c>
      <c r="K8" s="169">
        <v>1</v>
      </c>
      <c r="L8" s="206">
        <v>3491.26</v>
      </c>
      <c r="M8" s="207"/>
      <c r="N8" s="203">
        <v>8394.17</v>
      </c>
      <c r="O8" s="169">
        <v>1</v>
      </c>
      <c r="P8" s="206">
        <v>6430.26</v>
      </c>
      <c r="Q8" s="207"/>
      <c r="R8" s="102">
        <f aca="true" t="shared" si="0" ref="R8:R19">C8+F8+J8+N8</f>
        <v>29659.43</v>
      </c>
      <c r="S8" s="102">
        <f aca="true" t="shared" si="1" ref="S8:S17">D8+H8+L8+P8</f>
        <v>13000.26</v>
      </c>
      <c r="T8" s="102">
        <f>SUM(T9:T13)</f>
        <v>28918.379999999997</v>
      </c>
      <c r="U8" s="102"/>
    </row>
    <row r="9" spans="1:23" s="11" customFormat="1" ht="15">
      <c r="A9" s="208" t="s">
        <v>105</v>
      </c>
      <c r="B9" s="170">
        <v>4.77</v>
      </c>
      <c r="C9" s="209">
        <f>B9*C5</f>
        <v>1367.1516261203585</v>
      </c>
      <c r="D9" s="210"/>
      <c r="E9" s="211"/>
      <c r="F9" s="209">
        <v>2563.39</v>
      </c>
      <c r="G9" s="171">
        <f>F9/F8</f>
        <v>0.30537742266358675</v>
      </c>
      <c r="H9" s="172">
        <f>G9*H8</f>
        <v>940.177686251291</v>
      </c>
      <c r="I9" s="212"/>
      <c r="J9" s="209">
        <v>2563.39</v>
      </c>
      <c r="K9" s="171">
        <f>J9/J8</f>
        <v>0.30537742266358675</v>
      </c>
      <c r="L9" s="172">
        <f>K9*L8</f>
        <v>1066.151980648474</v>
      </c>
      <c r="M9" s="212"/>
      <c r="N9" s="209">
        <v>2563.39</v>
      </c>
      <c r="O9" s="171">
        <f>N9/N8</f>
        <v>0.30537742266358675</v>
      </c>
      <c r="P9" s="172">
        <f>O9*P8</f>
        <v>1963.6562258567553</v>
      </c>
      <c r="Q9" s="212"/>
      <c r="R9" s="103">
        <f t="shared" si="0"/>
        <v>9057.321626120358</v>
      </c>
      <c r="S9" s="103">
        <f t="shared" si="1"/>
        <v>3969.98589275652</v>
      </c>
      <c r="T9" s="103">
        <v>12771.86</v>
      </c>
      <c r="U9" s="266" t="s">
        <v>156</v>
      </c>
      <c r="V9" s="26"/>
      <c r="W9" s="26"/>
    </row>
    <row r="10" spans="1:23" s="11" customFormat="1" ht="22.5">
      <c r="A10" s="213" t="s">
        <v>146</v>
      </c>
      <c r="B10" s="173">
        <v>3.2</v>
      </c>
      <c r="C10" s="209">
        <f>B10*C5</f>
        <v>917.1667093469911</v>
      </c>
      <c r="D10" s="210"/>
      <c r="E10" s="211"/>
      <c r="F10" s="209">
        <v>1719.68</v>
      </c>
      <c r="G10" s="171">
        <f>F10/F8</f>
        <v>0.204865996280752</v>
      </c>
      <c r="H10" s="172">
        <f>G10*H8</f>
        <v>630.7291373894024</v>
      </c>
      <c r="I10" s="212"/>
      <c r="J10" s="209">
        <v>1719.68</v>
      </c>
      <c r="K10" s="171">
        <f>J10/J8</f>
        <v>0.204865996280752</v>
      </c>
      <c r="L10" s="172">
        <f>K10*L8</f>
        <v>715.2404581751383</v>
      </c>
      <c r="M10" s="212"/>
      <c r="N10" s="209">
        <v>1719.68</v>
      </c>
      <c r="O10" s="171">
        <f>N10/N8</f>
        <v>0.204865996280752</v>
      </c>
      <c r="P10" s="172">
        <f>O10*P8</f>
        <v>1317.3416212442685</v>
      </c>
      <c r="Q10" s="212"/>
      <c r="R10" s="103">
        <f t="shared" si="0"/>
        <v>6076.206709346991</v>
      </c>
      <c r="S10" s="103">
        <f t="shared" si="1"/>
        <v>2663.311216808809</v>
      </c>
      <c r="T10" s="103">
        <f>11603.6*60%</f>
        <v>6962.16</v>
      </c>
      <c r="U10" s="266" t="s">
        <v>156</v>
      </c>
      <c r="V10" s="26"/>
      <c r="W10" s="26"/>
    </row>
    <row r="11" spans="1:23" s="11" customFormat="1" ht="15">
      <c r="A11" s="213" t="s">
        <v>107</v>
      </c>
      <c r="B11" s="173">
        <v>1.83</v>
      </c>
      <c r="C11" s="209">
        <f>B11*C5</f>
        <v>524.5047119078105</v>
      </c>
      <c r="D11" s="210"/>
      <c r="E11" s="211"/>
      <c r="F11" s="209">
        <v>983.44</v>
      </c>
      <c r="G11" s="171">
        <f>F11/F8</f>
        <v>0.11715750336245276</v>
      </c>
      <c r="H11" s="172">
        <f>G11*H8</f>
        <v>360.6974919021178</v>
      </c>
      <c r="I11" s="212"/>
      <c r="J11" s="209">
        <v>983.44</v>
      </c>
      <c r="K11" s="171">
        <f>J11/J8</f>
        <v>0.11715750336245276</v>
      </c>
      <c r="L11" s="172">
        <f>K11*L8</f>
        <v>409.02730518919685</v>
      </c>
      <c r="M11" s="212"/>
      <c r="N11" s="209">
        <v>983.44</v>
      </c>
      <c r="O11" s="171">
        <f>N11/N8</f>
        <v>0.11715750336245276</v>
      </c>
      <c r="P11" s="172">
        <f>O11*P8</f>
        <v>753.3532075714455</v>
      </c>
      <c r="Q11" s="212"/>
      <c r="R11" s="103">
        <f t="shared" si="0"/>
        <v>3474.8247119078105</v>
      </c>
      <c r="S11" s="103">
        <f t="shared" si="1"/>
        <v>1523.0780046627601</v>
      </c>
      <c r="T11" s="103">
        <f>11306.6-T10</f>
        <v>4344.4400000000005</v>
      </c>
      <c r="U11" s="266" t="s">
        <v>156</v>
      </c>
      <c r="V11" s="26"/>
      <c r="W11" s="26"/>
    </row>
    <row r="12" spans="1:23" s="11" customFormat="1" ht="15">
      <c r="A12" s="213" t="s">
        <v>108</v>
      </c>
      <c r="B12" s="173" t="s">
        <v>145</v>
      </c>
      <c r="C12" s="209">
        <f>B12*C5</f>
        <v>685.008886043534</v>
      </c>
      <c r="D12" s="210">
        <v>0</v>
      </c>
      <c r="E12" s="211"/>
      <c r="F12" s="209">
        <v>1284.39</v>
      </c>
      <c r="G12" s="171">
        <f>F12/F8</f>
        <v>0.15300976749339126</v>
      </c>
      <c r="H12" s="172">
        <f>G12*H8</f>
        <v>471.0772915726034</v>
      </c>
      <c r="I12" s="212"/>
      <c r="J12" s="209">
        <v>1284.39</v>
      </c>
      <c r="K12" s="171">
        <f>J12/J8</f>
        <v>0.15300976749339126</v>
      </c>
      <c r="L12" s="172">
        <f>K12*L8</f>
        <v>534.1968808589772</v>
      </c>
      <c r="M12" s="212"/>
      <c r="N12" s="209">
        <v>1284.39</v>
      </c>
      <c r="O12" s="171">
        <f>N12/N8</f>
        <v>0.15300976749339126</v>
      </c>
      <c r="P12" s="172">
        <f>O12*P8</f>
        <v>983.8925875220541</v>
      </c>
      <c r="Q12" s="212"/>
      <c r="R12" s="103">
        <f t="shared" si="0"/>
        <v>4538.1788860435345</v>
      </c>
      <c r="S12" s="103">
        <f t="shared" si="1"/>
        <v>1989.1667599536347</v>
      </c>
      <c r="T12" s="103">
        <v>4839.92</v>
      </c>
      <c r="U12" s="266" t="s">
        <v>154</v>
      </c>
      <c r="V12" s="26"/>
      <c r="W12" s="26"/>
    </row>
    <row r="13" spans="1:23" s="11" customFormat="1" ht="15.75" thickBot="1">
      <c r="A13" s="214" t="s">
        <v>110</v>
      </c>
      <c r="B13" s="174">
        <f>1.82+1.61</f>
        <v>3.43</v>
      </c>
      <c r="C13" s="215">
        <f>B13*C5</f>
        <v>983.0880665813061</v>
      </c>
      <c r="D13" s="216"/>
      <c r="E13" s="217"/>
      <c r="F13" s="215">
        <v>1843.27</v>
      </c>
      <c r="G13" s="175">
        <f>F13/F8</f>
        <v>0.21958931019981726</v>
      </c>
      <c r="H13" s="181">
        <f>G13*H8</f>
        <v>676.0583928845854</v>
      </c>
      <c r="I13" s="218"/>
      <c r="J13" s="215">
        <v>1843.27</v>
      </c>
      <c r="K13" s="175">
        <f>J13/J8</f>
        <v>0.21958931019981726</v>
      </c>
      <c r="L13" s="181">
        <f>K13*L8</f>
        <v>766.6433751282141</v>
      </c>
      <c r="M13" s="218"/>
      <c r="N13" s="215">
        <v>1843.27</v>
      </c>
      <c r="O13" s="175">
        <f>N13/N8</f>
        <v>0.21958931019981726</v>
      </c>
      <c r="P13" s="181">
        <f>O13*P8</f>
        <v>1412.016357805477</v>
      </c>
      <c r="Q13" s="218"/>
      <c r="R13" s="104">
        <f t="shared" si="0"/>
        <v>6512.898066581307</v>
      </c>
      <c r="S13" s="104">
        <f t="shared" si="1"/>
        <v>2854.7181258182763</v>
      </c>
      <c r="T13" s="104">
        <v>0</v>
      </c>
      <c r="U13" s="106"/>
      <c r="V13" s="26"/>
      <c r="W13" s="26"/>
    </row>
    <row r="14" spans="1:21" ht="15.75" thickBot="1">
      <c r="A14" s="219" t="s">
        <v>96</v>
      </c>
      <c r="B14" s="176"/>
      <c r="C14" s="220">
        <v>66.24</v>
      </c>
      <c r="D14" s="221">
        <v>0</v>
      </c>
      <c r="E14" s="222"/>
      <c r="F14" s="220">
        <v>66.24</v>
      </c>
      <c r="G14" s="222"/>
      <c r="H14" s="223">
        <v>55.59</v>
      </c>
      <c r="I14" s="224"/>
      <c r="J14" s="220">
        <v>66.24</v>
      </c>
      <c r="K14" s="222"/>
      <c r="L14" s="223">
        <v>41.12</v>
      </c>
      <c r="M14" s="224"/>
      <c r="N14" s="220">
        <v>66.24</v>
      </c>
      <c r="O14" s="222"/>
      <c r="P14" s="223">
        <v>51.99</v>
      </c>
      <c r="Q14" s="224"/>
      <c r="R14" s="105">
        <f t="shared" si="0"/>
        <v>264.96</v>
      </c>
      <c r="S14" s="105">
        <f t="shared" si="1"/>
        <v>148.70000000000002</v>
      </c>
      <c r="T14" s="105">
        <v>0</v>
      </c>
      <c r="U14" s="105"/>
    </row>
    <row r="15" spans="1:21" ht="15">
      <c r="A15" s="225" t="s">
        <v>97</v>
      </c>
      <c r="B15" s="177"/>
      <c r="C15" s="203">
        <v>0</v>
      </c>
      <c r="D15" s="204">
        <v>0</v>
      </c>
      <c r="E15" s="205"/>
      <c r="F15" s="203">
        <v>0</v>
      </c>
      <c r="G15" s="205"/>
      <c r="H15" s="206">
        <v>0</v>
      </c>
      <c r="I15" s="207"/>
      <c r="J15" s="203">
        <v>2063.49</v>
      </c>
      <c r="K15" s="205"/>
      <c r="L15" s="206">
        <v>457.3</v>
      </c>
      <c r="M15" s="207"/>
      <c r="N15" s="203">
        <v>6042.87</v>
      </c>
      <c r="O15" s="205"/>
      <c r="P15" s="206">
        <v>954.96</v>
      </c>
      <c r="Q15" s="207"/>
      <c r="R15" s="102">
        <f t="shared" si="0"/>
        <v>8106.36</v>
      </c>
      <c r="S15" s="102">
        <f t="shared" si="1"/>
        <v>1412.26</v>
      </c>
      <c r="T15" s="102">
        <v>10734.07</v>
      </c>
      <c r="U15" s="267" t="s">
        <v>155</v>
      </c>
    </row>
    <row r="16" spans="1:21" ht="15.75" thickBot="1">
      <c r="A16" s="214" t="s">
        <v>98</v>
      </c>
      <c r="B16" s="178"/>
      <c r="C16" s="215">
        <v>0</v>
      </c>
      <c r="D16" s="216">
        <v>0</v>
      </c>
      <c r="E16" s="217"/>
      <c r="F16" s="215">
        <v>0</v>
      </c>
      <c r="G16" s="217"/>
      <c r="H16" s="181">
        <v>0</v>
      </c>
      <c r="I16" s="218"/>
      <c r="J16" s="215">
        <v>5046.17</v>
      </c>
      <c r="K16" s="217"/>
      <c r="L16" s="181">
        <v>1118.33</v>
      </c>
      <c r="M16" s="218"/>
      <c r="N16" s="215">
        <v>14777.52</v>
      </c>
      <c r="O16" s="217"/>
      <c r="P16" s="181">
        <v>2335.25</v>
      </c>
      <c r="Q16" s="218"/>
      <c r="R16" s="106">
        <f t="shared" si="0"/>
        <v>19823.690000000002</v>
      </c>
      <c r="S16" s="106">
        <f t="shared" si="1"/>
        <v>3453.58</v>
      </c>
      <c r="T16" s="106">
        <v>26173.9</v>
      </c>
      <c r="U16" s="106" t="s">
        <v>155</v>
      </c>
    </row>
    <row r="17" spans="1:21" ht="15.75" thickBot="1">
      <c r="A17" s="219" t="s">
        <v>6</v>
      </c>
      <c r="B17" s="176"/>
      <c r="C17" s="220">
        <v>0</v>
      </c>
      <c r="D17" s="221">
        <v>0</v>
      </c>
      <c r="E17" s="222"/>
      <c r="F17" s="220">
        <v>0</v>
      </c>
      <c r="G17" s="222"/>
      <c r="H17" s="223">
        <v>0</v>
      </c>
      <c r="I17" s="224"/>
      <c r="J17" s="220">
        <v>18801.07</v>
      </c>
      <c r="K17" s="222"/>
      <c r="L17" s="223">
        <v>3654.18</v>
      </c>
      <c r="M17" s="224"/>
      <c r="N17" s="220">
        <v>44495.84</v>
      </c>
      <c r="O17" s="222"/>
      <c r="P17" s="223">
        <v>7545.9</v>
      </c>
      <c r="Q17" s="224"/>
      <c r="R17" s="105">
        <f t="shared" si="0"/>
        <v>63296.909999999996</v>
      </c>
      <c r="S17" s="105">
        <f t="shared" si="1"/>
        <v>11200.08</v>
      </c>
      <c r="T17" s="105">
        <v>43728.3</v>
      </c>
      <c r="U17" s="102" t="s">
        <v>155</v>
      </c>
    </row>
    <row r="18" spans="1:21" ht="15.75" thickBot="1">
      <c r="A18" s="225" t="s">
        <v>99</v>
      </c>
      <c r="B18" s="176"/>
      <c r="C18" s="203">
        <v>750.72</v>
      </c>
      <c r="D18" s="204">
        <v>0</v>
      </c>
      <c r="E18" s="205"/>
      <c r="F18" s="203">
        <v>750.72</v>
      </c>
      <c r="G18" s="205"/>
      <c r="H18" s="206">
        <v>501.94</v>
      </c>
      <c r="I18" s="207"/>
      <c r="J18" s="203">
        <v>750.72</v>
      </c>
      <c r="K18" s="205"/>
      <c r="L18" s="206">
        <v>470.67</v>
      </c>
      <c r="M18" s="207"/>
      <c r="N18" s="203">
        <v>1936.92</v>
      </c>
      <c r="O18" s="205"/>
      <c r="P18" s="206">
        <v>804.72</v>
      </c>
      <c r="Q18" s="207"/>
      <c r="R18" s="102">
        <f>C18+F18+J18+N18+R19</f>
        <v>5132</v>
      </c>
      <c r="S18" s="102">
        <f>D18+H18+L18+P18+S19</f>
        <v>1932.4699999999998</v>
      </c>
      <c r="T18" s="102">
        <f>R18</f>
        <v>5132</v>
      </c>
      <c r="U18" s="105" t="s">
        <v>157</v>
      </c>
    </row>
    <row r="19" spans="1:21" ht="15.75" hidden="1" thickBot="1">
      <c r="A19" s="214" t="s">
        <v>101</v>
      </c>
      <c r="B19" s="176"/>
      <c r="C19" s="215">
        <v>150.75</v>
      </c>
      <c r="D19" s="216">
        <v>0</v>
      </c>
      <c r="E19" s="217"/>
      <c r="F19" s="215">
        <v>150.75</v>
      </c>
      <c r="G19" s="217"/>
      <c r="H19" s="181">
        <v>39.3</v>
      </c>
      <c r="I19" s="218"/>
      <c r="J19" s="215">
        <v>147.39</v>
      </c>
      <c r="K19" s="217"/>
      <c r="L19" s="181">
        <v>26.52</v>
      </c>
      <c r="M19" s="218"/>
      <c r="N19" s="215">
        <v>494.03</v>
      </c>
      <c r="O19" s="217"/>
      <c r="P19" s="181">
        <v>89.32</v>
      </c>
      <c r="Q19" s="218"/>
      <c r="R19" s="106">
        <f t="shared" si="0"/>
        <v>942.92</v>
      </c>
      <c r="S19" s="106">
        <f>D19+H19+L19+P19</f>
        <v>155.14</v>
      </c>
      <c r="T19" s="106"/>
      <c r="U19" s="106"/>
    </row>
    <row r="20" spans="1:21" ht="15.75" thickBot="1">
      <c r="A20" s="219" t="s">
        <v>100</v>
      </c>
      <c r="B20" s="291"/>
      <c r="C20" s="220">
        <v>1442.77</v>
      </c>
      <c r="D20" s="221">
        <v>0</v>
      </c>
      <c r="E20" s="222"/>
      <c r="F20" s="220">
        <v>1442.77</v>
      </c>
      <c r="G20" s="222"/>
      <c r="H20" s="223">
        <v>964.65</v>
      </c>
      <c r="I20" s="224"/>
      <c r="J20" s="220">
        <v>1442.77</v>
      </c>
      <c r="K20" s="222"/>
      <c r="L20" s="223">
        <v>904.53</v>
      </c>
      <c r="M20" s="224"/>
      <c r="N20" s="220">
        <v>4710.64</v>
      </c>
      <c r="O20" s="222"/>
      <c r="P20" s="223">
        <v>1546.54</v>
      </c>
      <c r="Q20" s="224"/>
      <c r="R20" s="105">
        <f>C20+F20+J20+N20+R21</f>
        <v>10750.76</v>
      </c>
      <c r="S20" s="105">
        <f>D20+H20+L20+P20+S21</f>
        <v>3532.56</v>
      </c>
      <c r="T20" s="105">
        <f>R20</f>
        <v>10750.76</v>
      </c>
      <c r="U20" s="105" t="s">
        <v>157</v>
      </c>
    </row>
    <row r="21" spans="1:21" ht="15.75" hidden="1" thickBot="1">
      <c r="A21" s="285" t="s">
        <v>102</v>
      </c>
      <c r="B21" s="179"/>
      <c r="C21" s="286">
        <v>223.59</v>
      </c>
      <c r="D21" s="287">
        <v>0</v>
      </c>
      <c r="E21" s="288"/>
      <c r="F21" s="286">
        <v>212.97</v>
      </c>
      <c r="G21" s="288"/>
      <c r="H21" s="289">
        <v>22.38</v>
      </c>
      <c r="I21" s="290"/>
      <c r="J21" s="286">
        <v>244.83</v>
      </c>
      <c r="K21" s="288"/>
      <c r="L21" s="289">
        <v>20.23</v>
      </c>
      <c r="M21" s="290"/>
      <c r="N21" s="286">
        <v>1030.42</v>
      </c>
      <c r="O21" s="288"/>
      <c r="P21" s="289">
        <v>74.23</v>
      </c>
      <c r="Q21" s="290"/>
      <c r="R21" s="134">
        <f>C21+F21+J21+N21</f>
        <v>1711.81</v>
      </c>
      <c r="S21" s="134">
        <f>D21+H21+L21+P21</f>
        <v>116.84</v>
      </c>
      <c r="T21" s="134"/>
      <c r="U21" s="134"/>
    </row>
    <row r="22" spans="1:21" ht="15.75" thickBot="1">
      <c r="A22" s="226"/>
      <c r="B22" s="180"/>
      <c r="C22" s="227"/>
      <c r="D22" s="228"/>
      <c r="E22" s="229"/>
      <c r="F22" s="227"/>
      <c r="G22" s="229"/>
      <c r="H22" s="230"/>
      <c r="I22" s="231"/>
      <c r="J22" s="232"/>
      <c r="K22" s="229"/>
      <c r="L22" s="233"/>
      <c r="M22" s="231"/>
      <c r="N22" s="232"/>
      <c r="O22" s="229"/>
      <c r="P22" s="233"/>
      <c r="Q22" s="231"/>
      <c r="R22" s="134">
        <f>SUM(R9:R21)-R19-R21</f>
        <v>137034.11</v>
      </c>
      <c r="S22" s="134">
        <f>SUM(S9:S21)-S19-S21</f>
        <v>34679.909999999996</v>
      </c>
      <c r="T22" s="134">
        <f>SUM(T9:T21)</f>
        <v>125437.41</v>
      </c>
      <c r="U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4" width="10.140625" style="33" hidden="1" customWidth="1"/>
    <col min="5" max="13" width="10.140625" style="32" hidden="1" customWidth="1"/>
    <col min="14" max="15" width="16.00390625" style="34" customWidth="1"/>
    <col min="16" max="16" width="16.00390625" style="33" customWidth="1"/>
    <col min="17" max="17" width="24.28125" style="34" customWidth="1"/>
    <col min="18" max="19" width="9.140625" style="13" customWidth="1"/>
  </cols>
  <sheetData>
    <row r="1" ht="15">
      <c r="A1" s="32" t="s">
        <v>115</v>
      </c>
    </row>
    <row r="3" ht="15">
      <c r="A3" s="32" t="s">
        <v>123</v>
      </c>
    </row>
    <row r="4" ht="15">
      <c r="A4" s="32" t="s">
        <v>116</v>
      </c>
    </row>
    <row r="5" ht="15">
      <c r="B5" s="32">
        <v>613.23</v>
      </c>
    </row>
    <row r="6" ht="15.75" thickBot="1"/>
    <row r="7" spans="1:19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38" t="s">
        <v>90</v>
      </c>
      <c r="F7" s="40"/>
      <c r="G7" s="41" t="s">
        <v>91</v>
      </c>
      <c r="H7" s="38" t="s">
        <v>92</v>
      </c>
      <c r="I7" s="40"/>
      <c r="J7" s="41" t="s">
        <v>93</v>
      </c>
      <c r="K7" s="38" t="s">
        <v>94</v>
      </c>
      <c r="L7" s="40"/>
      <c r="M7" s="41" t="s">
        <v>95</v>
      </c>
      <c r="N7" s="37" t="s">
        <v>159</v>
      </c>
      <c r="O7" s="154" t="s">
        <v>137</v>
      </c>
      <c r="P7" s="154" t="s">
        <v>138</v>
      </c>
      <c r="Q7" s="154"/>
      <c r="R7" s="21"/>
      <c r="S7" s="21"/>
    </row>
    <row r="8" spans="1:17" ht="15">
      <c r="A8" s="93" t="s">
        <v>139</v>
      </c>
      <c r="B8" s="116">
        <v>15.62</v>
      </c>
      <c r="C8" s="59">
        <v>9578.65</v>
      </c>
      <c r="D8" s="60">
        <v>0</v>
      </c>
      <c r="E8" s="59">
        <v>9578.65</v>
      </c>
      <c r="F8" s="120">
        <v>1</v>
      </c>
      <c r="G8" s="62">
        <v>4714.37</v>
      </c>
      <c r="H8" s="59">
        <v>9578.65</v>
      </c>
      <c r="I8" s="120">
        <v>1</v>
      </c>
      <c r="J8" s="62">
        <v>6417.04</v>
      </c>
      <c r="K8" s="59">
        <v>9578.65</v>
      </c>
      <c r="L8" s="120">
        <v>1</v>
      </c>
      <c r="M8" s="62">
        <v>11543.6</v>
      </c>
      <c r="N8" s="102">
        <f>C8+E8+H8+K8</f>
        <v>38314.6</v>
      </c>
      <c r="O8" s="102">
        <f>D8+G8+J8+M8</f>
        <v>22675.010000000002</v>
      </c>
      <c r="P8" s="102">
        <f>SUM(P9:P13)</f>
        <v>34574.32</v>
      </c>
      <c r="Q8" s="102"/>
    </row>
    <row r="9" spans="1:19" s="11" customFormat="1" ht="15">
      <c r="A9" s="49" t="s">
        <v>105</v>
      </c>
      <c r="B9" s="117">
        <v>4.77</v>
      </c>
      <c r="C9" s="44">
        <f>B9*B5</f>
        <v>2925.1070999999997</v>
      </c>
      <c r="D9" s="45"/>
      <c r="E9" s="44">
        <f>B9*B5</f>
        <v>2925.1070999999997</v>
      </c>
      <c r="F9" s="121">
        <f>E9/E8</f>
        <v>0.3053778037614904</v>
      </c>
      <c r="G9" s="47">
        <f>F9*G8</f>
        <v>1439.6639567190573</v>
      </c>
      <c r="H9" s="44">
        <f>B9*B5</f>
        <v>2925.1070999999997</v>
      </c>
      <c r="I9" s="121">
        <f>H9/H8</f>
        <v>0.3053778037614904</v>
      </c>
      <c r="J9" s="47">
        <f>I9*J8</f>
        <v>1959.6215818496341</v>
      </c>
      <c r="K9" s="44">
        <f>B9*B5</f>
        <v>2925.1070999999997</v>
      </c>
      <c r="L9" s="121">
        <f>K9/K8</f>
        <v>0.3053778037614904</v>
      </c>
      <c r="M9" s="47">
        <f>L9*M8</f>
        <v>3525.1592155011404</v>
      </c>
      <c r="N9" s="103">
        <f>C9+E9+H9+K9</f>
        <v>11700.428399999999</v>
      </c>
      <c r="O9" s="103">
        <f>D9+G9+J9+M9</f>
        <v>6924.444754069832</v>
      </c>
      <c r="P9" s="103">
        <v>17122.44</v>
      </c>
      <c r="Q9" s="266" t="s">
        <v>156</v>
      </c>
      <c r="R9" s="26"/>
      <c r="S9" s="26"/>
    </row>
    <row r="10" spans="1:19" s="11" customFormat="1" ht="23.25">
      <c r="A10" s="51" t="s">
        <v>146</v>
      </c>
      <c r="B10" s="118">
        <v>3.2</v>
      </c>
      <c r="C10" s="44">
        <f>B10*B5</f>
        <v>1962.3360000000002</v>
      </c>
      <c r="D10" s="45"/>
      <c r="E10" s="44">
        <f>B10*B5</f>
        <v>1962.3360000000002</v>
      </c>
      <c r="F10" s="121">
        <f>E10/E8</f>
        <v>0.20486561258632482</v>
      </c>
      <c r="G10" s="47">
        <f>F10*G8</f>
        <v>965.8122980085922</v>
      </c>
      <c r="H10" s="44">
        <f>B10*B5</f>
        <v>1962.3360000000002</v>
      </c>
      <c r="I10" s="121">
        <f>H10/H8</f>
        <v>0.20486561258632482</v>
      </c>
      <c r="J10" s="47">
        <f>I10*J8</f>
        <v>1314.63083059095</v>
      </c>
      <c r="K10" s="44">
        <f>B10*B5</f>
        <v>1962.3360000000002</v>
      </c>
      <c r="L10" s="121">
        <f>K10/K8</f>
        <v>0.20486561258632482</v>
      </c>
      <c r="M10" s="47">
        <f>L10*M8</f>
        <v>2364.8866854514995</v>
      </c>
      <c r="N10" s="103">
        <f>C10+E10+H10+K10</f>
        <v>7849.344000000001</v>
      </c>
      <c r="O10" s="103">
        <f>D10+G10+J10+M10</f>
        <v>4645.3298140510415</v>
      </c>
      <c r="P10" s="103">
        <f>11122.44*60%</f>
        <v>6673.464</v>
      </c>
      <c r="Q10" s="266" t="s">
        <v>156</v>
      </c>
      <c r="R10" s="26"/>
      <c r="S10" s="26"/>
    </row>
    <row r="11" spans="1:19" s="11" customFormat="1" ht="15">
      <c r="A11" s="51" t="s">
        <v>107</v>
      </c>
      <c r="B11" s="118">
        <v>1.83</v>
      </c>
      <c r="C11" s="44">
        <f>B11*B5</f>
        <v>1122.2109</v>
      </c>
      <c r="D11" s="45"/>
      <c r="E11" s="44">
        <f>B11*B5</f>
        <v>1122.2109</v>
      </c>
      <c r="F11" s="121">
        <f>E11/E8</f>
        <v>0.1171575221978045</v>
      </c>
      <c r="G11" s="47">
        <f>F11*G8</f>
        <v>552.3239079236636</v>
      </c>
      <c r="H11" s="44">
        <f>B11*B5</f>
        <v>1122.2109</v>
      </c>
      <c r="I11" s="121">
        <f>H11/H8</f>
        <v>0.1171575221978045</v>
      </c>
      <c r="J11" s="47">
        <f>I11*J8</f>
        <v>751.8045062441994</v>
      </c>
      <c r="K11" s="44">
        <f>B11*B5</f>
        <v>1122.2109</v>
      </c>
      <c r="L11" s="121">
        <f>K11/K8</f>
        <v>0.1171575221978045</v>
      </c>
      <c r="M11" s="47">
        <f>L11*M8</f>
        <v>1352.419573242576</v>
      </c>
      <c r="N11" s="103">
        <f>C11+E11+H11+K11-0.01</f>
        <v>4488.8336</v>
      </c>
      <c r="O11" s="103">
        <f>D11+G11+J11+M11-0.01</f>
        <v>2656.5379874104387</v>
      </c>
      <c r="P11" s="103">
        <f>11122.44-P10</f>
        <v>4448.976000000001</v>
      </c>
      <c r="Q11" s="266" t="s">
        <v>156</v>
      </c>
      <c r="R11" s="26"/>
      <c r="S11" s="26"/>
    </row>
    <row r="12" spans="1:19" s="11" customFormat="1" ht="15">
      <c r="A12" s="51" t="s">
        <v>108</v>
      </c>
      <c r="B12" s="118" t="s">
        <v>145</v>
      </c>
      <c r="C12" s="44">
        <v>1465.62</v>
      </c>
      <c r="D12" s="45">
        <v>0</v>
      </c>
      <c r="E12" s="44">
        <v>1465.62</v>
      </c>
      <c r="F12" s="121">
        <f>E12/E8</f>
        <v>0.15300903572006494</v>
      </c>
      <c r="G12" s="47">
        <f>F12*G8</f>
        <v>721.3412077276025</v>
      </c>
      <c r="H12" s="44">
        <v>1465.62</v>
      </c>
      <c r="I12" s="121">
        <f>H12/H8</f>
        <v>0.15300903572006494</v>
      </c>
      <c r="J12" s="47">
        <f>I12*J8</f>
        <v>981.8651025770855</v>
      </c>
      <c r="K12" s="44">
        <v>1465.62</v>
      </c>
      <c r="L12" s="121">
        <f>K12/K8</f>
        <v>0.15300903572006494</v>
      </c>
      <c r="M12" s="47">
        <f>L12*M8</f>
        <v>1766.2751047381416</v>
      </c>
      <c r="N12" s="103">
        <f aca="true" t="shared" si="0" ref="N12:N21">C12+E12+H12+K12</f>
        <v>5862.48</v>
      </c>
      <c r="O12" s="103">
        <f aca="true" t="shared" si="1" ref="O12:O21">D12+G12+J12+M12</f>
        <v>3469.4814150428297</v>
      </c>
      <c r="P12" s="103">
        <v>6329.44</v>
      </c>
      <c r="Q12" s="266" t="s">
        <v>154</v>
      </c>
      <c r="R12" s="26"/>
      <c r="S12" s="26"/>
    </row>
    <row r="13" spans="1:19" s="11" customFormat="1" ht="15.75" thickBot="1">
      <c r="A13" s="66" t="s">
        <v>110</v>
      </c>
      <c r="B13" s="119">
        <f>1.82+1.61</f>
        <v>3.43</v>
      </c>
      <c r="C13" s="67">
        <f>B13*B5</f>
        <v>2103.3789</v>
      </c>
      <c r="D13" s="68"/>
      <c r="E13" s="67">
        <f>B13*B5</f>
        <v>2103.3789</v>
      </c>
      <c r="F13" s="122">
        <f>E13/E8</f>
        <v>0.2195903284909669</v>
      </c>
      <c r="G13" s="70">
        <f>F13*G8</f>
        <v>1035.2300569279596</v>
      </c>
      <c r="H13" s="67">
        <f>B13*B5</f>
        <v>2103.3789</v>
      </c>
      <c r="I13" s="122">
        <f>H13/H8</f>
        <v>0.2195903284909669</v>
      </c>
      <c r="J13" s="70">
        <f>I13*J8</f>
        <v>1409.1199215396744</v>
      </c>
      <c r="K13" s="67">
        <f>B13*B5</f>
        <v>2103.3789</v>
      </c>
      <c r="L13" s="122">
        <f>K13/K8</f>
        <v>0.2195903284909669</v>
      </c>
      <c r="M13" s="70">
        <f>L13*M8</f>
        <v>2534.8629159683255</v>
      </c>
      <c r="N13" s="104">
        <f t="shared" si="0"/>
        <v>8413.5156</v>
      </c>
      <c r="O13" s="104">
        <f t="shared" si="1"/>
        <v>4979.212894435959</v>
      </c>
      <c r="P13" s="104">
        <v>0</v>
      </c>
      <c r="Q13" s="106"/>
      <c r="R13" s="26"/>
      <c r="S13" s="26"/>
    </row>
    <row r="14" spans="1:17" ht="15.75" thickBot="1">
      <c r="A14" s="72" t="s">
        <v>96</v>
      </c>
      <c r="B14" s="113"/>
      <c r="C14" s="73">
        <v>78.13</v>
      </c>
      <c r="D14" s="74">
        <v>0</v>
      </c>
      <c r="E14" s="73">
        <v>78.13</v>
      </c>
      <c r="F14" s="75"/>
      <c r="G14" s="76">
        <v>52.83</v>
      </c>
      <c r="H14" s="73">
        <v>78.13</v>
      </c>
      <c r="I14" s="75"/>
      <c r="J14" s="76">
        <v>53.56</v>
      </c>
      <c r="K14" s="73">
        <v>78.13</v>
      </c>
      <c r="L14" s="75"/>
      <c r="M14" s="76">
        <v>129.45</v>
      </c>
      <c r="N14" s="105">
        <f t="shared" si="0"/>
        <v>312.52</v>
      </c>
      <c r="O14" s="105">
        <f t="shared" si="1"/>
        <v>235.83999999999997</v>
      </c>
      <c r="P14" s="105">
        <v>0</v>
      </c>
      <c r="Q14" s="105"/>
    </row>
    <row r="15" spans="1:17" ht="15">
      <c r="A15" s="80" t="s">
        <v>97</v>
      </c>
      <c r="B15" s="114"/>
      <c r="C15" s="59">
        <v>0</v>
      </c>
      <c r="D15" s="60">
        <v>0</v>
      </c>
      <c r="E15" s="59">
        <v>0</v>
      </c>
      <c r="F15" s="61"/>
      <c r="G15" s="62">
        <v>0</v>
      </c>
      <c r="H15" s="59">
        <v>2022.73</v>
      </c>
      <c r="I15" s="61"/>
      <c r="J15" s="62">
        <v>505.52</v>
      </c>
      <c r="K15" s="59">
        <v>6042.86</v>
      </c>
      <c r="L15" s="61"/>
      <c r="M15" s="62">
        <v>1243.87</v>
      </c>
      <c r="N15" s="102">
        <f t="shared" si="0"/>
        <v>8065.59</v>
      </c>
      <c r="O15" s="102">
        <f t="shared" si="1"/>
        <v>1749.3899999999999</v>
      </c>
      <c r="P15" s="102">
        <v>10680.09</v>
      </c>
      <c r="Q15" s="267" t="s">
        <v>155</v>
      </c>
    </row>
    <row r="16" spans="1:17" ht="15.75" thickBot="1">
      <c r="A16" s="81" t="s">
        <v>98</v>
      </c>
      <c r="B16" s="115"/>
      <c r="C16" s="67">
        <v>0</v>
      </c>
      <c r="D16" s="68">
        <v>0</v>
      </c>
      <c r="E16" s="67">
        <v>0</v>
      </c>
      <c r="F16" s="69"/>
      <c r="G16" s="70">
        <v>0</v>
      </c>
      <c r="H16" s="67">
        <v>4946.52</v>
      </c>
      <c r="I16" s="69"/>
      <c r="J16" s="70">
        <v>1236.2</v>
      </c>
      <c r="K16" s="67">
        <v>14777.58</v>
      </c>
      <c r="L16" s="69"/>
      <c r="M16" s="70">
        <v>3041.82</v>
      </c>
      <c r="N16" s="106">
        <f t="shared" si="0"/>
        <v>19724.1</v>
      </c>
      <c r="O16" s="106">
        <f t="shared" si="1"/>
        <v>4278.02</v>
      </c>
      <c r="P16" s="106">
        <v>26042.41</v>
      </c>
      <c r="Q16" s="106" t="s">
        <v>155</v>
      </c>
    </row>
    <row r="17" spans="1:17" ht="15.75" thickBot="1">
      <c r="A17" s="72" t="s">
        <v>6</v>
      </c>
      <c r="B17" s="113"/>
      <c r="C17" s="73">
        <v>0</v>
      </c>
      <c r="D17" s="74">
        <v>0</v>
      </c>
      <c r="E17" s="73">
        <v>0</v>
      </c>
      <c r="F17" s="75"/>
      <c r="G17" s="76">
        <v>0</v>
      </c>
      <c r="H17" s="73">
        <v>21453.99</v>
      </c>
      <c r="I17" s="75"/>
      <c r="J17" s="76">
        <v>5644.08</v>
      </c>
      <c r="K17" s="73">
        <v>50774.48</v>
      </c>
      <c r="L17" s="75"/>
      <c r="M17" s="76">
        <v>11303.05</v>
      </c>
      <c r="N17" s="105">
        <f t="shared" si="0"/>
        <v>72228.47</v>
      </c>
      <c r="O17" s="105">
        <f t="shared" si="1"/>
        <v>16947.129999999997</v>
      </c>
      <c r="P17" s="105">
        <v>49898.61</v>
      </c>
      <c r="Q17" s="102" t="s">
        <v>155</v>
      </c>
    </row>
    <row r="18" spans="1:17" ht="15.75" thickBot="1">
      <c r="A18" s="80" t="s">
        <v>99</v>
      </c>
      <c r="B18" s="113"/>
      <c r="C18" s="59">
        <v>783.36</v>
      </c>
      <c r="D18" s="60">
        <v>0</v>
      </c>
      <c r="E18" s="59">
        <v>718.08</v>
      </c>
      <c r="F18" s="61"/>
      <c r="G18" s="62">
        <v>401.47</v>
      </c>
      <c r="H18" s="59">
        <v>718.08</v>
      </c>
      <c r="I18" s="61"/>
      <c r="J18" s="62">
        <v>462.97</v>
      </c>
      <c r="K18" s="59">
        <v>1793.34</v>
      </c>
      <c r="L18" s="61"/>
      <c r="M18" s="62">
        <v>1031.48</v>
      </c>
      <c r="N18" s="102">
        <f>C18+E18+H18+K18+N19</f>
        <v>5192.69</v>
      </c>
      <c r="O18" s="102">
        <f>D18+G18+J18+M18+O19</f>
        <v>2408.1800000000003</v>
      </c>
      <c r="P18" s="102">
        <f>N18</f>
        <v>5192.69</v>
      </c>
      <c r="Q18" s="105" t="s">
        <v>157</v>
      </c>
    </row>
    <row r="19" spans="1:17" ht="15.75" hidden="1" thickBot="1">
      <c r="A19" s="81" t="s">
        <v>101</v>
      </c>
      <c r="B19" s="113"/>
      <c r="C19" s="67">
        <v>193.89</v>
      </c>
      <c r="D19" s="68">
        <v>0</v>
      </c>
      <c r="E19" s="67">
        <v>193.96</v>
      </c>
      <c r="F19" s="69"/>
      <c r="G19" s="70">
        <v>134.17</v>
      </c>
      <c r="H19" s="67">
        <v>192.51</v>
      </c>
      <c r="I19" s="69"/>
      <c r="J19" s="70">
        <v>167.93</v>
      </c>
      <c r="K19" s="67">
        <v>599.47</v>
      </c>
      <c r="L19" s="69"/>
      <c r="M19" s="70">
        <v>210.16</v>
      </c>
      <c r="N19" s="106">
        <f t="shared" si="0"/>
        <v>1179.83</v>
      </c>
      <c r="O19" s="106">
        <f t="shared" si="1"/>
        <v>512.26</v>
      </c>
      <c r="P19" s="106"/>
      <c r="Q19" s="106"/>
    </row>
    <row r="20" spans="1:17" ht="15.75" thickBot="1">
      <c r="A20" s="72" t="s">
        <v>100</v>
      </c>
      <c r="B20" s="249"/>
      <c r="C20" s="73">
        <v>1505.51</v>
      </c>
      <c r="D20" s="74">
        <v>0</v>
      </c>
      <c r="E20" s="73">
        <v>1380.05</v>
      </c>
      <c r="F20" s="75"/>
      <c r="G20" s="76">
        <v>771.57</v>
      </c>
      <c r="H20" s="73">
        <v>1380.05</v>
      </c>
      <c r="I20" s="75"/>
      <c r="J20" s="76">
        <v>889.76</v>
      </c>
      <c r="K20" s="73">
        <v>4364.05</v>
      </c>
      <c r="L20" s="75"/>
      <c r="M20" s="76">
        <v>1982.37</v>
      </c>
      <c r="N20" s="105">
        <f>C20+E20+H20+K20+N21</f>
        <v>10690.720000000001</v>
      </c>
      <c r="O20" s="105">
        <f>D20+G20+J20+M20+O21</f>
        <v>4649.43</v>
      </c>
      <c r="P20" s="105">
        <f>N20</f>
        <v>10690.720000000001</v>
      </c>
      <c r="Q20" s="105" t="s">
        <v>157</v>
      </c>
    </row>
    <row r="21" spans="1:17" ht="15.75" hidden="1" thickBot="1">
      <c r="A21" s="284" t="s">
        <v>102</v>
      </c>
      <c r="B21" s="127"/>
      <c r="C21" s="277">
        <v>278.67</v>
      </c>
      <c r="D21" s="278">
        <v>0</v>
      </c>
      <c r="E21" s="277">
        <v>514.72</v>
      </c>
      <c r="F21" s="279"/>
      <c r="G21" s="280">
        <v>280.99</v>
      </c>
      <c r="H21" s="277">
        <v>339.68</v>
      </c>
      <c r="I21" s="279"/>
      <c r="J21" s="280">
        <v>301.9</v>
      </c>
      <c r="K21" s="277">
        <v>927.99</v>
      </c>
      <c r="L21" s="279"/>
      <c r="M21" s="280">
        <v>422.84</v>
      </c>
      <c r="N21" s="134">
        <f t="shared" si="0"/>
        <v>2061.0600000000004</v>
      </c>
      <c r="O21" s="134">
        <f t="shared" si="1"/>
        <v>1005.73</v>
      </c>
      <c r="P21" s="134"/>
      <c r="Q21" s="134"/>
    </row>
    <row r="22" spans="1:17" ht="15.75" thickBot="1">
      <c r="A22" s="84"/>
      <c r="B22" s="87"/>
      <c r="C22" s="54"/>
      <c r="D22" s="55"/>
      <c r="E22" s="54"/>
      <c r="F22" s="56"/>
      <c r="G22" s="57"/>
      <c r="H22" s="54"/>
      <c r="I22" s="56"/>
      <c r="J22" s="57"/>
      <c r="K22" s="54"/>
      <c r="L22" s="56"/>
      <c r="M22" s="57"/>
      <c r="N22" s="134">
        <f>SUM(N9:N21)-N19-N21</f>
        <v>154528.6916</v>
      </c>
      <c r="O22" s="134">
        <f>SUM(O9:O21)</f>
        <v>54460.986865010105</v>
      </c>
      <c r="P22" s="134">
        <f>SUM(P9:P21)</f>
        <v>137078.84000000003</v>
      </c>
      <c r="Q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3" width="10.140625" style="32" hidden="1" customWidth="1"/>
    <col min="14" max="14" width="10.140625" style="33" hidden="1" customWidth="1"/>
    <col min="15" max="15" width="16.00390625" style="34" customWidth="1"/>
    <col min="16" max="16" width="10.140625" style="32" hidden="1" customWidth="1"/>
    <col min="17" max="17" width="16.00390625" style="34" customWidth="1"/>
    <col min="18" max="18" width="16.00390625" style="33" customWidth="1"/>
    <col min="19" max="19" width="25.140625" style="34" customWidth="1"/>
    <col min="20" max="21" width="9.140625" style="32" customWidth="1"/>
  </cols>
  <sheetData>
    <row r="1" ht="15">
      <c r="A1" s="32" t="s">
        <v>115</v>
      </c>
    </row>
    <row r="3" ht="15">
      <c r="A3" s="32" t="s">
        <v>152</v>
      </c>
    </row>
    <row r="4" ht="15">
      <c r="A4" s="32" t="s">
        <v>116</v>
      </c>
    </row>
    <row r="5" ht="15">
      <c r="B5" s="32">
        <f>O8/B8</f>
        <v>1701.6563944530044</v>
      </c>
    </row>
    <row r="6" ht="15.75" thickBot="1"/>
    <row r="7" spans="1:21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41" t="s">
        <v>95</v>
      </c>
      <c r="N7" s="42" t="s">
        <v>114</v>
      </c>
      <c r="O7" s="37" t="s">
        <v>159</v>
      </c>
      <c r="P7" s="40"/>
      <c r="Q7" s="251" t="s">
        <v>137</v>
      </c>
      <c r="R7" s="251" t="s">
        <v>138</v>
      </c>
      <c r="S7" s="251"/>
      <c r="T7" s="43"/>
      <c r="U7" s="43"/>
    </row>
    <row r="8" spans="1:19" ht="15">
      <c r="A8" s="93" t="s">
        <v>139</v>
      </c>
      <c r="B8" s="116">
        <v>32.45</v>
      </c>
      <c r="C8" s="59">
        <v>8334.9</v>
      </c>
      <c r="D8" s="60">
        <v>0</v>
      </c>
      <c r="E8" s="61"/>
      <c r="F8" s="59">
        <v>15627.95</v>
      </c>
      <c r="G8" s="62">
        <v>5553.64</v>
      </c>
      <c r="H8" s="63"/>
      <c r="I8" s="59">
        <v>15627.95</v>
      </c>
      <c r="J8" s="62">
        <v>5008.29</v>
      </c>
      <c r="K8" s="63"/>
      <c r="L8" s="59">
        <v>15627.95</v>
      </c>
      <c r="M8" s="62">
        <v>17488.72</v>
      </c>
      <c r="N8" s="63"/>
      <c r="O8" s="102">
        <f aca="true" t="shared" si="0" ref="O8:O18">C8+F8+I8+L8</f>
        <v>55218.75</v>
      </c>
      <c r="P8" s="260">
        <v>1</v>
      </c>
      <c r="Q8" s="102">
        <f>D8+G8+J8+M8</f>
        <v>28050.65</v>
      </c>
      <c r="R8" s="102">
        <f>SUM(R9:R14)</f>
        <v>107648.14</v>
      </c>
      <c r="S8" s="102"/>
    </row>
    <row r="9" spans="1:21" s="11" customFormat="1" ht="15">
      <c r="A9" s="208" t="s">
        <v>105</v>
      </c>
      <c r="B9" s="117">
        <v>4.77</v>
      </c>
      <c r="C9" s="44"/>
      <c r="D9" s="45"/>
      <c r="E9" s="46"/>
      <c r="F9" s="44"/>
      <c r="G9" s="47"/>
      <c r="H9" s="48"/>
      <c r="I9" s="44"/>
      <c r="J9" s="47"/>
      <c r="K9" s="48"/>
      <c r="L9" s="44"/>
      <c r="M9" s="47"/>
      <c r="N9" s="48"/>
      <c r="O9" s="103">
        <f>B9*B5</f>
        <v>8116.90100154083</v>
      </c>
      <c r="P9" s="130">
        <f>O9/O8</f>
        <v>0.14699537750385205</v>
      </c>
      <c r="Q9" s="103">
        <f>P9*Q8</f>
        <v>4123.315885978428</v>
      </c>
      <c r="R9" s="103">
        <v>8470.19</v>
      </c>
      <c r="S9" s="266" t="s">
        <v>156</v>
      </c>
      <c r="T9" s="50"/>
      <c r="U9" s="50"/>
    </row>
    <row r="10" spans="1:21" s="11" customFormat="1" ht="22.5">
      <c r="A10" s="213" t="s">
        <v>106</v>
      </c>
      <c r="B10" s="118">
        <v>3.2</v>
      </c>
      <c r="C10" s="44"/>
      <c r="D10" s="45"/>
      <c r="E10" s="46"/>
      <c r="F10" s="44"/>
      <c r="G10" s="47"/>
      <c r="H10" s="48"/>
      <c r="I10" s="44"/>
      <c r="J10" s="47"/>
      <c r="K10" s="48"/>
      <c r="L10" s="44"/>
      <c r="M10" s="47"/>
      <c r="N10" s="48"/>
      <c r="O10" s="103">
        <f>B10*B5</f>
        <v>5445.300462249615</v>
      </c>
      <c r="P10" s="130">
        <f>O10/O8</f>
        <v>0.09861325115562404</v>
      </c>
      <c r="Q10" s="103">
        <f>P10*Q8</f>
        <v>2766.1657935285057</v>
      </c>
      <c r="R10" s="103">
        <f>8314.31*60%</f>
        <v>4988.585999999999</v>
      </c>
      <c r="S10" s="266" t="s">
        <v>156</v>
      </c>
      <c r="T10" s="50"/>
      <c r="U10" s="50"/>
    </row>
    <row r="11" spans="1:21" s="11" customFormat="1" ht="15">
      <c r="A11" s="213" t="s">
        <v>107</v>
      </c>
      <c r="B11" s="118">
        <v>1.83</v>
      </c>
      <c r="C11" s="44"/>
      <c r="D11" s="45"/>
      <c r="E11" s="46"/>
      <c r="F11" s="44"/>
      <c r="G11" s="47"/>
      <c r="H11" s="48"/>
      <c r="I11" s="44"/>
      <c r="J11" s="47"/>
      <c r="K11" s="48"/>
      <c r="L11" s="44"/>
      <c r="M11" s="47"/>
      <c r="N11" s="48"/>
      <c r="O11" s="103">
        <f>B11*B5</f>
        <v>3114.031201848998</v>
      </c>
      <c r="P11" s="130">
        <f>O11/O8</f>
        <v>0.05639445300462249</v>
      </c>
      <c r="Q11" s="103">
        <f>P11*Q8</f>
        <v>1581.901063174114</v>
      </c>
      <c r="R11" s="103">
        <f>8314.31-R10</f>
        <v>3325.724</v>
      </c>
      <c r="S11" s="266" t="s">
        <v>156</v>
      </c>
      <c r="T11" s="50"/>
      <c r="U11" s="50"/>
    </row>
    <row r="12" spans="1:21" s="11" customFormat="1" ht="15">
      <c r="A12" s="213" t="s">
        <v>108</v>
      </c>
      <c r="B12" s="118" t="s">
        <v>145</v>
      </c>
      <c r="C12" s="44">
        <v>652.25</v>
      </c>
      <c r="D12" s="45"/>
      <c r="E12" s="46"/>
      <c r="F12" s="44">
        <v>3084.71</v>
      </c>
      <c r="G12" s="47"/>
      <c r="H12" s="48"/>
      <c r="I12" s="44">
        <v>3084.71</v>
      </c>
      <c r="J12" s="47"/>
      <c r="K12" s="48"/>
      <c r="L12" s="44">
        <v>3084.71</v>
      </c>
      <c r="M12" s="47"/>
      <c r="N12" s="48"/>
      <c r="O12" s="103">
        <f>B12*B5</f>
        <v>4066.958782742681</v>
      </c>
      <c r="P12" s="130">
        <f>O12/O8</f>
        <v>0.0736517719568567</v>
      </c>
      <c r="Q12" s="103">
        <f>P12*Q8</f>
        <v>2065.9800770416023</v>
      </c>
      <c r="R12" s="103">
        <v>10232.39</v>
      </c>
      <c r="S12" s="266" t="s">
        <v>154</v>
      </c>
      <c r="T12" s="50"/>
      <c r="U12" s="50"/>
    </row>
    <row r="13" spans="1:21" s="11" customFormat="1" ht="15.75" thickBot="1">
      <c r="A13" s="213" t="s">
        <v>109</v>
      </c>
      <c r="B13" s="119">
        <v>16.83</v>
      </c>
      <c r="C13" s="44">
        <v>4593.02</v>
      </c>
      <c r="D13" s="45"/>
      <c r="E13" s="46"/>
      <c r="F13" s="44">
        <v>8105.33</v>
      </c>
      <c r="G13" s="47"/>
      <c r="H13" s="48"/>
      <c r="I13" s="44">
        <v>8105.33</v>
      </c>
      <c r="J13" s="47"/>
      <c r="K13" s="48"/>
      <c r="L13" s="44">
        <v>8105.33</v>
      </c>
      <c r="M13" s="47"/>
      <c r="N13" s="48"/>
      <c r="O13" s="103">
        <f>B13*B5</f>
        <v>28638.87711864406</v>
      </c>
      <c r="P13" s="131">
        <f>O13/O8</f>
        <v>0.5186440677966101</v>
      </c>
      <c r="Q13" s="103">
        <f>P13*Q8</f>
        <v>14548.303220338981</v>
      </c>
      <c r="R13" s="103">
        <f>645.05*125</f>
        <v>80631.25</v>
      </c>
      <c r="S13" s="138" t="s">
        <v>158</v>
      </c>
      <c r="T13" s="50"/>
      <c r="U13" s="50"/>
    </row>
    <row r="14" spans="1:21" s="11" customFormat="1" ht="15.75" thickBot="1">
      <c r="A14" s="214" t="s">
        <v>110</v>
      </c>
      <c r="B14" s="113" t="s">
        <v>149</v>
      </c>
      <c r="C14" s="67"/>
      <c r="D14" s="68"/>
      <c r="E14" s="69"/>
      <c r="F14" s="67"/>
      <c r="G14" s="70"/>
      <c r="H14" s="71"/>
      <c r="I14" s="67"/>
      <c r="J14" s="70"/>
      <c r="K14" s="71"/>
      <c r="L14" s="67"/>
      <c r="M14" s="70"/>
      <c r="N14" s="71"/>
      <c r="O14" s="104">
        <f>B14*B5</f>
        <v>5836.681432973805</v>
      </c>
      <c r="P14" s="131">
        <f>O14/O8</f>
        <v>0.10570107858243451</v>
      </c>
      <c r="Q14" s="104">
        <f>P14*Q8</f>
        <v>2964.9839599383668</v>
      </c>
      <c r="R14" s="104">
        <v>0</v>
      </c>
      <c r="S14" s="106"/>
      <c r="T14" s="50"/>
      <c r="U14" s="50"/>
    </row>
    <row r="15" spans="1:19" ht="15.75" thickBot="1">
      <c r="A15" s="92" t="s">
        <v>96</v>
      </c>
      <c r="B15" s="113"/>
      <c r="C15" s="73">
        <v>149.39</v>
      </c>
      <c r="D15" s="74">
        <v>0</v>
      </c>
      <c r="E15" s="75"/>
      <c r="F15" s="73">
        <v>149.39</v>
      </c>
      <c r="G15" s="76">
        <v>82.23</v>
      </c>
      <c r="H15" s="77"/>
      <c r="I15" s="73">
        <v>149.39</v>
      </c>
      <c r="J15" s="76">
        <v>53.36</v>
      </c>
      <c r="K15" s="77"/>
      <c r="L15" s="73">
        <v>149.39</v>
      </c>
      <c r="M15" s="76">
        <v>224.85</v>
      </c>
      <c r="N15" s="77"/>
      <c r="O15" s="105">
        <f t="shared" si="0"/>
        <v>597.56</v>
      </c>
      <c r="P15" s="261"/>
      <c r="Q15" s="105">
        <f>D15+G15+J15+M15</f>
        <v>360.44</v>
      </c>
      <c r="R15" s="105">
        <v>0</v>
      </c>
      <c r="S15" s="105"/>
    </row>
    <row r="16" spans="1:19" ht="15.75" thickBot="1">
      <c r="A16" s="92" t="s">
        <v>6</v>
      </c>
      <c r="B16" s="113"/>
      <c r="C16" s="73">
        <v>0</v>
      </c>
      <c r="D16" s="74">
        <v>0</v>
      </c>
      <c r="E16" s="75"/>
      <c r="F16" s="73">
        <v>0</v>
      </c>
      <c r="G16" s="76">
        <v>0</v>
      </c>
      <c r="H16" s="77"/>
      <c r="I16" s="73">
        <v>24289.42</v>
      </c>
      <c r="J16" s="76">
        <v>3691.56</v>
      </c>
      <c r="K16" s="77"/>
      <c r="L16" s="73">
        <v>58294.61</v>
      </c>
      <c r="M16" s="76">
        <v>12782.93</v>
      </c>
      <c r="N16" s="77"/>
      <c r="O16" s="105">
        <f t="shared" si="0"/>
        <v>82584.03</v>
      </c>
      <c r="P16" s="261"/>
      <c r="Q16" s="105">
        <f>D16+G16+J16+M16</f>
        <v>16474.49</v>
      </c>
      <c r="R16" s="105">
        <v>51981.65</v>
      </c>
      <c r="S16" s="102" t="s">
        <v>155</v>
      </c>
    </row>
    <row r="17" spans="1:19" ht="15.75" thickBot="1">
      <c r="A17" s="92" t="s">
        <v>99</v>
      </c>
      <c r="B17" s="113"/>
      <c r="C17" s="73">
        <v>1077.12</v>
      </c>
      <c r="D17" s="74">
        <v>0</v>
      </c>
      <c r="E17" s="75"/>
      <c r="F17" s="73">
        <v>1044.48</v>
      </c>
      <c r="G17" s="76">
        <v>654.67</v>
      </c>
      <c r="H17" s="77"/>
      <c r="I17" s="73">
        <v>1044.48</v>
      </c>
      <c r="J17" s="76">
        <v>456.06</v>
      </c>
      <c r="K17" s="77"/>
      <c r="L17" s="73">
        <v>3055.54</v>
      </c>
      <c r="M17" s="76">
        <v>1394.62</v>
      </c>
      <c r="N17" s="77"/>
      <c r="O17" s="105">
        <f t="shared" si="0"/>
        <v>6221.62</v>
      </c>
      <c r="P17" s="261"/>
      <c r="Q17" s="105">
        <f>D17+G17+J17+M17</f>
        <v>2505.35</v>
      </c>
      <c r="R17" s="105">
        <f>O17</f>
        <v>6221.62</v>
      </c>
      <c r="S17" s="105" t="s">
        <v>157</v>
      </c>
    </row>
    <row r="18" spans="1:19" ht="15.75" thickBot="1">
      <c r="A18" s="92" t="s">
        <v>100</v>
      </c>
      <c r="B18" s="113"/>
      <c r="C18" s="73">
        <v>1133.14</v>
      </c>
      <c r="D18" s="74">
        <v>0</v>
      </c>
      <c r="E18" s="75"/>
      <c r="F18" s="73">
        <v>1098.8</v>
      </c>
      <c r="G18" s="76">
        <v>688.71</v>
      </c>
      <c r="H18" s="77"/>
      <c r="I18" s="73">
        <v>1098.8</v>
      </c>
      <c r="J18" s="76">
        <v>479.8</v>
      </c>
      <c r="K18" s="77"/>
      <c r="L18" s="73">
        <v>4061.19</v>
      </c>
      <c r="M18" s="76">
        <v>1467.13</v>
      </c>
      <c r="N18" s="77"/>
      <c r="O18" s="105">
        <f t="shared" si="0"/>
        <v>7391.93</v>
      </c>
      <c r="P18" s="261"/>
      <c r="Q18" s="105">
        <f>D18+G18+J18+M18</f>
        <v>2635.6400000000003</v>
      </c>
      <c r="R18" s="105">
        <f>O18</f>
        <v>7391.93</v>
      </c>
      <c r="S18" s="105" t="s">
        <v>157</v>
      </c>
    </row>
    <row r="19" spans="1:19" ht="15.75" thickBot="1">
      <c r="A19" s="84"/>
      <c r="C19" s="54"/>
      <c r="D19" s="55"/>
      <c r="E19" s="56"/>
      <c r="F19" s="54"/>
      <c r="G19" s="57"/>
      <c r="H19" s="58"/>
      <c r="I19" s="54"/>
      <c r="J19" s="57"/>
      <c r="K19" s="58"/>
      <c r="L19" s="54"/>
      <c r="M19" s="57"/>
      <c r="N19" s="58"/>
      <c r="O19" s="105">
        <f>SUM(O9:O18)</f>
        <v>152013.88999999998</v>
      </c>
      <c r="P19" s="250">
        <f>SUM(P9:P18)</f>
        <v>0.9999999999999999</v>
      </c>
      <c r="Q19" s="134">
        <f>SUM(Q9:Q18)</f>
        <v>50026.57</v>
      </c>
      <c r="R19" s="134">
        <f>SUM(R9:R18)</f>
        <v>173243.34</v>
      </c>
      <c r="S19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V37" sqref="V37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3" width="10.140625" style="33" hidden="1" customWidth="1"/>
    <col min="4" max="4" width="8.7109375" style="32" hidden="1" customWidth="1"/>
    <col min="5" max="6" width="10.140625" style="33" hidden="1" customWidth="1"/>
    <col min="7" max="7" width="10.140625" style="32" hidden="1" customWidth="1"/>
    <col min="8" max="8" width="8.7109375" style="32" hidden="1" customWidth="1"/>
    <col min="9" max="9" width="10.140625" style="32" hidden="1" customWidth="1"/>
    <col min="10" max="10" width="10.140625" style="33" hidden="1" customWidth="1"/>
    <col min="11" max="13" width="10.140625" style="32" hidden="1" customWidth="1"/>
    <col min="14" max="14" width="10.140625" style="33" hidden="1" customWidth="1"/>
    <col min="15" max="17" width="10.140625" style="32" hidden="1" customWidth="1"/>
    <col min="18" max="18" width="10.140625" style="33" hidden="1" customWidth="1"/>
    <col min="19" max="20" width="16.00390625" style="34" customWidth="1"/>
    <col min="21" max="21" width="16.00390625" style="33" customWidth="1"/>
    <col min="22" max="22" width="25.28125" style="34" customWidth="1"/>
    <col min="23" max="23" width="9.140625" style="32" customWidth="1"/>
    <col min="24" max="24" width="9.140625" style="1" customWidth="1"/>
  </cols>
  <sheetData>
    <row r="1" ht="15">
      <c r="A1" s="32" t="s">
        <v>115</v>
      </c>
    </row>
    <row r="3" ht="15">
      <c r="A3" s="32" t="s">
        <v>122</v>
      </c>
    </row>
    <row r="4" ht="15">
      <c r="A4" s="32" t="s">
        <v>116</v>
      </c>
    </row>
    <row r="5" spans="2:3" ht="15">
      <c r="B5" s="32">
        <v>304.3</v>
      </c>
      <c r="C5" s="33">
        <v>284.93</v>
      </c>
    </row>
    <row r="6" ht="15.75" thickBot="1"/>
    <row r="7" spans="1:24" s="9" customFormat="1" ht="37.5" customHeight="1" thickBot="1">
      <c r="A7" s="37" t="s">
        <v>87</v>
      </c>
      <c r="B7" s="112" t="s">
        <v>140</v>
      </c>
      <c r="C7" s="38" t="s">
        <v>88</v>
      </c>
      <c r="D7" s="109"/>
      <c r="E7" s="39" t="s">
        <v>89</v>
      </c>
      <c r="F7" s="40" t="s">
        <v>112</v>
      </c>
      <c r="G7" s="38" t="s">
        <v>90</v>
      </c>
      <c r="H7" s="109"/>
      <c r="I7" s="41" t="s">
        <v>91</v>
      </c>
      <c r="J7" s="42" t="s">
        <v>111</v>
      </c>
      <c r="K7" s="38" t="s">
        <v>92</v>
      </c>
      <c r="L7" s="40"/>
      <c r="M7" s="41" t="s">
        <v>93</v>
      </c>
      <c r="N7" s="42" t="s">
        <v>113</v>
      </c>
      <c r="O7" s="38" t="s">
        <v>94</v>
      </c>
      <c r="P7" s="40"/>
      <c r="Q7" s="41" t="s">
        <v>95</v>
      </c>
      <c r="R7" s="42" t="s">
        <v>114</v>
      </c>
      <c r="S7" s="37" t="s">
        <v>159</v>
      </c>
      <c r="T7" s="154" t="s">
        <v>137</v>
      </c>
      <c r="U7" s="154" t="s">
        <v>138</v>
      </c>
      <c r="V7" s="154"/>
      <c r="W7" s="43"/>
      <c r="X7" s="152"/>
    </row>
    <row r="8" spans="1:22" ht="15">
      <c r="A8" s="93" t="s">
        <v>139</v>
      </c>
      <c r="B8" s="116">
        <v>15.62</v>
      </c>
      <c r="C8" s="59">
        <v>4450.65</v>
      </c>
      <c r="D8" s="120">
        <v>1</v>
      </c>
      <c r="E8" s="60">
        <v>0</v>
      </c>
      <c r="F8" s="61"/>
      <c r="G8" s="59">
        <v>4753.16</v>
      </c>
      <c r="H8" s="120">
        <v>1</v>
      </c>
      <c r="I8" s="62">
        <v>3641.76</v>
      </c>
      <c r="J8" s="63"/>
      <c r="K8" s="59">
        <v>4753.16</v>
      </c>
      <c r="L8" s="120">
        <v>1</v>
      </c>
      <c r="M8" s="62">
        <v>2424.16</v>
      </c>
      <c r="N8" s="63"/>
      <c r="O8" s="59">
        <v>4753.16</v>
      </c>
      <c r="P8" s="120">
        <v>1</v>
      </c>
      <c r="Q8" s="62">
        <v>4296.16</v>
      </c>
      <c r="R8" s="63"/>
      <c r="S8" s="102">
        <f aca="true" t="shared" si="0" ref="S8:S21">C8+G8+K8+O8</f>
        <v>18710.129999999997</v>
      </c>
      <c r="T8" s="102">
        <f aca="true" t="shared" si="1" ref="T8:T17">E8+I8+M8+Q8</f>
        <v>10362.08</v>
      </c>
      <c r="U8" s="102">
        <f>SUM(U9:U13)</f>
        <v>18941.87</v>
      </c>
      <c r="V8" s="102"/>
    </row>
    <row r="9" spans="1:24" s="11" customFormat="1" ht="15">
      <c r="A9" s="89" t="s">
        <v>105</v>
      </c>
      <c r="B9" s="117">
        <v>4.77</v>
      </c>
      <c r="C9" s="44">
        <f>C5*B9</f>
        <v>1359.1161</v>
      </c>
      <c r="D9" s="121">
        <f>C9/C8</f>
        <v>0.30537474301506523</v>
      </c>
      <c r="E9" s="47">
        <f>D9*E8</f>
        <v>0</v>
      </c>
      <c r="F9" s="46"/>
      <c r="G9" s="44">
        <f>B9*B5</f>
        <v>1451.511</v>
      </c>
      <c r="H9" s="121">
        <f>G9/G8</f>
        <v>0.3053781063545094</v>
      </c>
      <c r="I9" s="47">
        <f>H9*I8</f>
        <v>1112.1137725975982</v>
      </c>
      <c r="J9" s="48"/>
      <c r="K9" s="44">
        <f>B9*B5</f>
        <v>1451.511</v>
      </c>
      <c r="L9" s="121">
        <f>K9/K8</f>
        <v>0.3053781063545094</v>
      </c>
      <c r="M9" s="47">
        <f>L9*M8</f>
        <v>740.2853903003474</v>
      </c>
      <c r="N9" s="48"/>
      <c r="O9" s="44">
        <f>B9*B5</f>
        <v>1451.511</v>
      </c>
      <c r="P9" s="121">
        <f>O9/O8</f>
        <v>0.3053781063545094</v>
      </c>
      <c r="Q9" s="47">
        <f>P9*Q8</f>
        <v>1311.953205395989</v>
      </c>
      <c r="R9" s="48"/>
      <c r="S9" s="103">
        <f t="shared" si="0"/>
        <v>5713.6491000000005</v>
      </c>
      <c r="T9" s="103">
        <f t="shared" si="1"/>
        <v>3164.352368293935</v>
      </c>
      <c r="U9" s="103">
        <v>8295.55</v>
      </c>
      <c r="V9" s="266" t="s">
        <v>156</v>
      </c>
      <c r="W9" s="50"/>
      <c r="X9" s="153"/>
    </row>
    <row r="10" spans="1:24" s="11" customFormat="1" ht="22.5">
      <c r="A10" s="90" t="s">
        <v>146</v>
      </c>
      <c r="B10" s="118">
        <v>3.2</v>
      </c>
      <c r="C10" s="44">
        <f>B10*C5</f>
        <v>911.7760000000001</v>
      </c>
      <c r="D10" s="121">
        <f>C10/C8</f>
        <v>0.20486355925538968</v>
      </c>
      <c r="E10" s="47">
        <f>D10*E8</f>
        <v>0</v>
      </c>
      <c r="F10" s="46"/>
      <c r="G10" s="44">
        <f>B10*B5</f>
        <v>973.7600000000001</v>
      </c>
      <c r="H10" s="121">
        <f>G10/G8</f>
        <v>0.204865815583738</v>
      </c>
      <c r="I10" s="47">
        <f>H10*I8</f>
        <v>746.0721325602337</v>
      </c>
      <c r="J10" s="48"/>
      <c r="K10" s="44">
        <f>B10*B5</f>
        <v>973.7600000000001</v>
      </c>
      <c r="L10" s="121">
        <f>K10/K8</f>
        <v>0.204865815583738</v>
      </c>
      <c r="M10" s="47">
        <f>L10*M8</f>
        <v>496.6275155054743</v>
      </c>
      <c r="N10" s="48"/>
      <c r="O10" s="44">
        <f>B10*B5</f>
        <v>973.7600000000001</v>
      </c>
      <c r="P10" s="121">
        <f>O10/O8</f>
        <v>0.204865815583738</v>
      </c>
      <c r="Q10" s="47">
        <f>P10*Q8</f>
        <v>880.1363222782319</v>
      </c>
      <c r="R10" s="48"/>
      <c r="S10" s="103">
        <f t="shared" si="0"/>
        <v>3833.0560000000005</v>
      </c>
      <c r="T10" s="103">
        <f t="shared" si="1"/>
        <v>2122.83597034394</v>
      </c>
      <c r="U10" s="103">
        <f>7505.48*60%</f>
        <v>4503.288</v>
      </c>
      <c r="V10" s="266" t="s">
        <v>156</v>
      </c>
      <c r="W10" s="50"/>
      <c r="X10" s="153"/>
    </row>
    <row r="11" spans="1:24" s="11" customFormat="1" ht="15">
      <c r="A11" s="90" t="s">
        <v>107</v>
      </c>
      <c r="B11" s="118">
        <v>1.83</v>
      </c>
      <c r="C11" s="44">
        <f>B11*C5</f>
        <v>521.4219</v>
      </c>
      <c r="D11" s="121">
        <f>C11/C8</f>
        <v>0.11715634794917598</v>
      </c>
      <c r="E11" s="47">
        <f>D11*E8</f>
        <v>0</v>
      </c>
      <c r="F11" s="46"/>
      <c r="G11" s="44">
        <f>B11*B5</f>
        <v>556.869</v>
      </c>
      <c r="H11" s="121">
        <f>G11/G8</f>
        <v>0.11715763828695017</v>
      </c>
      <c r="I11" s="47">
        <f>H11*I8</f>
        <v>426.66000080788365</v>
      </c>
      <c r="J11" s="48"/>
      <c r="K11" s="44">
        <f>B11*B5</f>
        <v>556.869</v>
      </c>
      <c r="L11" s="121">
        <f>K11/K8</f>
        <v>0.11715763828695017</v>
      </c>
      <c r="M11" s="47">
        <f>L11*M8</f>
        <v>284.0088604296931</v>
      </c>
      <c r="N11" s="48"/>
      <c r="O11" s="44">
        <f>B11*B5</f>
        <v>556.869</v>
      </c>
      <c r="P11" s="121">
        <f>O11/O8</f>
        <v>0.11715763828695017</v>
      </c>
      <c r="Q11" s="47">
        <f>P11*Q8</f>
        <v>503.3279593028638</v>
      </c>
      <c r="R11" s="48"/>
      <c r="S11" s="103">
        <f t="shared" si="0"/>
        <v>2192.0289000000002</v>
      </c>
      <c r="T11" s="103">
        <f t="shared" si="1"/>
        <v>1213.9968205404405</v>
      </c>
      <c r="U11" s="103">
        <f>7505.48-U10</f>
        <v>3002.192</v>
      </c>
      <c r="V11" s="266" t="s">
        <v>156</v>
      </c>
      <c r="W11" s="50"/>
      <c r="X11" s="153"/>
    </row>
    <row r="12" spans="1:24" s="11" customFormat="1" ht="15">
      <c r="A12" s="90" t="s">
        <v>108</v>
      </c>
      <c r="B12" s="118" t="s">
        <v>145</v>
      </c>
      <c r="C12" s="44">
        <v>727.28</v>
      </c>
      <c r="D12" s="121">
        <f>C12/C8</f>
        <v>0.16340983901227912</v>
      </c>
      <c r="E12" s="47">
        <f>D12*E8</f>
        <v>0</v>
      </c>
      <c r="F12" s="46"/>
      <c r="G12" s="44">
        <v>727.28</v>
      </c>
      <c r="H12" s="121">
        <f>G12/G8</f>
        <v>0.1530097871731648</v>
      </c>
      <c r="I12" s="47">
        <f>H12*I8</f>
        <v>557.2249225357447</v>
      </c>
      <c r="J12" s="48"/>
      <c r="K12" s="44">
        <v>727.28</v>
      </c>
      <c r="L12" s="121">
        <f>K12/K8</f>
        <v>0.1530097871731648</v>
      </c>
      <c r="M12" s="47">
        <f>L12*M8</f>
        <v>370.9202056736992</v>
      </c>
      <c r="N12" s="48"/>
      <c r="O12" s="44">
        <v>727.28</v>
      </c>
      <c r="P12" s="121">
        <f>O12/O8</f>
        <v>0.1530097871731648</v>
      </c>
      <c r="Q12" s="47">
        <f>P12*Q8</f>
        <v>657.3545272618636</v>
      </c>
      <c r="R12" s="48"/>
      <c r="S12" s="103">
        <f t="shared" si="0"/>
        <v>2909.12</v>
      </c>
      <c r="T12" s="103">
        <f t="shared" si="1"/>
        <v>1585.4996554713075</v>
      </c>
      <c r="U12" s="103">
        <v>3140.84</v>
      </c>
      <c r="V12" s="266" t="s">
        <v>154</v>
      </c>
      <c r="W12" s="50"/>
      <c r="X12" s="153"/>
    </row>
    <row r="13" spans="1:24" s="11" customFormat="1" ht="15.75" thickBot="1">
      <c r="A13" s="91" t="s">
        <v>110</v>
      </c>
      <c r="B13" s="119">
        <f>1.82+1.61</f>
        <v>3.43</v>
      </c>
      <c r="C13" s="67">
        <f>C8-C9-C10-C11-C12</f>
        <v>931.0559999999996</v>
      </c>
      <c r="D13" s="122">
        <f>C13/C8</f>
        <v>0.20919551076808998</v>
      </c>
      <c r="E13" s="70">
        <f>D13*E8</f>
        <v>0</v>
      </c>
      <c r="F13" s="69"/>
      <c r="G13" s="67">
        <f>B13*B5-0.01</f>
        <v>1043.739</v>
      </c>
      <c r="H13" s="122">
        <f>G13/G8</f>
        <v>0.21958844221528417</v>
      </c>
      <c r="I13" s="70">
        <f>H13*I8</f>
        <v>799.6884053219334</v>
      </c>
      <c r="J13" s="71"/>
      <c r="K13" s="67">
        <f>B13*B5-0.01</f>
        <v>1043.739</v>
      </c>
      <c r="L13" s="122">
        <f>K13/K8</f>
        <v>0.21958844221528417</v>
      </c>
      <c r="M13" s="70">
        <f>L13*M8</f>
        <v>532.3175180806032</v>
      </c>
      <c r="N13" s="71"/>
      <c r="O13" s="67">
        <f>B13*B5-0.01</f>
        <v>1043.739</v>
      </c>
      <c r="P13" s="122">
        <f>O13/O8</f>
        <v>0.21958844221528417</v>
      </c>
      <c r="Q13" s="70">
        <f>P13*Q8</f>
        <v>943.3870819076152</v>
      </c>
      <c r="R13" s="71"/>
      <c r="S13" s="104">
        <f t="shared" si="0"/>
        <v>4062.2729999999997</v>
      </c>
      <c r="T13" s="104">
        <f t="shared" si="1"/>
        <v>2275.3930053101517</v>
      </c>
      <c r="U13" s="104">
        <v>0</v>
      </c>
      <c r="V13" s="106"/>
      <c r="W13" s="50"/>
      <c r="X13" s="153"/>
    </row>
    <row r="14" spans="1:22" ht="15.75" thickBot="1">
      <c r="A14" s="92" t="s">
        <v>96</v>
      </c>
      <c r="B14" s="113"/>
      <c r="C14" s="73">
        <v>22.75</v>
      </c>
      <c r="D14" s="75"/>
      <c r="E14" s="74">
        <v>0</v>
      </c>
      <c r="F14" s="75"/>
      <c r="G14" s="73">
        <v>22.75</v>
      </c>
      <c r="H14" s="75"/>
      <c r="I14" s="76">
        <v>0</v>
      </c>
      <c r="J14" s="77"/>
      <c r="K14" s="73">
        <v>22.75</v>
      </c>
      <c r="L14" s="75"/>
      <c r="M14" s="76">
        <v>0</v>
      </c>
      <c r="N14" s="77"/>
      <c r="O14" s="73">
        <v>22.75</v>
      </c>
      <c r="P14" s="75"/>
      <c r="Q14" s="76">
        <v>0</v>
      </c>
      <c r="R14" s="77"/>
      <c r="S14" s="105">
        <f t="shared" si="0"/>
        <v>91</v>
      </c>
      <c r="T14" s="105">
        <f t="shared" si="1"/>
        <v>0</v>
      </c>
      <c r="U14" s="105">
        <v>0</v>
      </c>
      <c r="V14" s="105"/>
    </row>
    <row r="15" spans="1:22" ht="15">
      <c r="A15" s="93" t="s">
        <v>97</v>
      </c>
      <c r="B15" s="114"/>
      <c r="C15" s="59">
        <v>0</v>
      </c>
      <c r="D15" s="61"/>
      <c r="E15" s="60">
        <v>0</v>
      </c>
      <c r="F15" s="61"/>
      <c r="G15" s="59">
        <v>0</v>
      </c>
      <c r="H15" s="61"/>
      <c r="I15" s="62">
        <v>0</v>
      </c>
      <c r="J15" s="63"/>
      <c r="K15" s="59">
        <v>980.06</v>
      </c>
      <c r="L15" s="61"/>
      <c r="M15" s="62">
        <v>162.62</v>
      </c>
      <c r="N15" s="63"/>
      <c r="O15" s="59">
        <v>4327.24</v>
      </c>
      <c r="P15" s="61"/>
      <c r="Q15" s="62">
        <v>324.63</v>
      </c>
      <c r="R15" s="63"/>
      <c r="S15" s="102">
        <f t="shared" si="0"/>
        <v>5307.299999999999</v>
      </c>
      <c r="T15" s="102">
        <f t="shared" si="1"/>
        <v>487.25</v>
      </c>
      <c r="U15" s="102">
        <v>7027.68</v>
      </c>
      <c r="V15" s="267" t="s">
        <v>155</v>
      </c>
    </row>
    <row r="16" spans="1:22" ht="15.75" thickBot="1">
      <c r="A16" s="94" t="s">
        <v>98</v>
      </c>
      <c r="B16" s="115"/>
      <c r="C16" s="67">
        <v>0</v>
      </c>
      <c r="D16" s="69"/>
      <c r="E16" s="68">
        <v>0</v>
      </c>
      <c r="F16" s="69"/>
      <c r="G16" s="67">
        <v>0</v>
      </c>
      <c r="H16" s="69"/>
      <c r="I16" s="70">
        <v>0</v>
      </c>
      <c r="J16" s="71"/>
      <c r="K16" s="67">
        <v>2396.65</v>
      </c>
      <c r="L16" s="69"/>
      <c r="M16" s="70">
        <v>397.65</v>
      </c>
      <c r="N16" s="71"/>
      <c r="O16" s="67">
        <v>10582.11</v>
      </c>
      <c r="P16" s="69"/>
      <c r="Q16" s="70">
        <v>793.85</v>
      </c>
      <c r="R16" s="71"/>
      <c r="S16" s="106">
        <f t="shared" si="0"/>
        <v>12978.76</v>
      </c>
      <c r="T16" s="106">
        <f t="shared" si="1"/>
        <v>1191.5</v>
      </c>
      <c r="U16" s="106">
        <v>17136.3</v>
      </c>
      <c r="V16" s="106" t="s">
        <v>155</v>
      </c>
    </row>
    <row r="17" spans="1:22" ht="15.75" thickBot="1">
      <c r="A17" s="92" t="s">
        <v>6</v>
      </c>
      <c r="B17" s="113"/>
      <c r="C17" s="73">
        <v>0</v>
      </c>
      <c r="D17" s="75"/>
      <c r="E17" s="74">
        <v>0</v>
      </c>
      <c r="F17" s="75"/>
      <c r="G17" s="73">
        <v>0</v>
      </c>
      <c r="H17" s="75"/>
      <c r="I17" s="76">
        <v>0</v>
      </c>
      <c r="J17" s="77"/>
      <c r="K17" s="73">
        <v>10646</v>
      </c>
      <c r="L17" s="75"/>
      <c r="M17" s="76">
        <v>2536.56</v>
      </c>
      <c r="N17" s="77"/>
      <c r="O17" s="73">
        <v>25195.56</v>
      </c>
      <c r="P17" s="75"/>
      <c r="Q17" s="76">
        <v>4647.47</v>
      </c>
      <c r="R17" s="77"/>
      <c r="S17" s="105">
        <f t="shared" si="0"/>
        <v>35841.56</v>
      </c>
      <c r="T17" s="105">
        <f t="shared" si="1"/>
        <v>7184.030000000001</v>
      </c>
      <c r="U17" s="105">
        <v>24760.93</v>
      </c>
      <c r="V17" s="102" t="s">
        <v>155</v>
      </c>
    </row>
    <row r="18" spans="1:22" ht="15.75" thickBot="1">
      <c r="A18" s="93" t="s">
        <v>99</v>
      </c>
      <c r="B18" s="113"/>
      <c r="C18" s="59">
        <v>391.68</v>
      </c>
      <c r="D18" s="75"/>
      <c r="E18" s="60">
        <v>0</v>
      </c>
      <c r="F18" s="61"/>
      <c r="G18" s="59">
        <v>391.68</v>
      </c>
      <c r="H18" s="75"/>
      <c r="I18" s="62">
        <v>228.48</v>
      </c>
      <c r="J18" s="63"/>
      <c r="K18" s="59">
        <v>391.68</v>
      </c>
      <c r="L18" s="61"/>
      <c r="M18" s="62">
        <v>105.48</v>
      </c>
      <c r="N18" s="63"/>
      <c r="O18" s="59">
        <v>1018.52</v>
      </c>
      <c r="P18" s="61"/>
      <c r="Q18" s="62">
        <v>250.94</v>
      </c>
      <c r="R18" s="63"/>
      <c r="S18" s="102">
        <f>C18+G18+K18+O18+S19</f>
        <v>3013.7</v>
      </c>
      <c r="T18" s="102">
        <f>E18+I18+M18+Q18+T19</f>
        <v>1322.0099999999998</v>
      </c>
      <c r="U18" s="102">
        <f>S18</f>
        <v>3013.7</v>
      </c>
      <c r="V18" s="105" t="s">
        <v>157</v>
      </c>
    </row>
    <row r="19" spans="1:22" ht="15.75" hidden="1" thickBot="1">
      <c r="A19" s="94" t="s">
        <v>101</v>
      </c>
      <c r="B19" s="113"/>
      <c r="C19" s="67">
        <v>32.64</v>
      </c>
      <c r="D19" s="75"/>
      <c r="E19" s="68">
        <v>0</v>
      </c>
      <c r="F19" s="69"/>
      <c r="G19" s="67">
        <v>669.98</v>
      </c>
      <c r="H19" s="75"/>
      <c r="I19" s="70">
        <v>143.19</v>
      </c>
      <c r="J19" s="71"/>
      <c r="K19" s="67">
        <v>32.64</v>
      </c>
      <c r="L19" s="69"/>
      <c r="M19" s="70">
        <v>320.39</v>
      </c>
      <c r="N19" s="71"/>
      <c r="O19" s="67">
        <v>84.88</v>
      </c>
      <c r="P19" s="69"/>
      <c r="Q19" s="70">
        <v>273.53</v>
      </c>
      <c r="R19" s="71"/>
      <c r="S19" s="106">
        <f t="shared" si="0"/>
        <v>820.14</v>
      </c>
      <c r="T19" s="106">
        <f>E19+I19+M19+Q19</f>
        <v>737.1099999999999</v>
      </c>
      <c r="U19" s="106"/>
      <c r="V19" s="106"/>
    </row>
    <row r="20" spans="1:22" ht="15.75" thickBot="1">
      <c r="A20" s="92" t="s">
        <v>100</v>
      </c>
      <c r="B20" s="249"/>
      <c r="C20" s="73">
        <v>752.75</v>
      </c>
      <c r="D20" s="283"/>
      <c r="E20" s="74">
        <v>0</v>
      </c>
      <c r="F20" s="75"/>
      <c r="G20" s="73">
        <v>752.75</v>
      </c>
      <c r="H20" s="283"/>
      <c r="I20" s="76">
        <v>439.11</v>
      </c>
      <c r="J20" s="77"/>
      <c r="K20" s="73">
        <v>752.75</v>
      </c>
      <c r="L20" s="75"/>
      <c r="M20" s="76">
        <v>202.72</v>
      </c>
      <c r="N20" s="77"/>
      <c r="O20" s="73">
        <v>2473</v>
      </c>
      <c r="P20" s="75"/>
      <c r="Q20" s="76">
        <v>482.27</v>
      </c>
      <c r="R20" s="77"/>
      <c r="S20" s="105">
        <f>C20+G20+K20+O20+S21</f>
        <v>6318.36</v>
      </c>
      <c r="T20" s="105">
        <f>E20+I20+M20+Q20+T21</f>
        <v>2508.6</v>
      </c>
      <c r="U20" s="105">
        <f>S20</f>
        <v>6318.36</v>
      </c>
      <c r="V20" s="105" t="s">
        <v>157</v>
      </c>
    </row>
    <row r="21" spans="1:22" ht="15.75" hidden="1" thickBot="1">
      <c r="A21" s="276" t="s">
        <v>102</v>
      </c>
      <c r="B21" s="127"/>
      <c r="C21" s="277">
        <v>62.73</v>
      </c>
      <c r="D21" s="127"/>
      <c r="E21" s="278">
        <v>0</v>
      </c>
      <c r="F21" s="279"/>
      <c r="G21" s="277">
        <v>1255.57</v>
      </c>
      <c r="H21" s="127"/>
      <c r="I21" s="280">
        <v>268.65</v>
      </c>
      <c r="J21" s="281"/>
      <c r="K21" s="277">
        <v>62.73</v>
      </c>
      <c r="L21" s="279"/>
      <c r="M21" s="280">
        <v>601.94</v>
      </c>
      <c r="N21" s="281"/>
      <c r="O21" s="277">
        <v>206.08</v>
      </c>
      <c r="P21" s="279"/>
      <c r="Q21" s="280">
        <v>513.91</v>
      </c>
      <c r="R21" s="281"/>
      <c r="S21" s="134">
        <f t="shared" si="0"/>
        <v>1587.11</v>
      </c>
      <c r="T21" s="134">
        <f>E21+I21+M21+Q21</f>
        <v>1384.5</v>
      </c>
      <c r="U21" s="134"/>
      <c r="V21" s="134"/>
    </row>
    <row r="22" spans="1:22" ht="15.75" thickBot="1">
      <c r="A22" s="125"/>
      <c r="B22" s="87"/>
      <c r="C22" s="54"/>
      <c r="D22" s="87"/>
      <c r="E22" s="55"/>
      <c r="F22" s="56"/>
      <c r="G22" s="54"/>
      <c r="H22" s="87"/>
      <c r="I22" s="57"/>
      <c r="J22" s="58"/>
      <c r="K22" s="54"/>
      <c r="L22" s="56"/>
      <c r="M22" s="57"/>
      <c r="N22" s="58"/>
      <c r="O22" s="54"/>
      <c r="P22" s="56"/>
      <c r="Q22" s="57"/>
      <c r="R22" s="58"/>
      <c r="S22" s="134">
        <f>SUM(S9:S21)-S19-S21</f>
        <v>82260.807</v>
      </c>
      <c r="T22" s="134">
        <f>SUM(T9:T21)-T19-T21</f>
        <v>23055.467819959773</v>
      </c>
      <c r="U22" s="134">
        <f>SUM(U9:U21)-U19-U21</f>
        <v>77198.84</v>
      </c>
      <c r="V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3">
      <selection activeCell="Q27" sqref="Q27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2" width="10.140625" style="32" hidden="1" customWidth="1"/>
    <col min="13" max="13" width="8.7109375" style="32" hidden="1" customWidth="1"/>
    <col min="14" max="14" width="10.140625" style="32" hidden="1" customWidth="1"/>
    <col min="15" max="15" width="10.140625" style="33" hidden="1" customWidth="1"/>
    <col min="16" max="17" width="16.00390625" style="34" customWidth="1"/>
    <col min="18" max="18" width="16.00390625" style="33" customWidth="1"/>
    <col min="19" max="19" width="24.00390625" style="34" customWidth="1"/>
    <col min="20" max="21" width="9.140625" style="32" customWidth="1"/>
  </cols>
  <sheetData>
    <row r="1" ht="15">
      <c r="A1" s="32" t="s">
        <v>115</v>
      </c>
    </row>
    <row r="3" ht="15">
      <c r="A3" s="32" t="s">
        <v>118</v>
      </c>
    </row>
    <row r="4" ht="15">
      <c r="A4" s="32" t="s">
        <v>116</v>
      </c>
    </row>
    <row r="5" ht="15">
      <c r="B5" s="32">
        <v>806.8</v>
      </c>
    </row>
    <row r="6" ht="15.75" thickBot="1"/>
    <row r="7" spans="1:21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109"/>
      <c r="N7" s="41" t="s">
        <v>95</v>
      </c>
      <c r="O7" s="42" t="s">
        <v>114</v>
      </c>
      <c r="P7" s="37" t="s">
        <v>159</v>
      </c>
      <c r="Q7" s="37" t="s">
        <v>137</v>
      </c>
      <c r="R7" s="37" t="s">
        <v>138</v>
      </c>
      <c r="S7" s="37"/>
      <c r="T7" s="43"/>
      <c r="U7" s="43"/>
    </row>
    <row r="8" spans="1:19" ht="15">
      <c r="A8" s="80" t="s">
        <v>139</v>
      </c>
      <c r="B8" s="116" t="s">
        <v>142</v>
      </c>
      <c r="C8" s="59">
        <v>1928.25</v>
      </c>
      <c r="D8" s="60">
        <v>0</v>
      </c>
      <c r="E8" s="61"/>
      <c r="F8" s="59">
        <v>1928.25</v>
      </c>
      <c r="G8" s="62">
        <v>382.24</v>
      </c>
      <c r="H8" s="63"/>
      <c r="I8" s="59">
        <v>1928.25</v>
      </c>
      <c r="J8" s="62">
        <v>375.98</v>
      </c>
      <c r="K8" s="63"/>
      <c r="L8" s="59">
        <v>14377.18</v>
      </c>
      <c r="M8" s="120">
        <v>1</v>
      </c>
      <c r="N8" s="62">
        <v>8342.49</v>
      </c>
      <c r="O8" s="63"/>
      <c r="P8" s="102">
        <f aca="true" t="shared" si="0" ref="P8:P21">C8+F8+I8+L8</f>
        <v>20161.93</v>
      </c>
      <c r="Q8" s="102">
        <f aca="true" t="shared" si="1" ref="Q8:Q21">D8+G8+J8+N8</f>
        <v>9100.71</v>
      </c>
      <c r="R8" s="102">
        <f>SUM(R9:R13)</f>
        <v>20776.27</v>
      </c>
      <c r="S8" s="102"/>
    </row>
    <row r="9" spans="1:21" s="11" customFormat="1" ht="15">
      <c r="A9" s="52" t="s">
        <v>105</v>
      </c>
      <c r="B9" s="117" t="s">
        <v>141</v>
      </c>
      <c r="C9" s="44"/>
      <c r="D9" s="45"/>
      <c r="E9" s="46"/>
      <c r="F9" s="44"/>
      <c r="G9" s="47"/>
      <c r="H9" s="48"/>
      <c r="I9" s="44"/>
      <c r="J9" s="47"/>
      <c r="K9" s="48"/>
      <c r="L9" s="44">
        <f>B9*B5</f>
        <v>3162.656</v>
      </c>
      <c r="M9" s="121">
        <f>L9/L8</f>
        <v>0.21997749210902276</v>
      </c>
      <c r="N9" s="47">
        <f>M9*N8</f>
        <v>1835.1600281446013</v>
      </c>
      <c r="O9" s="48"/>
      <c r="P9" s="103">
        <f t="shared" si="0"/>
        <v>3162.656</v>
      </c>
      <c r="Q9" s="103">
        <f t="shared" si="1"/>
        <v>1835.1600281446013</v>
      </c>
      <c r="R9" s="103">
        <v>6324.62</v>
      </c>
      <c r="S9" s="266" t="s">
        <v>156</v>
      </c>
      <c r="T9" s="50"/>
      <c r="U9" s="50"/>
    </row>
    <row r="10" spans="1:21" s="11" customFormat="1" ht="23.25">
      <c r="A10" s="137" t="s">
        <v>146</v>
      </c>
      <c r="B10" s="118" t="s">
        <v>143</v>
      </c>
      <c r="C10" s="44"/>
      <c r="D10" s="45"/>
      <c r="E10" s="46"/>
      <c r="F10" s="44"/>
      <c r="G10" s="47"/>
      <c r="H10" s="48"/>
      <c r="I10" s="44"/>
      <c r="J10" s="47"/>
      <c r="K10" s="48"/>
      <c r="L10" s="44">
        <f>B10*B5</f>
        <v>1516.7839999999999</v>
      </c>
      <c r="M10" s="121">
        <f>L10/L8</f>
        <v>0.10549940948085784</v>
      </c>
      <c r="N10" s="47">
        <f>M10*N8</f>
        <v>880.1277685999618</v>
      </c>
      <c r="O10" s="48"/>
      <c r="P10" s="103">
        <f t="shared" si="0"/>
        <v>1516.7839999999999</v>
      </c>
      <c r="Q10" s="103">
        <f t="shared" si="1"/>
        <v>880.1277685999618</v>
      </c>
      <c r="R10" s="103">
        <f>6124.3*30%</f>
        <v>1837.29</v>
      </c>
      <c r="S10" s="266" t="s">
        <v>156</v>
      </c>
      <c r="T10" s="50"/>
      <c r="U10" s="50"/>
    </row>
    <row r="11" spans="1:21" s="11" customFormat="1" ht="15">
      <c r="A11" s="137" t="s">
        <v>107</v>
      </c>
      <c r="B11" s="118" t="s">
        <v>144</v>
      </c>
      <c r="C11" s="44"/>
      <c r="D11" s="45"/>
      <c r="E11" s="46"/>
      <c r="F11" s="44"/>
      <c r="G11" s="47"/>
      <c r="H11" s="48"/>
      <c r="I11" s="44"/>
      <c r="J11" s="47"/>
      <c r="K11" s="48"/>
      <c r="L11" s="44">
        <f>B11*B5</f>
        <v>3509.5799999999995</v>
      </c>
      <c r="M11" s="121">
        <f>L11/L8</f>
        <v>0.24410767619241044</v>
      </c>
      <c r="N11" s="47">
        <f>M11*N8</f>
        <v>2036.4658475584222</v>
      </c>
      <c r="O11" s="48"/>
      <c r="P11" s="103">
        <f t="shared" si="0"/>
        <v>3509.5799999999995</v>
      </c>
      <c r="Q11" s="103">
        <f t="shared" si="1"/>
        <v>2036.4658475584222</v>
      </c>
      <c r="R11" s="103">
        <f>6124.3-R10</f>
        <v>4287.01</v>
      </c>
      <c r="S11" s="266" t="s">
        <v>156</v>
      </c>
      <c r="T11" s="50"/>
      <c r="U11" s="50"/>
    </row>
    <row r="12" spans="1:21" s="11" customFormat="1" ht="15">
      <c r="A12" s="137" t="s">
        <v>108</v>
      </c>
      <c r="B12" s="118" t="s">
        <v>145</v>
      </c>
      <c r="C12" s="44">
        <v>1928.25</v>
      </c>
      <c r="D12" s="45">
        <v>0</v>
      </c>
      <c r="E12" s="46"/>
      <c r="F12" s="44">
        <v>1928.25</v>
      </c>
      <c r="G12" s="47">
        <v>382.24</v>
      </c>
      <c r="H12" s="48"/>
      <c r="I12" s="44">
        <v>1928.25</v>
      </c>
      <c r="J12" s="47">
        <v>375.98</v>
      </c>
      <c r="K12" s="48"/>
      <c r="L12" s="44">
        <v>1928.25</v>
      </c>
      <c r="M12" s="121">
        <f>L12/L8</f>
        <v>0.13411879102856053</v>
      </c>
      <c r="N12" s="47">
        <f>M12*N8</f>
        <v>1118.884672967856</v>
      </c>
      <c r="O12" s="48"/>
      <c r="P12" s="103">
        <f t="shared" si="0"/>
        <v>7713</v>
      </c>
      <c r="Q12" s="103">
        <f t="shared" si="1"/>
        <v>1877.104672967856</v>
      </c>
      <c r="R12" s="103">
        <v>8327.35</v>
      </c>
      <c r="S12" s="266" t="s">
        <v>154</v>
      </c>
      <c r="T12" s="50"/>
      <c r="U12" s="50"/>
    </row>
    <row r="13" spans="1:21" s="11" customFormat="1" ht="15.75" thickBot="1">
      <c r="A13" s="141" t="s">
        <v>110</v>
      </c>
      <c r="B13" s="119">
        <f>B8-B9-B10-B11-B12</f>
        <v>5.279999999999999</v>
      </c>
      <c r="C13" s="67"/>
      <c r="D13" s="68"/>
      <c r="E13" s="69"/>
      <c r="F13" s="67"/>
      <c r="G13" s="70"/>
      <c r="H13" s="71"/>
      <c r="I13" s="67"/>
      <c r="J13" s="70"/>
      <c r="K13" s="71"/>
      <c r="L13" s="67">
        <f>B13*B5+0.01</f>
        <v>4259.914</v>
      </c>
      <c r="M13" s="122">
        <f>L13/L8</f>
        <v>0.29629690940782544</v>
      </c>
      <c r="N13" s="70">
        <f>M13*N8</f>
        <v>2471.8540037656894</v>
      </c>
      <c r="O13" s="71"/>
      <c r="P13" s="104">
        <f t="shared" si="0"/>
        <v>4259.914</v>
      </c>
      <c r="Q13" s="104">
        <f t="shared" si="1"/>
        <v>2471.8540037656894</v>
      </c>
      <c r="R13" s="104">
        <v>0</v>
      </c>
      <c r="S13" s="106"/>
      <c r="T13" s="50"/>
      <c r="U13" s="50"/>
    </row>
    <row r="14" spans="1:19" ht="15.75" thickBot="1">
      <c r="A14" s="72" t="s">
        <v>96</v>
      </c>
      <c r="B14" s="113"/>
      <c r="C14" s="73">
        <v>146.12</v>
      </c>
      <c r="D14" s="74">
        <v>0</v>
      </c>
      <c r="E14" s="75"/>
      <c r="F14" s="73">
        <v>146.12</v>
      </c>
      <c r="G14" s="76">
        <v>0</v>
      </c>
      <c r="H14" s="77"/>
      <c r="I14" s="73">
        <v>146.12</v>
      </c>
      <c r="J14" s="76">
        <v>43.18</v>
      </c>
      <c r="K14" s="77"/>
      <c r="L14" s="73">
        <v>146.12</v>
      </c>
      <c r="M14" s="75"/>
      <c r="N14" s="76">
        <v>267.23</v>
      </c>
      <c r="O14" s="77"/>
      <c r="P14" s="105">
        <f t="shared" si="0"/>
        <v>584.48</v>
      </c>
      <c r="Q14" s="105">
        <f t="shared" si="1"/>
        <v>310.41</v>
      </c>
      <c r="R14" s="105">
        <v>0</v>
      </c>
      <c r="S14" s="105"/>
    </row>
    <row r="15" spans="1:19" ht="15">
      <c r="A15" s="80" t="s">
        <v>97</v>
      </c>
      <c r="B15" s="114"/>
      <c r="C15" s="59">
        <v>0</v>
      </c>
      <c r="D15" s="60">
        <v>0</v>
      </c>
      <c r="E15" s="61"/>
      <c r="F15" s="59">
        <v>0</v>
      </c>
      <c r="G15" s="62">
        <v>0</v>
      </c>
      <c r="H15" s="63"/>
      <c r="I15" s="59">
        <v>2401.66</v>
      </c>
      <c r="J15" s="62">
        <v>264.19</v>
      </c>
      <c r="K15" s="63"/>
      <c r="L15" s="59">
        <v>5454.43</v>
      </c>
      <c r="M15" s="61"/>
      <c r="N15" s="62">
        <v>3575.39</v>
      </c>
      <c r="O15" s="63"/>
      <c r="P15" s="102">
        <f t="shared" si="0"/>
        <v>7856.09</v>
      </c>
      <c r="Q15" s="102">
        <f t="shared" si="1"/>
        <v>3839.58</v>
      </c>
      <c r="R15" s="102">
        <v>9294.83</v>
      </c>
      <c r="S15" s="267" t="s">
        <v>155</v>
      </c>
    </row>
    <row r="16" spans="1:19" ht="15.75" thickBot="1">
      <c r="A16" s="81" t="s">
        <v>98</v>
      </c>
      <c r="B16" s="115"/>
      <c r="C16" s="67">
        <v>0</v>
      </c>
      <c r="D16" s="68">
        <v>0</v>
      </c>
      <c r="E16" s="69"/>
      <c r="F16" s="67">
        <v>0</v>
      </c>
      <c r="G16" s="70">
        <v>0</v>
      </c>
      <c r="H16" s="71"/>
      <c r="I16" s="67">
        <v>5736.28</v>
      </c>
      <c r="J16" s="70">
        <v>630.92</v>
      </c>
      <c r="K16" s="71"/>
      <c r="L16" s="67">
        <v>13027.69</v>
      </c>
      <c r="M16" s="69"/>
      <c r="N16" s="70">
        <v>8539.74</v>
      </c>
      <c r="O16" s="71"/>
      <c r="P16" s="106">
        <f t="shared" si="0"/>
        <v>18763.97</v>
      </c>
      <c r="Q16" s="106">
        <f t="shared" si="1"/>
        <v>9170.66</v>
      </c>
      <c r="R16" s="106">
        <v>22204.38</v>
      </c>
      <c r="S16" s="106" t="s">
        <v>155</v>
      </c>
    </row>
    <row r="17" spans="1:19" ht="15.75" thickBot="1">
      <c r="A17" s="72" t="s">
        <v>6</v>
      </c>
      <c r="B17" s="113"/>
      <c r="C17" s="73">
        <v>0</v>
      </c>
      <c r="D17" s="74">
        <v>0</v>
      </c>
      <c r="E17" s="75"/>
      <c r="F17" s="73">
        <v>0</v>
      </c>
      <c r="G17" s="76">
        <v>0</v>
      </c>
      <c r="H17" s="77"/>
      <c r="I17" s="73">
        <v>22789.06</v>
      </c>
      <c r="J17" s="76">
        <v>1666.24</v>
      </c>
      <c r="K17" s="77"/>
      <c r="L17" s="73">
        <v>52414.85</v>
      </c>
      <c r="M17" s="75"/>
      <c r="N17" s="76">
        <v>32922.44</v>
      </c>
      <c r="O17" s="77"/>
      <c r="P17" s="105">
        <f t="shared" si="0"/>
        <v>75203.91</v>
      </c>
      <c r="Q17" s="105">
        <f t="shared" si="1"/>
        <v>34588.68</v>
      </c>
      <c r="R17" s="105">
        <v>112112.81</v>
      </c>
      <c r="S17" s="102" t="s">
        <v>155</v>
      </c>
    </row>
    <row r="18" spans="1:19" ht="15.75" thickBot="1">
      <c r="A18" s="80" t="s">
        <v>99</v>
      </c>
      <c r="B18" s="113"/>
      <c r="C18" s="59">
        <v>1043.39</v>
      </c>
      <c r="D18" s="60">
        <v>0</v>
      </c>
      <c r="E18" s="61"/>
      <c r="F18" s="59">
        <v>1044.48</v>
      </c>
      <c r="G18" s="62">
        <v>228.5</v>
      </c>
      <c r="H18" s="63"/>
      <c r="I18" s="59">
        <v>1025.99</v>
      </c>
      <c r="J18" s="62">
        <v>299.9</v>
      </c>
      <c r="K18" s="63"/>
      <c r="L18" s="59">
        <v>2533.24</v>
      </c>
      <c r="M18" s="75"/>
      <c r="N18" s="62">
        <v>2923.9</v>
      </c>
      <c r="O18" s="63"/>
      <c r="P18" s="102">
        <f>C18+F18+I18+L18+P19</f>
        <v>5868.509999999999</v>
      </c>
      <c r="Q18" s="102">
        <f>D18+G18+J18+N18+Q19</f>
        <v>3639.0600000000004</v>
      </c>
      <c r="R18" s="102">
        <f>P18</f>
        <v>5868.509999999999</v>
      </c>
      <c r="S18" s="105" t="s">
        <v>157</v>
      </c>
    </row>
    <row r="19" spans="1:19" ht="15.75" hidden="1" thickBot="1">
      <c r="A19" s="81" t="s">
        <v>101</v>
      </c>
      <c r="B19" s="113"/>
      <c r="C19" s="67">
        <v>84.46</v>
      </c>
      <c r="D19" s="68">
        <v>0</v>
      </c>
      <c r="E19" s="69"/>
      <c r="F19" s="67">
        <v>39.03</v>
      </c>
      <c r="G19" s="70">
        <v>0</v>
      </c>
      <c r="H19" s="71"/>
      <c r="I19" s="67">
        <v>28.27</v>
      </c>
      <c r="J19" s="70">
        <v>0</v>
      </c>
      <c r="K19" s="71"/>
      <c r="L19" s="67">
        <v>69.65</v>
      </c>
      <c r="M19" s="75"/>
      <c r="N19" s="70">
        <v>186.76</v>
      </c>
      <c r="O19" s="71"/>
      <c r="P19" s="106">
        <f t="shared" si="0"/>
        <v>221.41</v>
      </c>
      <c r="Q19" s="106">
        <f t="shared" si="1"/>
        <v>186.76</v>
      </c>
      <c r="R19" s="106"/>
      <c r="S19" s="106"/>
    </row>
    <row r="20" spans="1:19" ht="15.75" thickBot="1">
      <c r="A20" s="72" t="s">
        <v>100</v>
      </c>
      <c r="B20" s="249"/>
      <c r="C20" s="73">
        <v>1239.63</v>
      </c>
      <c r="D20" s="74">
        <v>0</v>
      </c>
      <c r="E20" s="75"/>
      <c r="F20" s="73">
        <v>1240.78</v>
      </c>
      <c r="G20" s="76">
        <v>240.39</v>
      </c>
      <c r="H20" s="77"/>
      <c r="I20" s="73">
        <v>1205.23</v>
      </c>
      <c r="J20" s="76">
        <v>414.07</v>
      </c>
      <c r="K20" s="77"/>
      <c r="L20" s="73">
        <v>3860.46</v>
      </c>
      <c r="M20" s="283"/>
      <c r="N20" s="76">
        <v>3535.86</v>
      </c>
      <c r="O20" s="77"/>
      <c r="P20" s="105">
        <f>C20+F20+I20+L20+P21</f>
        <v>7986.4800000000005</v>
      </c>
      <c r="Q20" s="105">
        <f>D20+G20+J20+N20+Q21</f>
        <v>4540.679999999999</v>
      </c>
      <c r="R20" s="105">
        <f>P20</f>
        <v>7986.4800000000005</v>
      </c>
      <c r="S20" s="105" t="s">
        <v>157</v>
      </c>
    </row>
    <row r="21" spans="1:19" ht="15.75" hidden="1" thickBot="1">
      <c r="A21" s="284" t="s">
        <v>102</v>
      </c>
      <c r="B21" s="127"/>
      <c r="C21" s="277">
        <v>88.85</v>
      </c>
      <c r="D21" s="278">
        <v>0</v>
      </c>
      <c r="E21" s="279"/>
      <c r="F21" s="277">
        <v>56.92</v>
      </c>
      <c r="G21" s="280">
        <v>0</v>
      </c>
      <c r="H21" s="281"/>
      <c r="I21" s="277">
        <v>41.77</v>
      </c>
      <c r="J21" s="280">
        <v>0</v>
      </c>
      <c r="K21" s="281"/>
      <c r="L21" s="277">
        <v>252.84</v>
      </c>
      <c r="M21" s="127"/>
      <c r="N21" s="280">
        <v>350.36</v>
      </c>
      <c r="O21" s="281"/>
      <c r="P21" s="134">
        <f t="shared" si="0"/>
        <v>440.38</v>
      </c>
      <c r="Q21" s="134">
        <f t="shared" si="1"/>
        <v>350.36</v>
      </c>
      <c r="R21" s="134"/>
      <c r="S21" s="134"/>
    </row>
    <row r="22" spans="1:19" ht="15.75" thickBot="1">
      <c r="A22" s="84"/>
      <c r="B22" s="87"/>
      <c r="C22" s="54"/>
      <c r="D22" s="55"/>
      <c r="E22" s="56"/>
      <c r="F22" s="54"/>
      <c r="G22" s="57"/>
      <c r="H22" s="58"/>
      <c r="I22" s="54"/>
      <c r="J22" s="57"/>
      <c r="K22" s="58"/>
      <c r="L22" s="54"/>
      <c r="M22" s="87"/>
      <c r="N22" s="57"/>
      <c r="O22" s="58"/>
      <c r="P22" s="134">
        <f>P9+P10+P11+P12+P13+P14+P15+P16+P17+P18+P20</f>
        <v>136425.374</v>
      </c>
      <c r="Q22" s="134">
        <f>Q9+Q10+Q11+Q12+Q13+Q14+Q15+Q16+Q17+Q18+Q20</f>
        <v>65189.782321036524</v>
      </c>
      <c r="R22" s="134">
        <f>R9+R10+R11+R12+R13+R14+R15+R16+R17+R18+R20</f>
        <v>178243.28</v>
      </c>
      <c r="S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S30" sqref="S30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2" width="10.140625" style="32" hidden="1" customWidth="1"/>
    <col min="13" max="13" width="8.7109375" style="32" hidden="1" customWidth="1"/>
    <col min="14" max="14" width="10.140625" style="32" hidden="1" customWidth="1"/>
    <col min="15" max="15" width="10.140625" style="33" hidden="1" customWidth="1"/>
    <col min="16" max="17" width="16.00390625" style="34" customWidth="1"/>
    <col min="18" max="18" width="16.00390625" style="33" customWidth="1"/>
    <col min="19" max="19" width="24.8515625" style="34" customWidth="1"/>
    <col min="20" max="21" width="9.140625" style="32" customWidth="1"/>
  </cols>
  <sheetData>
    <row r="1" ht="15">
      <c r="A1" s="32" t="s">
        <v>115</v>
      </c>
    </row>
    <row r="3" ht="15">
      <c r="A3" s="32" t="s">
        <v>119</v>
      </c>
    </row>
    <row r="4" ht="15">
      <c r="A4" s="32" t="s">
        <v>116</v>
      </c>
    </row>
    <row r="5" ht="15">
      <c r="B5" s="32">
        <v>806.6</v>
      </c>
    </row>
    <row r="6" ht="15.75" thickBot="1"/>
    <row r="7" spans="1:21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109"/>
      <c r="N7" s="41" t="s">
        <v>95</v>
      </c>
      <c r="O7" s="42" t="s">
        <v>114</v>
      </c>
      <c r="P7" s="37" t="s">
        <v>159</v>
      </c>
      <c r="Q7" s="37" t="s">
        <v>137</v>
      </c>
      <c r="R7" s="37" t="s">
        <v>138</v>
      </c>
      <c r="S7" s="37"/>
      <c r="T7" s="43"/>
      <c r="U7" s="43"/>
    </row>
    <row r="8" spans="1:19" ht="15">
      <c r="A8" s="93" t="s">
        <v>139</v>
      </c>
      <c r="B8" s="116" t="s">
        <v>142</v>
      </c>
      <c r="C8" s="59">
        <v>1927.78</v>
      </c>
      <c r="D8" s="60">
        <v>0</v>
      </c>
      <c r="E8" s="61"/>
      <c r="F8" s="59">
        <v>1927.78</v>
      </c>
      <c r="G8" s="62">
        <v>687.59</v>
      </c>
      <c r="H8" s="63"/>
      <c r="I8" s="59">
        <v>1927.78</v>
      </c>
      <c r="J8" s="62">
        <v>118.25</v>
      </c>
      <c r="K8" s="63"/>
      <c r="L8" s="59">
        <v>14373.61</v>
      </c>
      <c r="M8" s="120">
        <v>1</v>
      </c>
      <c r="N8" s="62">
        <v>3607.97</v>
      </c>
      <c r="O8" s="63"/>
      <c r="P8" s="102">
        <f aca="true" t="shared" si="0" ref="P8:P21">C8+F8+I8+L8</f>
        <v>20156.95</v>
      </c>
      <c r="Q8" s="102">
        <f aca="true" t="shared" si="1" ref="Q8:Q21">D8+G8+J8+N8</f>
        <v>4413.8099999999995</v>
      </c>
      <c r="R8" s="102">
        <f>SUM(R9:R13)</f>
        <v>20771.15</v>
      </c>
      <c r="S8" s="98"/>
    </row>
    <row r="9" spans="1:21" s="11" customFormat="1" ht="15">
      <c r="A9" s="49" t="s">
        <v>105</v>
      </c>
      <c r="B9" s="117" t="s">
        <v>141</v>
      </c>
      <c r="C9" s="44"/>
      <c r="D9" s="45"/>
      <c r="E9" s="46"/>
      <c r="F9" s="44"/>
      <c r="G9" s="47"/>
      <c r="H9" s="48"/>
      <c r="I9" s="44"/>
      <c r="J9" s="47"/>
      <c r="K9" s="48"/>
      <c r="L9" s="44">
        <f>B9*B5</f>
        <v>3161.872</v>
      </c>
      <c r="M9" s="121">
        <f>L9/L8</f>
        <v>0.21997758391941896</v>
      </c>
      <c r="N9" s="47">
        <f>M9*N8</f>
        <v>793.672523453746</v>
      </c>
      <c r="O9" s="48"/>
      <c r="P9" s="266">
        <f t="shared" si="0"/>
        <v>3161.872</v>
      </c>
      <c r="Q9" s="266">
        <f t="shared" si="1"/>
        <v>793.672523453746</v>
      </c>
      <c r="R9" s="103">
        <v>6323.05</v>
      </c>
      <c r="S9" s="266" t="s">
        <v>156</v>
      </c>
      <c r="T9" s="50"/>
      <c r="U9" s="50"/>
    </row>
    <row r="10" spans="1:21" s="11" customFormat="1" ht="24.75" customHeight="1">
      <c r="A10" s="51" t="s">
        <v>146</v>
      </c>
      <c r="B10" s="118" t="s">
        <v>143</v>
      </c>
      <c r="C10" s="44"/>
      <c r="D10" s="45"/>
      <c r="E10" s="46"/>
      <c r="F10" s="44"/>
      <c r="G10" s="47"/>
      <c r="H10" s="48"/>
      <c r="I10" s="44"/>
      <c r="J10" s="47"/>
      <c r="K10" s="48"/>
      <c r="L10" s="44">
        <f>B10*B5</f>
        <v>1516.408</v>
      </c>
      <c r="M10" s="121">
        <f>L10/L8</f>
        <v>0.1054994535123744</v>
      </c>
      <c r="N10" s="47">
        <f>M10*N8</f>
        <v>380.63886328904147</v>
      </c>
      <c r="O10" s="48"/>
      <c r="P10" s="266">
        <f t="shared" si="0"/>
        <v>1516.408</v>
      </c>
      <c r="Q10" s="266">
        <f t="shared" si="1"/>
        <v>380.63886328904147</v>
      </c>
      <c r="R10" s="103">
        <f>6122.78*30%</f>
        <v>1836.8339999999998</v>
      </c>
      <c r="S10" s="266" t="s">
        <v>156</v>
      </c>
      <c r="T10" s="50"/>
      <c r="U10" s="50"/>
    </row>
    <row r="11" spans="1:21" s="11" customFormat="1" ht="15">
      <c r="A11" s="51" t="s">
        <v>107</v>
      </c>
      <c r="B11" s="118" t="s">
        <v>144</v>
      </c>
      <c r="C11" s="44"/>
      <c r="D11" s="45"/>
      <c r="E11" s="46"/>
      <c r="F11" s="44"/>
      <c r="G11" s="47"/>
      <c r="H11" s="48"/>
      <c r="I11" s="44"/>
      <c r="J11" s="47"/>
      <c r="K11" s="48"/>
      <c r="L11" s="44">
        <f>B11*B5</f>
        <v>3508.71</v>
      </c>
      <c r="M11" s="121">
        <f>L11/L8</f>
        <v>0.24410777807384504</v>
      </c>
      <c r="N11" s="47">
        <f>M11*N8</f>
        <v>880.7335400570906</v>
      </c>
      <c r="O11" s="48"/>
      <c r="P11" s="266">
        <f t="shared" si="0"/>
        <v>3508.71</v>
      </c>
      <c r="Q11" s="266">
        <f t="shared" si="1"/>
        <v>880.7335400570906</v>
      </c>
      <c r="R11" s="103">
        <f>6122.78-R10</f>
        <v>4285.946</v>
      </c>
      <c r="S11" s="266" t="s">
        <v>156</v>
      </c>
      <c r="T11" s="50"/>
      <c r="U11" s="50"/>
    </row>
    <row r="12" spans="1:21" s="11" customFormat="1" ht="15">
      <c r="A12" s="51" t="s">
        <v>108</v>
      </c>
      <c r="B12" s="118" t="s">
        <v>145</v>
      </c>
      <c r="C12" s="44">
        <v>1927.78</v>
      </c>
      <c r="D12" s="45">
        <v>0</v>
      </c>
      <c r="E12" s="46"/>
      <c r="F12" s="44">
        <v>1927.78</v>
      </c>
      <c r="G12" s="47">
        <v>687.59</v>
      </c>
      <c r="H12" s="48"/>
      <c r="I12" s="44">
        <v>1927.78</v>
      </c>
      <c r="J12" s="47">
        <v>118.25</v>
      </c>
      <c r="K12" s="48"/>
      <c r="L12" s="44">
        <v>1927.78</v>
      </c>
      <c r="M12" s="121">
        <f>L12/L8</f>
        <v>0.13411940354580373</v>
      </c>
      <c r="N12" s="47">
        <f>M12*N8</f>
        <v>483.8987844111535</v>
      </c>
      <c r="O12" s="48"/>
      <c r="P12" s="266">
        <f t="shared" si="0"/>
        <v>7711.12</v>
      </c>
      <c r="Q12" s="266">
        <f t="shared" si="1"/>
        <v>1289.7387844111536</v>
      </c>
      <c r="R12" s="103">
        <v>8325.32</v>
      </c>
      <c r="S12" s="266" t="s">
        <v>154</v>
      </c>
      <c r="T12" s="50"/>
      <c r="U12" s="50"/>
    </row>
    <row r="13" spans="1:21" s="11" customFormat="1" ht="15.75" thickBot="1">
      <c r="A13" s="66" t="s">
        <v>110</v>
      </c>
      <c r="B13" s="119">
        <f>B8-B9-B10-B11-B12</f>
        <v>5.279999999999999</v>
      </c>
      <c r="C13" s="67"/>
      <c r="D13" s="68"/>
      <c r="E13" s="69"/>
      <c r="F13" s="67"/>
      <c r="G13" s="70"/>
      <c r="H13" s="71"/>
      <c r="I13" s="67"/>
      <c r="J13" s="70"/>
      <c r="K13" s="71"/>
      <c r="L13" s="67">
        <f>B13*B5-0.01</f>
        <v>4258.838</v>
      </c>
      <c r="M13" s="122">
        <f>L13/L8</f>
        <v>0.2962956418046684</v>
      </c>
      <c r="N13" s="70">
        <f>M13*N8</f>
        <v>1069.0257867619894</v>
      </c>
      <c r="O13" s="71"/>
      <c r="P13" s="106">
        <f t="shared" si="0"/>
        <v>4258.838</v>
      </c>
      <c r="Q13" s="106">
        <f t="shared" si="1"/>
        <v>1069.0257867619894</v>
      </c>
      <c r="R13" s="104">
        <v>0</v>
      </c>
      <c r="S13" s="100"/>
      <c r="T13" s="50"/>
      <c r="U13" s="50"/>
    </row>
    <row r="14" spans="1:19" ht="15.75" thickBot="1">
      <c r="A14" s="72" t="s">
        <v>96</v>
      </c>
      <c r="B14" s="113"/>
      <c r="C14" s="73">
        <v>240.65</v>
      </c>
      <c r="D14" s="74">
        <v>0</v>
      </c>
      <c r="E14" s="75"/>
      <c r="F14" s="73">
        <v>240.65</v>
      </c>
      <c r="G14" s="76">
        <v>156.52</v>
      </c>
      <c r="H14" s="77"/>
      <c r="I14" s="73">
        <v>240.65</v>
      </c>
      <c r="J14" s="76">
        <v>18.4</v>
      </c>
      <c r="K14" s="77"/>
      <c r="L14" s="73">
        <v>240.65</v>
      </c>
      <c r="M14" s="75"/>
      <c r="N14" s="76">
        <v>200.91</v>
      </c>
      <c r="O14" s="77"/>
      <c r="P14" s="105">
        <f t="shared" si="0"/>
        <v>962.6</v>
      </c>
      <c r="Q14" s="105">
        <f t="shared" si="1"/>
        <v>375.83000000000004</v>
      </c>
      <c r="R14" s="105">
        <v>0</v>
      </c>
      <c r="S14" s="99"/>
    </row>
    <row r="15" spans="1:19" ht="15">
      <c r="A15" s="80" t="s">
        <v>97</v>
      </c>
      <c r="B15" s="114"/>
      <c r="C15" s="59">
        <v>0</v>
      </c>
      <c r="D15" s="60">
        <v>0</v>
      </c>
      <c r="E15" s="61"/>
      <c r="F15" s="59">
        <v>0</v>
      </c>
      <c r="G15" s="62">
        <v>0</v>
      </c>
      <c r="H15" s="63"/>
      <c r="I15" s="59">
        <v>2468.83</v>
      </c>
      <c r="J15" s="62">
        <v>99.86</v>
      </c>
      <c r="K15" s="63"/>
      <c r="L15" s="59">
        <v>5325.99</v>
      </c>
      <c r="M15" s="61"/>
      <c r="N15" s="62">
        <v>1671.89</v>
      </c>
      <c r="O15" s="63"/>
      <c r="P15" s="102">
        <f t="shared" si="0"/>
        <v>7794.82</v>
      </c>
      <c r="Q15" s="102">
        <f t="shared" si="1"/>
        <v>1771.75</v>
      </c>
      <c r="R15" s="102">
        <v>9222.34</v>
      </c>
      <c r="S15" s="267" t="s">
        <v>155</v>
      </c>
    </row>
    <row r="16" spans="1:19" ht="15.75" thickBot="1">
      <c r="A16" s="81" t="s">
        <v>98</v>
      </c>
      <c r="B16" s="115"/>
      <c r="C16" s="67">
        <v>0</v>
      </c>
      <c r="D16" s="68">
        <v>0</v>
      </c>
      <c r="E16" s="69"/>
      <c r="F16" s="67">
        <v>0</v>
      </c>
      <c r="G16" s="70">
        <v>0</v>
      </c>
      <c r="H16" s="71"/>
      <c r="I16" s="67">
        <v>5896.69</v>
      </c>
      <c r="J16" s="70">
        <v>238.52</v>
      </c>
      <c r="K16" s="71"/>
      <c r="L16" s="67">
        <v>12720.84</v>
      </c>
      <c r="M16" s="69"/>
      <c r="N16" s="70">
        <v>3993.19</v>
      </c>
      <c r="O16" s="71"/>
      <c r="P16" s="106">
        <f t="shared" si="0"/>
        <v>18617.53</v>
      </c>
      <c r="Q16" s="106">
        <f t="shared" si="1"/>
        <v>4231.71</v>
      </c>
      <c r="R16" s="106">
        <v>22031.09</v>
      </c>
      <c r="S16" s="106" t="s">
        <v>155</v>
      </c>
    </row>
    <row r="17" spans="1:19" ht="15.75" thickBot="1">
      <c r="A17" s="72" t="s">
        <v>6</v>
      </c>
      <c r="B17" s="113"/>
      <c r="C17" s="73">
        <v>0</v>
      </c>
      <c r="D17" s="74">
        <v>0</v>
      </c>
      <c r="E17" s="75"/>
      <c r="F17" s="73">
        <v>0</v>
      </c>
      <c r="G17" s="76">
        <v>0</v>
      </c>
      <c r="H17" s="77"/>
      <c r="I17" s="73">
        <v>22783.4</v>
      </c>
      <c r="J17" s="76">
        <v>1238.02</v>
      </c>
      <c r="K17" s="77"/>
      <c r="L17" s="73">
        <v>51145.12</v>
      </c>
      <c r="M17" s="75"/>
      <c r="N17" s="76">
        <v>16487.81</v>
      </c>
      <c r="O17" s="77"/>
      <c r="P17" s="105">
        <f t="shared" si="0"/>
        <v>73928.52</v>
      </c>
      <c r="Q17" s="105">
        <f t="shared" si="1"/>
        <v>17725.83</v>
      </c>
      <c r="R17" s="105">
        <v>110211.48</v>
      </c>
      <c r="S17" s="102" t="s">
        <v>155</v>
      </c>
    </row>
    <row r="18" spans="1:19" ht="15.75" thickBot="1">
      <c r="A18" s="80" t="s">
        <v>99</v>
      </c>
      <c r="B18" s="113"/>
      <c r="C18" s="59">
        <v>1011.84</v>
      </c>
      <c r="D18" s="60">
        <v>0</v>
      </c>
      <c r="E18" s="61"/>
      <c r="F18" s="59">
        <v>1011.84</v>
      </c>
      <c r="G18" s="62">
        <v>407.34</v>
      </c>
      <c r="H18" s="63"/>
      <c r="I18" s="59">
        <v>1011.84</v>
      </c>
      <c r="J18" s="62">
        <v>42.37</v>
      </c>
      <c r="K18" s="63"/>
      <c r="L18" s="59">
        <v>2494.25</v>
      </c>
      <c r="M18" s="75"/>
      <c r="N18" s="62">
        <v>1193.46</v>
      </c>
      <c r="O18" s="63"/>
      <c r="P18" s="102">
        <f>C18+F18+I18+L18+P19</f>
        <v>5914.88</v>
      </c>
      <c r="Q18" s="102">
        <f>D18+G18+J18+N18+Q19</f>
        <v>2028.31</v>
      </c>
      <c r="R18" s="102">
        <f>P18</f>
        <v>5914.88</v>
      </c>
      <c r="S18" s="105" t="s">
        <v>157</v>
      </c>
    </row>
    <row r="19" spans="1:19" ht="15.75" hidden="1" thickBot="1">
      <c r="A19" s="81" t="s">
        <v>101</v>
      </c>
      <c r="B19" s="113"/>
      <c r="C19" s="67">
        <v>65.28</v>
      </c>
      <c r="D19" s="68">
        <v>0</v>
      </c>
      <c r="E19" s="69"/>
      <c r="F19" s="67">
        <v>102.97</v>
      </c>
      <c r="G19" s="70">
        <v>0</v>
      </c>
      <c r="H19" s="71"/>
      <c r="I19" s="67">
        <v>47.11</v>
      </c>
      <c r="J19" s="70">
        <v>0</v>
      </c>
      <c r="K19" s="71"/>
      <c r="L19" s="67">
        <v>169.75</v>
      </c>
      <c r="M19" s="75"/>
      <c r="N19" s="70">
        <v>385.14</v>
      </c>
      <c r="O19" s="71"/>
      <c r="P19" s="106">
        <f t="shared" si="0"/>
        <v>385.11</v>
      </c>
      <c r="Q19" s="106">
        <f t="shared" si="1"/>
        <v>385.14</v>
      </c>
      <c r="R19" s="106"/>
      <c r="S19" s="100"/>
    </row>
    <row r="20" spans="1:19" ht="15.75" thickBot="1">
      <c r="A20" s="72" t="s">
        <v>100</v>
      </c>
      <c r="B20" s="249"/>
      <c r="C20" s="73">
        <v>1064.49</v>
      </c>
      <c r="D20" s="74">
        <v>0</v>
      </c>
      <c r="E20" s="75"/>
      <c r="F20" s="73">
        <v>1064.49</v>
      </c>
      <c r="G20" s="76">
        <v>428.55</v>
      </c>
      <c r="H20" s="77"/>
      <c r="I20" s="73">
        <v>1064.49</v>
      </c>
      <c r="J20" s="76">
        <v>44.58</v>
      </c>
      <c r="K20" s="77"/>
      <c r="L20" s="73">
        <v>3315.16</v>
      </c>
      <c r="M20" s="283"/>
      <c r="N20" s="76">
        <v>1289.04</v>
      </c>
      <c r="O20" s="77"/>
      <c r="P20" s="105">
        <f>C20+F20+I20+L20+P21</f>
        <v>7182.76</v>
      </c>
      <c r="Q20" s="105">
        <f>D20+G20+J20+N20+Q21</f>
        <v>2436.36</v>
      </c>
      <c r="R20" s="105">
        <f>P20</f>
        <v>7182.76</v>
      </c>
      <c r="S20" s="105" t="s">
        <v>157</v>
      </c>
    </row>
    <row r="21" spans="1:19" ht="15.75" hidden="1" thickBot="1">
      <c r="A21" s="284" t="s">
        <v>102</v>
      </c>
      <c r="B21" s="127"/>
      <c r="C21" s="277">
        <v>125.46</v>
      </c>
      <c r="D21" s="278">
        <v>0</v>
      </c>
      <c r="E21" s="279"/>
      <c r="F21" s="277">
        <v>65.7</v>
      </c>
      <c r="G21" s="280">
        <v>0</v>
      </c>
      <c r="H21" s="281"/>
      <c r="I21" s="277">
        <v>70.8</v>
      </c>
      <c r="J21" s="280">
        <v>0</v>
      </c>
      <c r="K21" s="281"/>
      <c r="L21" s="277">
        <v>412.17</v>
      </c>
      <c r="M21" s="127"/>
      <c r="N21" s="280">
        <v>674.19</v>
      </c>
      <c r="O21" s="281"/>
      <c r="P21" s="134">
        <f t="shared" si="0"/>
        <v>674.13</v>
      </c>
      <c r="Q21" s="134">
        <f t="shared" si="1"/>
        <v>674.19</v>
      </c>
      <c r="R21" s="134"/>
      <c r="S21" s="139"/>
    </row>
    <row r="22" spans="1:19" ht="15.75" thickBot="1">
      <c r="A22" s="84"/>
      <c r="B22" s="87"/>
      <c r="C22" s="54"/>
      <c r="D22" s="55"/>
      <c r="E22" s="56"/>
      <c r="F22" s="54"/>
      <c r="G22" s="57"/>
      <c r="H22" s="58"/>
      <c r="I22" s="54"/>
      <c r="J22" s="57"/>
      <c r="K22" s="58"/>
      <c r="L22" s="54"/>
      <c r="M22" s="87"/>
      <c r="N22" s="57"/>
      <c r="O22" s="58"/>
      <c r="P22" s="134">
        <f>SUM(P9:P21)-P19-P21</f>
        <v>134558.05800000002</v>
      </c>
      <c r="Q22" s="134">
        <f>SUM(Q9:Q21)-Q19-Q21</f>
        <v>32983.599497973024</v>
      </c>
      <c r="R22" s="134">
        <f>SUM(R9:R21)-R19-R21</f>
        <v>175333.7</v>
      </c>
      <c r="S22" s="13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2" width="10.140625" style="32" hidden="1" customWidth="1"/>
    <col min="13" max="13" width="8.7109375" style="32" hidden="1" customWidth="1"/>
    <col min="14" max="14" width="10.140625" style="32" hidden="1" customWidth="1"/>
    <col min="15" max="15" width="10.140625" style="33" hidden="1" customWidth="1"/>
    <col min="16" max="17" width="16.00390625" style="34" customWidth="1"/>
    <col min="18" max="18" width="16.00390625" style="33" customWidth="1"/>
    <col min="19" max="19" width="24.57421875" style="34" customWidth="1"/>
    <col min="20" max="20" width="9.140625" style="32" customWidth="1"/>
    <col min="21" max="21" width="9.140625" style="13" customWidth="1"/>
  </cols>
  <sheetData>
    <row r="1" ht="15">
      <c r="A1" s="32" t="s">
        <v>115</v>
      </c>
    </row>
    <row r="3" ht="15">
      <c r="A3" s="32" t="s">
        <v>120</v>
      </c>
    </row>
    <row r="4" ht="15">
      <c r="A4" s="32" t="s">
        <v>116</v>
      </c>
    </row>
    <row r="5" ht="15">
      <c r="B5" s="32">
        <v>806.7</v>
      </c>
    </row>
    <row r="6" ht="15.75" thickBot="1"/>
    <row r="7" spans="1:21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109"/>
      <c r="N7" s="41" t="s">
        <v>95</v>
      </c>
      <c r="O7" s="42" t="s">
        <v>114</v>
      </c>
      <c r="P7" s="37" t="s">
        <v>159</v>
      </c>
      <c r="Q7" s="37" t="s">
        <v>137</v>
      </c>
      <c r="R7" s="37" t="s">
        <v>138</v>
      </c>
      <c r="S7" s="37"/>
      <c r="T7" s="43"/>
      <c r="U7" s="21"/>
    </row>
    <row r="8" spans="1:21" s="88" customFormat="1" ht="15">
      <c r="A8" s="93" t="s">
        <v>139</v>
      </c>
      <c r="B8" s="116" t="s">
        <v>142</v>
      </c>
      <c r="C8" s="59">
        <v>1928.03</v>
      </c>
      <c r="D8" s="60">
        <v>0</v>
      </c>
      <c r="E8" s="61"/>
      <c r="F8" s="59">
        <v>1928.03</v>
      </c>
      <c r="G8" s="62">
        <v>176.74</v>
      </c>
      <c r="H8" s="63"/>
      <c r="I8" s="59">
        <v>1928.03</v>
      </c>
      <c r="J8" s="62">
        <v>655.65</v>
      </c>
      <c r="K8" s="63"/>
      <c r="L8" s="59">
        <v>14375.41</v>
      </c>
      <c r="M8" s="120">
        <v>1</v>
      </c>
      <c r="N8" s="62">
        <v>9647.12</v>
      </c>
      <c r="O8" s="63"/>
      <c r="P8" s="102">
        <f aca="true" t="shared" si="0" ref="P8:P21">C8+F8+I8+L8</f>
        <v>20159.5</v>
      </c>
      <c r="Q8" s="102">
        <f aca="true" t="shared" si="1" ref="Q8:Q21">D8+G8+J8+N8</f>
        <v>10479.51</v>
      </c>
      <c r="R8" s="102">
        <f>R9+R10+R11+R12+R13</f>
        <v>20773.78</v>
      </c>
      <c r="S8" s="102"/>
      <c r="T8" s="87"/>
      <c r="U8" s="124"/>
    </row>
    <row r="9" spans="1:21" s="88" customFormat="1" ht="15">
      <c r="A9" s="89" t="s">
        <v>105</v>
      </c>
      <c r="B9" s="117">
        <v>3.92</v>
      </c>
      <c r="C9" s="44"/>
      <c r="D9" s="45"/>
      <c r="E9" s="46"/>
      <c r="F9" s="44"/>
      <c r="G9" s="47"/>
      <c r="H9" s="48"/>
      <c r="I9" s="44"/>
      <c r="J9" s="47"/>
      <c r="K9" s="48"/>
      <c r="L9" s="44">
        <f>B9*B5</f>
        <v>3162.264</v>
      </c>
      <c r="M9" s="121">
        <f>L9/L8</f>
        <v>0.21997730847328878</v>
      </c>
      <c r="N9" s="47">
        <f>M9*N8</f>
        <v>2122.1474921188337</v>
      </c>
      <c r="O9" s="48"/>
      <c r="P9" s="103">
        <f t="shared" si="0"/>
        <v>3162.264</v>
      </c>
      <c r="Q9" s="103">
        <f t="shared" si="1"/>
        <v>2122.1474921188337</v>
      </c>
      <c r="R9" s="103">
        <v>6323.84</v>
      </c>
      <c r="S9" s="266" t="s">
        <v>156</v>
      </c>
      <c r="T9" s="87"/>
      <c r="U9" s="124"/>
    </row>
    <row r="10" spans="1:21" s="88" customFormat="1" ht="26.25" customHeight="1">
      <c r="A10" s="90" t="s">
        <v>146</v>
      </c>
      <c r="B10" s="118">
        <v>1.88</v>
      </c>
      <c r="C10" s="44"/>
      <c r="D10" s="45"/>
      <c r="E10" s="46"/>
      <c r="F10" s="44"/>
      <c r="G10" s="47"/>
      <c r="H10" s="48"/>
      <c r="I10" s="44"/>
      <c r="J10" s="47"/>
      <c r="K10" s="48"/>
      <c r="L10" s="44">
        <f>B10*B5</f>
        <v>1516.596</v>
      </c>
      <c r="M10" s="121">
        <f>L10/L8</f>
        <v>0.1054993214106589</v>
      </c>
      <c r="N10" s="47">
        <f>M10*N8</f>
        <v>1017.7646135671959</v>
      </c>
      <c r="O10" s="48"/>
      <c r="P10" s="103">
        <f t="shared" si="0"/>
        <v>1516.596</v>
      </c>
      <c r="Q10" s="103">
        <f t="shared" si="1"/>
        <v>1017.7646135671959</v>
      </c>
      <c r="R10" s="103">
        <f>6123.54*30%</f>
        <v>1837.062</v>
      </c>
      <c r="S10" s="266" t="s">
        <v>156</v>
      </c>
      <c r="T10" s="87"/>
      <c r="U10" s="124"/>
    </row>
    <row r="11" spans="1:21" s="88" customFormat="1" ht="15">
      <c r="A11" s="90" t="s">
        <v>107</v>
      </c>
      <c r="B11" s="118">
        <v>4.35</v>
      </c>
      <c r="C11" s="44"/>
      <c r="D11" s="45"/>
      <c r="E11" s="46"/>
      <c r="F11" s="44"/>
      <c r="G11" s="47"/>
      <c r="H11" s="48"/>
      <c r="I11" s="44"/>
      <c r="J11" s="47"/>
      <c r="K11" s="48"/>
      <c r="L11" s="44">
        <f>B11*B5</f>
        <v>3509.145</v>
      </c>
      <c r="M11" s="121">
        <f>L11/L8</f>
        <v>0.24410747241296074</v>
      </c>
      <c r="N11" s="47">
        <f>M11*N8</f>
        <v>2354.934079264522</v>
      </c>
      <c r="O11" s="48"/>
      <c r="P11" s="103">
        <f t="shared" si="0"/>
        <v>3509.145</v>
      </c>
      <c r="Q11" s="103">
        <f t="shared" si="1"/>
        <v>2354.934079264522</v>
      </c>
      <c r="R11" s="103">
        <f>6123.54-R10</f>
        <v>4286.478</v>
      </c>
      <c r="S11" s="266" t="s">
        <v>156</v>
      </c>
      <c r="T11" s="87"/>
      <c r="U11" s="124"/>
    </row>
    <row r="12" spans="1:21" s="88" customFormat="1" ht="15">
      <c r="A12" s="90" t="s">
        <v>108</v>
      </c>
      <c r="B12" s="118">
        <v>2.39</v>
      </c>
      <c r="C12" s="44">
        <v>1928.03</v>
      </c>
      <c r="D12" s="45">
        <v>0</v>
      </c>
      <c r="E12" s="46"/>
      <c r="F12" s="44">
        <v>1928.03</v>
      </c>
      <c r="G12" s="47">
        <v>176.74</v>
      </c>
      <c r="H12" s="48"/>
      <c r="I12" s="44">
        <v>1928.03</v>
      </c>
      <c r="J12" s="47">
        <v>655.65</v>
      </c>
      <c r="K12" s="48"/>
      <c r="L12" s="44">
        <v>1928.03</v>
      </c>
      <c r="M12" s="121">
        <f>L12/L8</f>
        <v>0.13412000075128291</v>
      </c>
      <c r="N12" s="47">
        <f>M12*N8</f>
        <v>1293.8717416477166</v>
      </c>
      <c r="O12" s="48"/>
      <c r="P12" s="103">
        <f t="shared" si="0"/>
        <v>7712.12</v>
      </c>
      <c r="Q12" s="103">
        <f t="shared" si="1"/>
        <v>2126.2617416477165</v>
      </c>
      <c r="R12" s="103">
        <v>8326.4</v>
      </c>
      <c r="S12" s="266" t="s">
        <v>154</v>
      </c>
      <c r="T12" s="87"/>
      <c r="U12" s="124"/>
    </row>
    <row r="13" spans="1:21" s="88" customFormat="1" ht="15.75" thickBot="1">
      <c r="A13" s="91" t="s">
        <v>110</v>
      </c>
      <c r="B13" s="119">
        <v>5.28</v>
      </c>
      <c r="C13" s="67"/>
      <c r="D13" s="68"/>
      <c r="E13" s="69"/>
      <c r="F13" s="67"/>
      <c r="G13" s="70"/>
      <c r="H13" s="71"/>
      <c r="I13" s="67"/>
      <c r="J13" s="70"/>
      <c r="K13" s="71"/>
      <c r="L13" s="67">
        <f>B13*B5</f>
        <v>4259.376</v>
      </c>
      <c r="M13" s="122">
        <f>L13/L8</f>
        <v>0.29629596651504203</v>
      </c>
      <c r="N13" s="70">
        <f>M13*N8</f>
        <v>2858.4027444865924</v>
      </c>
      <c r="O13" s="71"/>
      <c r="P13" s="104">
        <f t="shared" si="0"/>
        <v>4259.376</v>
      </c>
      <c r="Q13" s="104">
        <f t="shared" si="1"/>
        <v>2858.4027444865924</v>
      </c>
      <c r="R13" s="104">
        <v>0</v>
      </c>
      <c r="S13" s="106"/>
      <c r="T13" s="87"/>
      <c r="U13" s="124"/>
    </row>
    <row r="14" spans="1:21" s="88" customFormat="1" ht="15.75" thickBot="1">
      <c r="A14" s="92" t="s">
        <v>96</v>
      </c>
      <c r="B14" s="113"/>
      <c r="C14" s="73">
        <v>126.95</v>
      </c>
      <c r="D14" s="74">
        <v>0</v>
      </c>
      <c r="E14" s="75"/>
      <c r="F14" s="73">
        <v>126.95</v>
      </c>
      <c r="G14" s="76">
        <v>0</v>
      </c>
      <c r="H14" s="77"/>
      <c r="I14" s="73">
        <v>126.95</v>
      </c>
      <c r="J14" s="76">
        <v>18.15</v>
      </c>
      <c r="K14" s="77"/>
      <c r="L14" s="73">
        <v>126.95</v>
      </c>
      <c r="M14" s="75"/>
      <c r="N14" s="76">
        <v>318.92</v>
      </c>
      <c r="O14" s="77"/>
      <c r="P14" s="105">
        <f t="shared" si="0"/>
        <v>507.8</v>
      </c>
      <c r="Q14" s="105">
        <f t="shared" si="1"/>
        <v>337.07</v>
      </c>
      <c r="R14" s="105">
        <v>0</v>
      </c>
      <c r="S14" s="105"/>
      <c r="T14" s="87"/>
      <c r="U14" s="124"/>
    </row>
    <row r="15" spans="1:21" s="88" customFormat="1" ht="15">
      <c r="A15" s="93" t="s">
        <v>97</v>
      </c>
      <c r="B15" s="114"/>
      <c r="C15" s="59">
        <v>0</v>
      </c>
      <c r="D15" s="60">
        <v>0</v>
      </c>
      <c r="E15" s="61"/>
      <c r="F15" s="59">
        <v>0</v>
      </c>
      <c r="G15" s="62">
        <v>0</v>
      </c>
      <c r="H15" s="63"/>
      <c r="I15" s="59">
        <v>2506.44</v>
      </c>
      <c r="J15" s="62">
        <v>303.89</v>
      </c>
      <c r="K15" s="63"/>
      <c r="L15" s="59">
        <v>5566.84</v>
      </c>
      <c r="M15" s="61"/>
      <c r="N15" s="62">
        <v>3928.04</v>
      </c>
      <c r="O15" s="63"/>
      <c r="P15" s="102">
        <f t="shared" si="0"/>
        <v>8073.280000000001</v>
      </c>
      <c r="Q15" s="102">
        <f t="shared" si="1"/>
        <v>4231.93</v>
      </c>
      <c r="R15" s="102">
        <v>9551.79</v>
      </c>
      <c r="S15" s="267" t="s">
        <v>155</v>
      </c>
      <c r="T15" s="87"/>
      <c r="U15" s="124"/>
    </row>
    <row r="16" spans="1:21" s="88" customFormat="1" ht="15.75" thickBot="1">
      <c r="A16" s="94" t="s">
        <v>98</v>
      </c>
      <c r="B16" s="115"/>
      <c r="C16" s="67">
        <v>0</v>
      </c>
      <c r="D16" s="68">
        <v>0</v>
      </c>
      <c r="E16" s="69"/>
      <c r="F16" s="67">
        <v>0</v>
      </c>
      <c r="G16" s="70">
        <v>0</v>
      </c>
      <c r="H16" s="71"/>
      <c r="I16" s="67">
        <v>5986.49</v>
      </c>
      <c r="J16" s="70">
        <v>725.83</v>
      </c>
      <c r="K16" s="71"/>
      <c r="L16" s="67">
        <v>13296.08</v>
      </c>
      <c r="M16" s="69"/>
      <c r="N16" s="70">
        <v>9381.99</v>
      </c>
      <c r="O16" s="71"/>
      <c r="P16" s="106">
        <f t="shared" si="0"/>
        <v>19282.57</v>
      </c>
      <c r="Q16" s="106">
        <f t="shared" si="1"/>
        <v>10107.82</v>
      </c>
      <c r="R16" s="106">
        <v>22818.06</v>
      </c>
      <c r="S16" s="106" t="s">
        <v>155</v>
      </c>
      <c r="T16" s="87"/>
      <c r="U16" s="124"/>
    </row>
    <row r="17" spans="1:21" s="88" customFormat="1" ht="15.75" thickBot="1">
      <c r="A17" s="92" t="s">
        <v>6</v>
      </c>
      <c r="B17" s="113"/>
      <c r="C17" s="73">
        <v>0</v>
      </c>
      <c r="D17" s="74">
        <v>0</v>
      </c>
      <c r="E17" s="75"/>
      <c r="F17" s="73">
        <v>0</v>
      </c>
      <c r="G17" s="76">
        <v>0</v>
      </c>
      <c r="H17" s="77"/>
      <c r="I17" s="73">
        <v>22786.22</v>
      </c>
      <c r="J17" s="76">
        <v>2611.17</v>
      </c>
      <c r="K17" s="77"/>
      <c r="L17" s="73">
        <v>52408.32</v>
      </c>
      <c r="M17" s="75"/>
      <c r="N17" s="76">
        <v>36846.64</v>
      </c>
      <c r="O17" s="77"/>
      <c r="P17" s="105">
        <f t="shared" si="0"/>
        <v>75194.54000000001</v>
      </c>
      <c r="Q17" s="105">
        <f t="shared" si="1"/>
        <v>39457.81</v>
      </c>
      <c r="R17" s="105">
        <v>112098.84</v>
      </c>
      <c r="S17" s="102" t="s">
        <v>155</v>
      </c>
      <c r="T17" s="87"/>
      <c r="U17" s="124"/>
    </row>
    <row r="18" spans="1:21" s="88" customFormat="1" ht="15.75" thickBot="1">
      <c r="A18" s="93" t="s">
        <v>99</v>
      </c>
      <c r="B18" s="113"/>
      <c r="C18" s="59">
        <v>1011.84</v>
      </c>
      <c r="D18" s="60">
        <v>0</v>
      </c>
      <c r="E18" s="61"/>
      <c r="F18" s="59">
        <v>1011.84</v>
      </c>
      <c r="G18" s="62">
        <v>98.29</v>
      </c>
      <c r="H18" s="63"/>
      <c r="I18" s="59">
        <v>1011.84</v>
      </c>
      <c r="J18" s="62">
        <v>283.49</v>
      </c>
      <c r="K18" s="63"/>
      <c r="L18" s="59">
        <v>2376.54</v>
      </c>
      <c r="M18" s="75"/>
      <c r="N18" s="62">
        <v>3011.04</v>
      </c>
      <c r="O18" s="63"/>
      <c r="P18" s="102">
        <f>C18+F18+I18+L18+P19</f>
        <v>5847.919999999999</v>
      </c>
      <c r="Q18" s="102">
        <f>D18+G18+J18+N18+Q19</f>
        <v>3833.19</v>
      </c>
      <c r="R18" s="102">
        <f>P18</f>
        <v>5847.919999999999</v>
      </c>
      <c r="S18" s="105" t="s">
        <v>157</v>
      </c>
      <c r="T18" s="87"/>
      <c r="U18" s="124"/>
    </row>
    <row r="19" spans="1:21" s="88" customFormat="1" ht="15.75" hidden="1" thickBot="1">
      <c r="A19" s="94" t="s">
        <v>101</v>
      </c>
      <c r="B19" s="113"/>
      <c r="C19" s="67">
        <v>99.94</v>
      </c>
      <c r="D19" s="68">
        <v>0</v>
      </c>
      <c r="E19" s="69"/>
      <c r="F19" s="67">
        <v>73.02</v>
      </c>
      <c r="G19" s="70">
        <v>0</v>
      </c>
      <c r="H19" s="71"/>
      <c r="I19" s="67">
        <v>73.02</v>
      </c>
      <c r="J19" s="70">
        <v>130.91</v>
      </c>
      <c r="K19" s="71"/>
      <c r="L19" s="67">
        <v>189.88</v>
      </c>
      <c r="M19" s="75"/>
      <c r="N19" s="70">
        <v>309.46</v>
      </c>
      <c r="O19" s="71"/>
      <c r="P19" s="106">
        <f t="shared" si="0"/>
        <v>435.85999999999996</v>
      </c>
      <c r="Q19" s="106">
        <f t="shared" si="1"/>
        <v>440.37</v>
      </c>
      <c r="R19" s="106"/>
      <c r="S19" s="106"/>
      <c r="T19" s="87"/>
      <c r="U19" s="124"/>
    </row>
    <row r="20" spans="1:21" s="88" customFormat="1" ht="15.75" thickBot="1">
      <c r="A20" s="92" t="s">
        <v>100</v>
      </c>
      <c r="B20" s="249"/>
      <c r="C20" s="73">
        <v>1064.5</v>
      </c>
      <c r="D20" s="74">
        <v>0</v>
      </c>
      <c r="E20" s="75"/>
      <c r="F20" s="73">
        <v>1064.5</v>
      </c>
      <c r="G20" s="76">
        <v>103.41</v>
      </c>
      <c r="H20" s="77"/>
      <c r="I20" s="73">
        <v>1064.5</v>
      </c>
      <c r="J20" s="76">
        <v>298.24</v>
      </c>
      <c r="K20" s="77"/>
      <c r="L20" s="73">
        <v>3158.68</v>
      </c>
      <c r="M20" s="283"/>
      <c r="N20" s="76">
        <v>3391.51</v>
      </c>
      <c r="O20" s="77"/>
      <c r="P20" s="105">
        <f>C20+F20+I20+L20+P21</f>
        <v>7282.47</v>
      </c>
      <c r="Q20" s="105">
        <f>D20+G20+J20+N20+Q21</f>
        <v>4735.25</v>
      </c>
      <c r="R20" s="105">
        <f>P20</f>
        <v>7282.47</v>
      </c>
      <c r="S20" s="105" t="s">
        <v>157</v>
      </c>
      <c r="T20" s="87"/>
      <c r="U20" s="124"/>
    </row>
    <row r="21" spans="1:21" s="88" customFormat="1" ht="15.75" hidden="1" thickBot="1">
      <c r="A21" s="276" t="s">
        <v>102</v>
      </c>
      <c r="B21" s="127"/>
      <c r="C21" s="277">
        <v>133.53</v>
      </c>
      <c r="D21" s="278">
        <v>0</v>
      </c>
      <c r="E21" s="279"/>
      <c r="F21" s="277">
        <v>147.69</v>
      </c>
      <c r="G21" s="280">
        <v>0</v>
      </c>
      <c r="H21" s="281"/>
      <c r="I21" s="277">
        <v>140.61</v>
      </c>
      <c r="J21" s="280">
        <v>206.57</v>
      </c>
      <c r="K21" s="281"/>
      <c r="L21" s="277">
        <v>508.46</v>
      </c>
      <c r="M21" s="127"/>
      <c r="N21" s="280">
        <v>735.52</v>
      </c>
      <c r="O21" s="281"/>
      <c r="P21" s="134">
        <f t="shared" si="0"/>
        <v>930.29</v>
      </c>
      <c r="Q21" s="134">
        <f t="shared" si="1"/>
        <v>942.0899999999999</v>
      </c>
      <c r="R21" s="134"/>
      <c r="S21" s="134"/>
      <c r="T21" s="87"/>
      <c r="U21" s="124"/>
    </row>
    <row r="22" spans="1:21" s="88" customFormat="1" ht="15.75" thickBot="1">
      <c r="A22" s="125"/>
      <c r="B22" s="87"/>
      <c r="C22" s="54"/>
      <c r="D22" s="55"/>
      <c r="E22" s="56"/>
      <c r="F22" s="54"/>
      <c r="G22" s="57"/>
      <c r="H22" s="58"/>
      <c r="I22" s="54"/>
      <c r="J22" s="57"/>
      <c r="K22" s="58"/>
      <c r="L22" s="54"/>
      <c r="M22" s="87"/>
      <c r="N22" s="57"/>
      <c r="O22" s="58"/>
      <c r="P22" s="134">
        <f>SUM(P9:P21)-P19-P21</f>
        <v>136348.081</v>
      </c>
      <c r="Q22" s="134">
        <f>SUM(Q9:Q21)-Q19-Q21</f>
        <v>73182.58067108486</v>
      </c>
      <c r="R22" s="134">
        <f>SUM(R9:R21)-R19-R21</f>
        <v>178372.86000000002</v>
      </c>
      <c r="S22" s="134"/>
      <c r="T22" s="87"/>
      <c r="U22" s="1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9.421875" style="33" hidden="1" customWidth="1"/>
    <col min="6" max="7" width="9.421875" style="32" hidden="1" customWidth="1"/>
    <col min="8" max="8" width="9.421875" style="33" hidden="1" customWidth="1"/>
    <col min="9" max="10" width="9.421875" style="32" hidden="1" customWidth="1"/>
    <col min="11" max="11" width="9.421875" style="33" hidden="1" customWidth="1"/>
    <col min="12" max="12" width="9.421875" style="32" hidden="1" customWidth="1"/>
    <col min="13" max="13" width="8.7109375" style="32" hidden="1" customWidth="1"/>
    <col min="14" max="14" width="9.421875" style="32" hidden="1" customWidth="1"/>
    <col min="15" max="15" width="10.140625" style="33" hidden="1" customWidth="1"/>
    <col min="16" max="17" width="16.00390625" style="34" customWidth="1"/>
    <col min="18" max="18" width="16.00390625" style="33" customWidth="1"/>
    <col min="19" max="19" width="23.8515625" style="34" customWidth="1"/>
    <col min="20" max="21" width="9.140625" style="13" customWidth="1"/>
  </cols>
  <sheetData>
    <row r="1" ht="15">
      <c r="A1" s="32" t="s">
        <v>115</v>
      </c>
    </row>
    <row r="3" spans="1:3" ht="15">
      <c r="A3" s="32" t="s">
        <v>121</v>
      </c>
      <c r="C3" s="123"/>
    </row>
    <row r="4" ht="15">
      <c r="A4" s="32" t="s">
        <v>116</v>
      </c>
    </row>
    <row r="5" ht="15">
      <c r="B5" s="32">
        <v>791.8</v>
      </c>
    </row>
    <row r="6" ht="15.75" thickBot="1"/>
    <row r="7" spans="1:21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109"/>
      <c r="N7" s="41" t="s">
        <v>95</v>
      </c>
      <c r="O7" s="42" t="s">
        <v>114</v>
      </c>
      <c r="P7" s="37" t="s">
        <v>159</v>
      </c>
      <c r="Q7" s="37" t="s">
        <v>137</v>
      </c>
      <c r="R7" s="37" t="s">
        <v>138</v>
      </c>
      <c r="S7" s="101"/>
      <c r="T7" s="21"/>
      <c r="U7" s="21"/>
    </row>
    <row r="8" spans="1:21" s="88" customFormat="1" ht="17.25" customHeight="1">
      <c r="A8" s="350" t="s">
        <v>139</v>
      </c>
      <c r="B8" s="311" t="s">
        <v>142</v>
      </c>
      <c r="C8" s="312">
        <v>1856.66</v>
      </c>
      <c r="D8" s="313">
        <v>0</v>
      </c>
      <c r="E8" s="314"/>
      <c r="F8" s="312">
        <v>1856.66</v>
      </c>
      <c r="G8" s="315">
        <v>717.94</v>
      </c>
      <c r="H8" s="316"/>
      <c r="I8" s="312">
        <v>1856.66</v>
      </c>
      <c r="J8" s="315">
        <v>217.25</v>
      </c>
      <c r="K8" s="316"/>
      <c r="L8" s="312">
        <v>13843.47</v>
      </c>
      <c r="M8" s="317">
        <v>1</v>
      </c>
      <c r="N8" s="315">
        <v>4118.59</v>
      </c>
      <c r="O8" s="316"/>
      <c r="P8" s="318">
        <f aca="true" t="shared" si="0" ref="P8:P21">C8+F8+I8+L8</f>
        <v>19413.45</v>
      </c>
      <c r="Q8" s="318">
        <f aca="true" t="shared" si="1" ref="Q8:Q17">D8+G8+J8+N8</f>
        <v>5053.780000000001</v>
      </c>
      <c r="R8" s="318">
        <f>R9+R10+R11+R12+R13</f>
        <v>20004.99</v>
      </c>
      <c r="S8" s="268"/>
      <c r="T8" s="124"/>
      <c r="U8" s="124"/>
    </row>
    <row r="9" spans="1:21" s="88" customFormat="1" ht="17.25" customHeight="1">
      <c r="A9" s="321" t="s">
        <v>105</v>
      </c>
      <c r="B9" s="322" t="s">
        <v>141</v>
      </c>
      <c r="C9" s="323">
        <v>0</v>
      </c>
      <c r="D9" s="324">
        <v>0</v>
      </c>
      <c r="E9" s="325"/>
      <c r="F9" s="323">
        <v>0</v>
      </c>
      <c r="G9" s="326">
        <v>0</v>
      </c>
      <c r="H9" s="327"/>
      <c r="I9" s="323">
        <v>0</v>
      </c>
      <c r="J9" s="326">
        <v>0</v>
      </c>
      <c r="K9" s="327"/>
      <c r="L9" s="323">
        <f>B9*B5</f>
        <v>3103.8559999999998</v>
      </c>
      <c r="M9" s="328">
        <f>L9/L8</f>
        <v>0.22421083731174338</v>
      </c>
      <c r="N9" s="326">
        <f>M9*N8</f>
        <v>923.4325124437731</v>
      </c>
      <c r="O9" s="327"/>
      <c r="P9" s="329">
        <f t="shared" si="0"/>
        <v>3103.8559999999998</v>
      </c>
      <c r="Q9" s="329">
        <f t="shared" si="1"/>
        <v>923.4325124437731</v>
      </c>
      <c r="R9" s="329">
        <v>6089.85</v>
      </c>
      <c r="S9" s="266" t="s">
        <v>156</v>
      </c>
      <c r="T9" s="124"/>
      <c r="U9" s="124"/>
    </row>
    <row r="10" spans="1:21" s="88" customFormat="1" ht="24.75" customHeight="1">
      <c r="A10" s="331" t="s">
        <v>146</v>
      </c>
      <c r="B10" s="332" t="s">
        <v>143</v>
      </c>
      <c r="C10" s="323">
        <v>0</v>
      </c>
      <c r="D10" s="324">
        <v>0</v>
      </c>
      <c r="E10" s="325"/>
      <c r="F10" s="323">
        <v>0</v>
      </c>
      <c r="G10" s="326">
        <v>0</v>
      </c>
      <c r="H10" s="327"/>
      <c r="I10" s="323">
        <v>0</v>
      </c>
      <c r="J10" s="326">
        <v>0</v>
      </c>
      <c r="K10" s="327"/>
      <c r="L10" s="323">
        <f>B5*B10</f>
        <v>1488.5839999999998</v>
      </c>
      <c r="M10" s="328">
        <f>L10/L8</f>
        <v>0.10752968728216263</v>
      </c>
      <c r="N10" s="326">
        <f>M10*N8</f>
        <v>442.8706947434422</v>
      </c>
      <c r="O10" s="327"/>
      <c r="P10" s="329">
        <f t="shared" si="0"/>
        <v>1488.5839999999998</v>
      </c>
      <c r="Q10" s="329">
        <f t="shared" si="1"/>
        <v>442.8706947434422</v>
      </c>
      <c r="R10" s="329">
        <f>5896.96*30%</f>
        <v>1769.088</v>
      </c>
      <c r="S10" s="266" t="s">
        <v>156</v>
      </c>
      <c r="T10" s="124"/>
      <c r="U10" s="124"/>
    </row>
    <row r="11" spans="1:21" s="88" customFormat="1" ht="17.25" customHeight="1">
      <c r="A11" s="331" t="s">
        <v>107</v>
      </c>
      <c r="B11" s="332" t="s">
        <v>144</v>
      </c>
      <c r="C11" s="323">
        <v>0</v>
      </c>
      <c r="D11" s="324">
        <v>0</v>
      </c>
      <c r="E11" s="325"/>
      <c r="F11" s="323">
        <v>0</v>
      </c>
      <c r="G11" s="326">
        <v>0</v>
      </c>
      <c r="H11" s="327"/>
      <c r="I11" s="323">
        <v>0</v>
      </c>
      <c r="J11" s="326">
        <v>0</v>
      </c>
      <c r="K11" s="327"/>
      <c r="L11" s="323">
        <f>B11*B5</f>
        <v>3444.3299999999995</v>
      </c>
      <c r="M11" s="328">
        <f>L11/L8</f>
        <v>0.24880539344542948</v>
      </c>
      <c r="N11" s="326">
        <f>M11*N8</f>
        <v>1024.7274053904114</v>
      </c>
      <c r="O11" s="327"/>
      <c r="P11" s="329">
        <f t="shared" si="0"/>
        <v>3444.3299999999995</v>
      </c>
      <c r="Q11" s="329">
        <f t="shared" si="1"/>
        <v>1024.7274053904114</v>
      </c>
      <c r="R11" s="329">
        <f>5896.96-R10</f>
        <v>4127.872</v>
      </c>
      <c r="S11" s="266" t="s">
        <v>156</v>
      </c>
      <c r="T11" s="124"/>
      <c r="U11" s="124"/>
    </row>
    <row r="12" spans="1:21" s="88" customFormat="1" ht="17.25" customHeight="1">
      <c r="A12" s="331" t="s">
        <v>108</v>
      </c>
      <c r="B12" s="332" t="s">
        <v>145</v>
      </c>
      <c r="C12" s="323">
        <v>1856.66</v>
      </c>
      <c r="D12" s="324">
        <v>0</v>
      </c>
      <c r="E12" s="325"/>
      <c r="F12" s="323">
        <v>1856.66</v>
      </c>
      <c r="G12" s="326">
        <v>717.94</v>
      </c>
      <c r="H12" s="327"/>
      <c r="I12" s="323">
        <v>1856.66</v>
      </c>
      <c r="J12" s="326">
        <v>217.25</v>
      </c>
      <c r="K12" s="327"/>
      <c r="L12" s="323">
        <v>1856.66</v>
      </c>
      <c r="M12" s="328">
        <f>L12/L8</f>
        <v>0.13411810767098134</v>
      </c>
      <c r="N12" s="326">
        <f>M12*N8</f>
        <v>552.3774970726271</v>
      </c>
      <c r="O12" s="327"/>
      <c r="P12" s="329">
        <f t="shared" si="0"/>
        <v>7426.64</v>
      </c>
      <c r="Q12" s="329">
        <f t="shared" si="1"/>
        <v>1487.5674970726272</v>
      </c>
      <c r="R12" s="329">
        <v>8018.18</v>
      </c>
      <c r="S12" s="266" t="s">
        <v>154</v>
      </c>
      <c r="T12" s="124"/>
      <c r="U12" s="124"/>
    </row>
    <row r="13" spans="1:21" s="88" customFormat="1" ht="17.25" customHeight="1" thickBot="1">
      <c r="A13" s="292" t="s">
        <v>110</v>
      </c>
      <c r="B13" s="333">
        <f>B8-B9-B10-B11-B12</f>
        <v>5.279999999999999</v>
      </c>
      <c r="C13" s="334">
        <v>0</v>
      </c>
      <c r="D13" s="335">
        <v>0</v>
      </c>
      <c r="E13" s="336"/>
      <c r="F13" s="334">
        <v>0</v>
      </c>
      <c r="G13" s="337">
        <v>0</v>
      </c>
      <c r="H13" s="338"/>
      <c r="I13" s="334">
        <v>0</v>
      </c>
      <c r="J13" s="337">
        <v>0</v>
      </c>
      <c r="K13" s="338"/>
      <c r="L13" s="334">
        <f>L8-L9-L10-L11-L12</f>
        <v>3950.039999999999</v>
      </c>
      <c r="M13" s="339">
        <f>L13/L8</f>
        <v>0.2853359742896831</v>
      </c>
      <c r="N13" s="337">
        <f>M13*N8</f>
        <v>1175.181890349746</v>
      </c>
      <c r="O13" s="338"/>
      <c r="P13" s="340">
        <f t="shared" si="0"/>
        <v>3950.039999999999</v>
      </c>
      <c r="Q13" s="340">
        <f t="shared" si="1"/>
        <v>1175.181890349746</v>
      </c>
      <c r="R13" s="340">
        <v>0</v>
      </c>
      <c r="S13" s="269"/>
      <c r="T13" s="124"/>
      <c r="U13" s="124"/>
    </row>
    <row r="14" spans="1:21" s="88" customFormat="1" ht="17.25" customHeight="1" thickBot="1">
      <c r="A14" s="342" t="s">
        <v>96</v>
      </c>
      <c r="B14" s="343"/>
      <c r="C14" s="344">
        <v>327.7</v>
      </c>
      <c r="D14" s="345">
        <v>0</v>
      </c>
      <c r="E14" s="346"/>
      <c r="F14" s="344">
        <v>327.7</v>
      </c>
      <c r="G14" s="347">
        <v>147.29</v>
      </c>
      <c r="H14" s="348"/>
      <c r="I14" s="344">
        <v>327.7</v>
      </c>
      <c r="J14" s="347">
        <v>51.51</v>
      </c>
      <c r="K14" s="348"/>
      <c r="L14" s="344">
        <v>327.7</v>
      </c>
      <c r="M14" s="346"/>
      <c r="N14" s="347">
        <v>454.71</v>
      </c>
      <c r="O14" s="348"/>
      <c r="P14" s="349">
        <f t="shared" si="0"/>
        <v>1310.8</v>
      </c>
      <c r="Q14" s="349">
        <f t="shared" si="1"/>
        <v>653.51</v>
      </c>
      <c r="R14" s="349">
        <v>0</v>
      </c>
      <c r="S14" s="270"/>
      <c r="T14" s="124"/>
      <c r="U14" s="124"/>
    </row>
    <row r="15" spans="1:21" s="88" customFormat="1" ht="17.25" customHeight="1">
      <c r="A15" s="350" t="s">
        <v>97</v>
      </c>
      <c r="B15" s="351"/>
      <c r="C15" s="312">
        <v>0</v>
      </c>
      <c r="D15" s="313">
        <v>0</v>
      </c>
      <c r="E15" s="314"/>
      <c r="F15" s="312">
        <v>0</v>
      </c>
      <c r="G15" s="315">
        <v>0</v>
      </c>
      <c r="H15" s="316"/>
      <c r="I15" s="312">
        <v>3015.42</v>
      </c>
      <c r="J15" s="315">
        <v>117.01</v>
      </c>
      <c r="K15" s="316"/>
      <c r="L15" s="312">
        <v>6490.36</v>
      </c>
      <c r="M15" s="314"/>
      <c r="N15" s="315">
        <v>2885.56</v>
      </c>
      <c r="O15" s="316"/>
      <c r="P15" s="318">
        <f t="shared" si="0"/>
        <v>9505.779999999999</v>
      </c>
      <c r="Q15" s="318">
        <f t="shared" si="1"/>
        <v>3002.57</v>
      </c>
      <c r="R15" s="318">
        <v>11246.64</v>
      </c>
      <c r="S15" s="267" t="s">
        <v>155</v>
      </c>
      <c r="T15" s="124"/>
      <c r="U15" s="124"/>
    </row>
    <row r="16" spans="1:21" s="88" customFormat="1" ht="17.25" customHeight="1" thickBot="1">
      <c r="A16" s="353" t="s">
        <v>98</v>
      </c>
      <c r="B16" s="354"/>
      <c r="C16" s="334">
        <v>0</v>
      </c>
      <c r="D16" s="335">
        <v>0</v>
      </c>
      <c r="E16" s="336"/>
      <c r="F16" s="334">
        <v>0</v>
      </c>
      <c r="G16" s="337">
        <v>0</v>
      </c>
      <c r="H16" s="338"/>
      <c r="I16" s="334">
        <v>7202.27</v>
      </c>
      <c r="J16" s="337">
        <v>279.44</v>
      </c>
      <c r="K16" s="338"/>
      <c r="L16" s="334">
        <v>15501.96</v>
      </c>
      <c r="M16" s="336"/>
      <c r="N16" s="337">
        <v>6892.13</v>
      </c>
      <c r="O16" s="338"/>
      <c r="P16" s="341">
        <f t="shared" si="0"/>
        <v>22704.23</v>
      </c>
      <c r="Q16" s="341">
        <f t="shared" si="1"/>
        <v>7171.57</v>
      </c>
      <c r="R16" s="341">
        <v>26867.09</v>
      </c>
      <c r="S16" s="106" t="s">
        <v>155</v>
      </c>
      <c r="T16" s="124"/>
      <c r="U16" s="124"/>
    </row>
    <row r="17" spans="1:21" s="88" customFormat="1" ht="17.25" customHeight="1" thickBot="1">
      <c r="A17" s="342" t="s">
        <v>6</v>
      </c>
      <c r="B17" s="343"/>
      <c r="C17" s="344">
        <v>0</v>
      </c>
      <c r="D17" s="345">
        <v>0</v>
      </c>
      <c r="E17" s="346"/>
      <c r="F17" s="344">
        <v>0</v>
      </c>
      <c r="G17" s="347">
        <v>0</v>
      </c>
      <c r="H17" s="348"/>
      <c r="I17" s="344">
        <v>21943.07</v>
      </c>
      <c r="J17" s="347">
        <v>966.55</v>
      </c>
      <c r="K17" s="348"/>
      <c r="L17" s="344">
        <v>50469.07</v>
      </c>
      <c r="M17" s="346"/>
      <c r="N17" s="347">
        <v>18653.78</v>
      </c>
      <c r="O17" s="348"/>
      <c r="P17" s="349">
        <f t="shared" si="0"/>
        <v>72412.14</v>
      </c>
      <c r="Q17" s="349">
        <f t="shared" si="1"/>
        <v>19620.329999999998</v>
      </c>
      <c r="R17" s="349">
        <v>107950.88</v>
      </c>
      <c r="S17" s="102" t="s">
        <v>155</v>
      </c>
      <c r="T17" s="124"/>
      <c r="U17" s="124"/>
    </row>
    <row r="18" spans="1:21" s="88" customFormat="1" ht="17.25" customHeight="1" thickBot="1">
      <c r="A18" s="350" t="s">
        <v>99</v>
      </c>
      <c r="B18" s="343"/>
      <c r="C18" s="312">
        <v>1044.48</v>
      </c>
      <c r="D18" s="313">
        <v>0</v>
      </c>
      <c r="E18" s="314"/>
      <c r="F18" s="312">
        <v>1044.48</v>
      </c>
      <c r="G18" s="315">
        <v>407.74</v>
      </c>
      <c r="H18" s="316"/>
      <c r="I18" s="312">
        <v>1090.18</v>
      </c>
      <c r="J18" s="315">
        <v>104.87</v>
      </c>
      <c r="K18" s="316"/>
      <c r="L18" s="312">
        <v>2800.9</v>
      </c>
      <c r="M18" s="346"/>
      <c r="N18" s="315">
        <v>1592.79</v>
      </c>
      <c r="O18" s="316"/>
      <c r="P18" s="318">
        <f>C18+F18+I18+L18+P19</f>
        <v>7072.780000000001</v>
      </c>
      <c r="Q18" s="318">
        <f>D18+G18+J18+N18+Q19</f>
        <v>2788.77</v>
      </c>
      <c r="R18" s="318">
        <f>P18</f>
        <v>7072.780000000001</v>
      </c>
      <c r="S18" s="105" t="s">
        <v>157</v>
      </c>
      <c r="T18" s="124"/>
      <c r="U18" s="124"/>
    </row>
    <row r="19" spans="1:21" s="88" customFormat="1" ht="17.25" customHeight="1" hidden="1" thickBot="1">
      <c r="A19" s="353" t="s">
        <v>101</v>
      </c>
      <c r="B19" s="343"/>
      <c r="C19" s="334">
        <v>134.26</v>
      </c>
      <c r="D19" s="335">
        <v>0</v>
      </c>
      <c r="E19" s="336"/>
      <c r="F19" s="334">
        <v>200.6</v>
      </c>
      <c r="G19" s="337">
        <v>254.14</v>
      </c>
      <c r="H19" s="338"/>
      <c r="I19" s="334">
        <v>190.45</v>
      </c>
      <c r="J19" s="337">
        <v>10.36</v>
      </c>
      <c r="K19" s="338"/>
      <c r="L19" s="334">
        <v>567.43</v>
      </c>
      <c r="M19" s="346"/>
      <c r="N19" s="337">
        <v>418.87</v>
      </c>
      <c r="O19" s="338"/>
      <c r="P19" s="341">
        <f t="shared" si="0"/>
        <v>1092.7399999999998</v>
      </c>
      <c r="Q19" s="341">
        <f>D19+G19+J19+N19</f>
        <v>683.37</v>
      </c>
      <c r="R19" s="341"/>
      <c r="S19" s="269"/>
      <c r="T19" s="124"/>
      <c r="U19" s="124"/>
    </row>
    <row r="20" spans="1:21" s="88" customFormat="1" ht="17.25" customHeight="1" thickBot="1">
      <c r="A20" s="342" t="s">
        <v>100</v>
      </c>
      <c r="B20" s="357"/>
      <c r="C20" s="344">
        <v>1098.82</v>
      </c>
      <c r="D20" s="345">
        <v>0</v>
      </c>
      <c r="E20" s="346"/>
      <c r="F20" s="344">
        <v>1098.82</v>
      </c>
      <c r="G20" s="347">
        <v>428.94</v>
      </c>
      <c r="H20" s="348"/>
      <c r="I20" s="344">
        <v>1146.89</v>
      </c>
      <c r="J20" s="347">
        <v>110.34</v>
      </c>
      <c r="K20" s="348"/>
      <c r="L20" s="344">
        <v>3722.74</v>
      </c>
      <c r="M20" s="358"/>
      <c r="N20" s="347">
        <v>1793.9</v>
      </c>
      <c r="O20" s="348"/>
      <c r="P20" s="349">
        <f>C20+F20+I20+L20+P21</f>
        <v>9581.91</v>
      </c>
      <c r="Q20" s="349">
        <f>D20+G20+J20+N20+Q21</f>
        <v>3662.8</v>
      </c>
      <c r="R20" s="349">
        <f>P20</f>
        <v>9581.91</v>
      </c>
      <c r="S20" s="105" t="s">
        <v>157</v>
      </c>
      <c r="T20" s="124"/>
      <c r="U20" s="124"/>
    </row>
    <row r="21" spans="1:21" s="88" customFormat="1" ht="17.25" customHeight="1" hidden="1" thickBot="1">
      <c r="A21" s="359" t="s">
        <v>102</v>
      </c>
      <c r="B21" s="360"/>
      <c r="C21" s="361">
        <v>254.82</v>
      </c>
      <c r="D21" s="362">
        <v>0</v>
      </c>
      <c r="E21" s="363"/>
      <c r="F21" s="361">
        <v>383.31</v>
      </c>
      <c r="G21" s="364">
        <v>488.43</v>
      </c>
      <c r="H21" s="365"/>
      <c r="I21" s="361">
        <v>387.71</v>
      </c>
      <c r="J21" s="364">
        <v>19.1</v>
      </c>
      <c r="K21" s="365"/>
      <c r="L21" s="361">
        <v>1488.8</v>
      </c>
      <c r="M21" s="366"/>
      <c r="N21" s="364">
        <v>822.09</v>
      </c>
      <c r="O21" s="365"/>
      <c r="P21" s="367">
        <f t="shared" si="0"/>
        <v>2514.64</v>
      </c>
      <c r="Q21" s="367">
        <f>D21+G21+J21+N21</f>
        <v>1329.6200000000001</v>
      </c>
      <c r="R21" s="367"/>
      <c r="S21" s="282"/>
      <c r="T21" s="124"/>
      <c r="U21" s="124"/>
    </row>
    <row r="22" spans="1:21" s="88" customFormat="1" ht="17.25" customHeight="1" thickBot="1">
      <c r="A22" s="368"/>
      <c r="B22" s="319"/>
      <c r="C22" s="369"/>
      <c r="D22" s="370"/>
      <c r="E22" s="371"/>
      <c r="F22" s="369"/>
      <c r="G22" s="372"/>
      <c r="H22" s="373"/>
      <c r="I22" s="369"/>
      <c r="J22" s="372"/>
      <c r="K22" s="373"/>
      <c r="L22" s="369"/>
      <c r="M22" s="366"/>
      <c r="N22" s="372"/>
      <c r="O22" s="373"/>
      <c r="P22" s="367">
        <f>SUM(P9:P21)-P19-P21</f>
        <v>142001.09</v>
      </c>
      <c r="Q22" s="367">
        <f>SUM(Q9:Q21)-Q19-Q21</f>
        <v>41953.329999999994</v>
      </c>
      <c r="R22" s="367">
        <f>R9+R10+R11+R12+R13+R14+R15+R16+R17+R18+R20</f>
        <v>182724.29</v>
      </c>
      <c r="S22" s="271"/>
      <c r="T22" s="124"/>
      <c r="U22" s="1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8.7109375" style="33" hidden="1" customWidth="1"/>
    <col min="6" max="7" width="8.7109375" style="32" hidden="1" customWidth="1"/>
    <col min="8" max="8" width="8.7109375" style="33" hidden="1" customWidth="1"/>
    <col min="9" max="10" width="8.7109375" style="32" hidden="1" customWidth="1"/>
    <col min="11" max="11" width="8.7109375" style="33" hidden="1" customWidth="1"/>
    <col min="12" max="14" width="8.7109375" style="32" hidden="1" customWidth="1"/>
    <col min="15" max="15" width="10.140625" style="33" hidden="1" customWidth="1"/>
    <col min="16" max="17" width="16.00390625" style="34" customWidth="1"/>
    <col min="18" max="18" width="16.00390625" style="33" customWidth="1"/>
    <col min="19" max="19" width="25.7109375" style="34" customWidth="1"/>
    <col min="20" max="21" width="9.140625" style="32" customWidth="1"/>
  </cols>
  <sheetData>
    <row r="1" ht="15">
      <c r="A1" s="32" t="s">
        <v>115</v>
      </c>
    </row>
    <row r="3" spans="1:4" ht="15">
      <c r="A3" s="32" t="s">
        <v>117</v>
      </c>
      <c r="C3" s="35"/>
      <c r="D3" s="36"/>
    </row>
    <row r="4" ht="15">
      <c r="A4" s="32" t="s">
        <v>116</v>
      </c>
    </row>
    <row r="5" ht="15">
      <c r="B5" s="32">
        <v>708.8</v>
      </c>
    </row>
    <row r="6" ht="15.75" thickBot="1"/>
    <row r="7" spans="1:21" s="9" customFormat="1" ht="34.5" customHeight="1" thickBot="1">
      <c r="A7" s="37" t="s">
        <v>87</v>
      </c>
      <c r="B7" s="112" t="s">
        <v>140</v>
      </c>
      <c r="C7" s="107" t="s">
        <v>88</v>
      </c>
      <c r="D7" s="108" t="s">
        <v>89</v>
      </c>
      <c r="E7" s="109" t="s">
        <v>112</v>
      </c>
      <c r="F7" s="107" t="s">
        <v>90</v>
      </c>
      <c r="G7" s="110" t="s">
        <v>91</v>
      </c>
      <c r="H7" s="111" t="s">
        <v>111</v>
      </c>
      <c r="I7" s="107" t="s">
        <v>92</v>
      </c>
      <c r="J7" s="110" t="s">
        <v>93</v>
      </c>
      <c r="K7" s="111" t="s">
        <v>113</v>
      </c>
      <c r="L7" s="107" t="s">
        <v>94</v>
      </c>
      <c r="M7" s="109"/>
      <c r="N7" s="110" t="s">
        <v>95</v>
      </c>
      <c r="O7" s="42" t="s">
        <v>114</v>
      </c>
      <c r="P7" s="37" t="s">
        <v>159</v>
      </c>
      <c r="Q7" s="37" t="s">
        <v>137</v>
      </c>
      <c r="R7" s="37" t="s">
        <v>138</v>
      </c>
      <c r="S7" s="37"/>
      <c r="T7" s="43"/>
      <c r="U7" s="43"/>
    </row>
    <row r="8" spans="1:21" s="320" customFormat="1" ht="17.25" customHeight="1">
      <c r="A8" s="310" t="s">
        <v>139</v>
      </c>
      <c r="B8" s="311" t="s">
        <v>142</v>
      </c>
      <c r="C8" s="312">
        <v>1694.06</v>
      </c>
      <c r="D8" s="313">
        <v>0</v>
      </c>
      <c r="E8" s="314"/>
      <c r="F8" s="312">
        <v>1694.06</v>
      </c>
      <c r="G8" s="315">
        <v>366.63</v>
      </c>
      <c r="H8" s="316"/>
      <c r="I8" s="312">
        <v>1694.06</v>
      </c>
      <c r="J8" s="315">
        <v>264.68</v>
      </c>
      <c r="K8" s="316"/>
      <c r="L8" s="312">
        <v>12630.82</v>
      </c>
      <c r="M8" s="317">
        <v>1</v>
      </c>
      <c r="N8" s="315">
        <v>4630.23</v>
      </c>
      <c r="O8" s="316"/>
      <c r="P8" s="318">
        <f aca="true" t="shared" si="0" ref="P8:P19">C8+F8+I8+L8</f>
        <v>17713</v>
      </c>
      <c r="Q8" s="318">
        <f aca="true" t="shared" si="1" ref="Q8:Q19">D8+G8+J8+N8</f>
        <v>5261.539999999999</v>
      </c>
      <c r="R8" s="318">
        <f>R9+R10+R11+R12+R13</f>
        <v>18252.739999999998</v>
      </c>
      <c r="S8" s="318"/>
      <c r="T8" s="319"/>
      <c r="U8" s="319"/>
    </row>
    <row r="9" spans="1:21" s="320" customFormat="1" ht="17.25" customHeight="1">
      <c r="A9" s="321" t="s">
        <v>105</v>
      </c>
      <c r="B9" s="322" t="s">
        <v>141</v>
      </c>
      <c r="C9" s="323">
        <v>0</v>
      </c>
      <c r="D9" s="324">
        <v>0</v>
      </c>
      <c r="E9" s="325"/>
      <c r="F9" s="323">
        <v>0</v>
      </c>
      <c r="G9" s="326">
        <v>0</v>
      </c>
      <c r="H9" s="327"/>
      <c r="I9" s="323">
        <v>0</v>
      </c>
      <c r="J9" s="326">
        <v>0</v>
      </c>
      <c r="K9" s="327"/>
      <c r="L9" s="323">
        <f>B9*B5</f>
        <v>2778.4959999999996</v>
      </c>
      <c r="M9" s="328">
        <f>L9/L8</f>
        <v>0.21997748364714245</v>
      </c>
      <c r="N9" s="326">
        <f>M9*N8</f>
        <v>1018.5463441075083</v>
      </c>
      <c r="O9" s="327"/>
      <c r="P9" s="329">
        <f t="shared" si="0"/>
        <v>2778.4959999999996</v>
      </c>
      <c r="Q9" s="329">
        <f t="shared" si="1"/>
        <v>1018.5463441075083</v>
      </c>
      <c r="R9" s="329">
        <v>5556.37</v>
      </c>
      <c r="S9" s="330" t="s">
        <v>156</v>
      </c>
      <c r="T9" s="319"/>
      <c r="U9" s="319"/>
    </row>
    <row r="10" spans="1:21" s="320" customFormat="1" ht="31.5" customHeight="1">
      <c r="A10" s="331" t="s">
        <v>146</v>
      </c>
      <c r="B10" s="332" t="s">
        <v>143</v>
      </c>
      <c r="C10" s="323">
        <v>0</v>
      </c>
      <c r="D10" s="324">
        <v>0</v>
      </c>
      <c r="E10" s="325"/>
      <c r="F10" s="323">
        <v>0</v>
      </c>
      <c r="G10" s="326">
        <v>0</v>
      </c>
      <c r="H10" s="327"/>
      <c r="I10" s="323">
        <v>0</v>
      </c>
      <c r="J10" s="326">
        <v>0</v>
      </c>
      <c r="K10" s="327"/>
      <c r="L10" s="323">
        <f>B10*B5</f>
        <v>1332.5439999999999</v>
      </c>
      <c r="M10" s="328">
        <f>L10/L8</f>
        <v>0.10549940542260913</v>
      </c>
      <c r="N10" s="326">
        <f>M10*N8</f>
        <v>488.48651196992745</v>
      </c>
      <c r="O10" s="327"/>
      <c r="P10" s="329">
        <f t="shared" si="0"/>
        <v>1332.5439999999999</v>
      </c>
      <c r="Q10" s="329">
        <f t="shared" si="1"/>
        <v>488.48651196992745</v>
      </c>
      <c r="R10" s="329">
        <f>5380.39*30%</f>
        <v>1614.117</v>
      </c>
      <c r="S10" s="330" t="s">
        <v>156</v>
      </c>
      <c r="T10" s="319"/>
      <c r="U10" s="319"/>
    </row>
    <row r="11" spans="1:21" s="320" customFormat="1" ht="17.25" customHeight="1">
      <c r="A11" s="331" t="s">
        <v>107</v>
      </c>
      <c r="B11" s="332" t="s">
        <v>144</v>
      </c>
      <c r="C11" s="323">
        <v>0</v>
      </c>
      <c r="D11" s="324">
        <v>0</v>
      </c>
      <c r="E11" s="325"/>
      <c r="F11" s="323">
        <v>0</v>
      </c>
      <c r="G11" s="326">
        <v>0</v>
      </c>
      <c r="H11" s="327"/>
      <c r="I11" s="323">
        <v>0</v>
      </c>
      <c r="J11" s="326">
        <v>0</v>
      </c>
      <c r="K11" s="327"/>
      <c r="L11" s="323">
        <f>B11*B5</f>
        <v>3083.2799999999997</v>
      </c>
      <c r="M11" s="328">
        <f>L11/L8</f>
        <v>0.2441076668023137</v>
      </c>
      <c r="N11" s="326">
        <f>M11*N8</f>
        <v>1130.2746420580768</v>
      </c>
      <c r="O11" s="327"/>
      <c r="P11" s="329">
        <f t="shared" si="0"/>
        <v>3083.2799999999997</v>
      </c>
      <c r="Q11" s="329">
        <f t="shared" si="1"/>
        <v>1130.2746420580768</v>
      </c>
      <c r="R11" s="329">
        <f>5380.39-R10</f>
        <v>3766.273</v>
      </c>
      <c r="S11" s="330" t="s">
        <v>156</v>
      </c>
      <c r="T11" s="319"/>
      <c r="U11" s="319"/>
    </row>
    <row r="12" spans="1:21" s="320" customFormat="1" ht="17.25" customHeight="1">
      <c r="A12" s="331" t="s">
        <v>108</v>
      </c>
      <c r="B12" s="332" t="s">
        <v>145</v>
      </c>
      <c r="C12" s="323">
        <v>1694.06</v>
      </c>
      <c r="D12" s="324">
        <v>0</v>
      </c>
      <c r="E12" s="325"/>
      <c r="F12" s="323">
        <v>1694.06</v>
      </c>
      <c r="G12" s="326">
        <v>366.63</v>
      </c>
      <c r="H12" s="327"/>
      <c r="I12" s="323">
        <v>1694.06</v>
      </c>
      <c r="J12" s="326">
        <v>264.68</v>
      </c>
      <c r="K12" s="327"/>
      <c r="L12" s="323">
        <v>1694.06</v>
      </c>
      <c r="M12" s="328">
        <f>L12/L8</f>
        <v>0.13412114177860188</v>
      </c>
      <c r="N12" s="326">
        <f>M12*N8</f>
        <v>621.0117342975357</v>
      </c>
      <c r="O12" s="327"/>
      <c r="P12" s="329">
        <f t="shared" si="0"/>
        <v>6776.24</v>
      </c>
      <c r="Q12" s="329">
        <f t="shared" si="1"/>
        <v>1252.3217342975356</v>
      </c>
      <c r="R12" s="329">
        <v>7315.98</v>
      </c>
      <c r="S12" s="330" t="s">
        <v>154</v>
      </c>
      <c r="T12" s="319"/>
      <c r="U12" s="319"/>
    </row>
    <row r="13" spans="1:21" s="320" customFormat="1" ht="17.25" customHeight="1" thickBot="1">
      <c r="A13" s="292" t="s">
        <v>110</v>
      </c>
      <c r="B13" s="333">
        <f>B8-B9-B10-B11-B12</f>
        <v>5.279999999999999</v>
      </c>
      <c r="C13" s="334">
        <v>0</v>
      </c>
      <c r="D13" s="335">
        <v>0</v>
      </c>
      <c r="E13" s="336"/>
      <c r="F13" s="334">
        <v>0</v>
      </c>
      <c r="G13" s="337">
        <v>0</v>
      </c>
      <c r="H13" s="338"/>
      <c r="I13" s="334">
        <v>0</v>
      </c>
      <c r="J13" s="337">
        <v>0</v>
      </c>
      <c r="K13" s="338"/>
      <c r="L13" s="334">
        <f>B13*B5-0.02</f>
        <v>3742.4439999999995</v>
      </c>
      <c r="M13" s="339">
        <f>L13/L8</f>
        <v>0.29629461903502696</v>
      </c>
      <c r="N13" s="337">
        <f>M13*N8</f>
        <v>1371.9122338945529</v>
      </c>
      <c r="O13" s="338"/>
      <c r="P13" s="340">
        <f t="shared" si="0"/>
        <v>3742.4439999999995</v>
      </c>
      <c r="Q13" s="340">
        <f t="shared" si="1"/>
        <v>1371.9122338945529</v>
      </c>
      <c r="R13" s="340">
        <v>0</v>
      </c>
      <c r="S13" s="341"/>
      <c r="T13" s="319"/>
      <c r="U13" s="319"/>
    </row>
    <row r="14" spans="1:21" s="320" customFormat="1" ht="17.25" customHeight="1" thickBot="1">
      <c r="A14" s="342" t="s">
        <v>147</v>
      </c>
      <c r="B14" s="343"/>
      <c r="C14" s="344">
        <v>207.96</v>
      </c>
      <c r="D14" s="345">
        <v>0</v>
      </c>
      <c r="E14" s="346"/>
      <c r="F14" s="344">
        <v>207.96</v>
      </c>
      <c r="G14" s="347">
        <v>32.18</v>
      </c>
      <c r="H14" s="348"/>
      <c r="I14" s="344">
        <v>207.96</v>
      </c>
      <c r="J14" s="347">
        <v>22.77</v>
      </c>
      <c r="K14" s="348"/>
      <c r="L14" s="344">
        <v>207.96</v>
      </c>
      <c r="M14" s="346"/>
      <c r="N14" s="347">
        <v>192.96</v>
      </c>
      <c r="O14" s="348"/>
      <c r="P14" s="349">
        <f t="shared" si="0"/>
        <v>831.84</v>
      </c>
      <c r="Q14" s="349">
        <f t="shared" si="1"/>
        <v>247.91000000000003</v>
      </c>
      <c r="R14" s="349">
        <v>0</v>
      </c>
      <c r="S14" s="349"/>
      <c r="T14" s="319"/>
      <c r="U14" s="319"/>
    </row>
    <row r="15" spans="1:21" s="320" customFormat="1" ht="17.25" customHeight="1">
      <c r="A15" s="350" t="s">
        <v>97</v>
      </c>
      <c r="B15" s="351"/>
      <c r="C15" s="312">
        <v>0</v>
      </c>
      <c r="D15" s="313">
        <v>0</v>
      </c>
      <c r="E15" s="314"/>
      <c r="F15" s="312">
        <v>0</v>
      </c>
      <c r="G15" s="315">
        <v>0</v>
      </c>
      <c r="H15" s="316"/>
      <c r="I15" s="312">
        <v>2638.59</v>
      </c>
      <c r="J15" s="315">
        <v>106.84</v>
      </c>
      <c r="K15" s="316"/>
      <c r="L15" s="312">
        <v>5807.41</v>
      </c>
      <c r="M15" s="314"/>
      <c r="N15" s="315">
        <v>2498.16</v>
      </c>
      <c r="O15" s="316"/>
      <c r="P15" s="318">
        <f t="shared" si="0"/>
        <v>8446</v>
      </c>
      <c r="Q15" s="318">
        <f t="shared" si="1"/>
        <v>2605</v>
      </c>
      <c r="R15" s="318">
        <v>9992.77</v>
      </c>
      <c r="S15" s="352" t="s">
        <v>155</v>
      </c>
      <c r="T15" s="319"/>
      <c r="U15" s="319"/>
    </row>
    <row r="16" spans="1:21" s="320" customFormat="1" ht="17.25" customHeight="1" thickBot="1">
      <c r="A16" s="353" t="s">
        <v>98</v>
      </c>
      <c r="B16" s="354"/>
      <c r="C16" s="334">
        <v>0</v>
      </c>
      <c r="D16" s="335">
        <v>0</v>
      </c>
      <c r="E16" s="336"/>
      <c r="F16" s="334">
        <v>0</v>
      </c>
      <c r="G16" s="337">
        <v>0</v>
      </c>
      <c r="H16" s="338"/>
      <c r="I16" s="334">
        <v>6302.16</v>
      </c>
      <c r="J16" s="337">
        <v>255.17</v>
      </c>
      <c r="K16" s="338"/>
      <c r="L16" s="334">
        <v>13870.75</v>
      </c>
      <c r="M16" s="336"/>
      <c r="N16" s="337">
        <v>5966.78</v>
      </c>
      <c r="O16" s="338"/>
      <c r="P16" s="341">
        <f t="shared" si="0"/>
        <v>20172.91</v>
      </c>
      <c r="Q16" s="341">
        <f t="shared" si="1"/>
        <v>6221.95</v>
      </c>
      <c r="R16" s="341">
        <v>23871.65</v>
      </c>
      <c r="S16" s="341" t="s">
        <v>155</v>
      </c>
      <c r="T16" s="319"/>
      <c r="U16" s="319"/>
    </row>
    <row r="17" spans="1:21" s="320" customFormat="1" ht="17.25" customHeight="1" thickBot="1">
      <c r="A17" s="342" t="s">
        <v>6</v>
      </c>
      <c r="B17" s="343"/>
      <c r="C17" s="344">
        <v>0</v>
      </c>
      <c r="D17" s="345">
        <v>0</v>
      </c>
      <c r="E17" s="346"/>
      <c r="F17" s="344">
        <v>0</v>
      </c>
      <c r="G17" s="347">
        <v>0</v>
      </c>
      <c r="H17" s="348"/>
      <c r="I17" s="344">
        <v>20020.91</v>
      </c>
      <c r="J17" s="347">
        <v>1163.13</v>
      </c>
      <c r="K17" s="348"/>
      <c r="L17" s="344">
        <v>46048.07</v>
      </c>
      <c r="M17" s="346"/>
      <c r="N17" s="347">
        <v>18680.4</v>
      </c>
      <c r="O17" s="348"/>
      <c r="P17" s="349">
        <f t="shared" si="0"/>
        <v>66068.98</v>
      </c>
      <c r="Q17" s="349">
        <f t="shared" si="1"/>
        <v>19843.530000000002</v>
      </c>
      <c r="R17" s="349">
        <v>98494.6</v>
      </c>
      <c r="S17" s="318" t="s">
        <v>155</v>
      </c>
      <c r="T17" s="319"/>
      <c r="U17" s="319"/>
    </row>
    <row r="18" spans="1:21" s="320" customFormat="1" ht="17.25" customHeight="1" thickBot="1">
      <c r="A18" s="342" t="s">
        <v>99</v>
      </c>
      <c r="B18" s="343"/>
      <c r="C18" s="344">
        <v>1142.4</v>
      </c>
      <c r="D18" s="345">
        <v>0</v>
      </c>
      <c r="E18" s="346"/>
      <c r="F18" s="344">
        <v>1142.4</v>
      </c>
      <c r="G18" s="347">
        <v>293.76</v>
      </c>
      <c r="H18" s="348"/>
      <c r="I18" s="344">
        <v>1142.4</v>
      </c>
      <c r="J18" s="347">
        <v>116.13</v>
      </c>
      <c r="K18" s="348"/>
      <c r="L18" s="344">
        <v>2811.81</v>
      </c>
      <c r="M18" s="346"/>
      <c r="N18" s="347">
        <v>2055.55</v>
      </c>
      <c r="O18" s="348"/>
      <c r="P18" s="349">
        <f t="shared" si="0"/>
        <v>6239.01</v>
      </c>
      <c r="Q18" s="349">
        <f t="shared" si="1"/>
        <v>2465.44</v>
      </c>
      <c r="R18" s="349">
        <f>P18</f>
        <v>6239.01</v>
      </c>
      <c r="S18" s="349" t="s">
        <v>157</v>
      </c>
      <c r="T18" s="319"/>
      <c r="U18" s="319"/>
    </row>
    <row r="19" spans="1:21" s="320" customFormat="1" ht="17.25" customHeight="1" thickBot="1">
      <c r="A19" s="342" t="s">
        <v>100</v>
      </c>
      <c r="B19" s="343"/>
      <c r="C19" s="344">
        <v>1201.84</v>
      </c>
      <c r="D19" s="345">
        <v>0</v>
      </c>
      <c r="E19" s="346"/>
      <c r="F19" s="344">
        <v>1201.84</v>
      </c>
      <c r="G19" s="347">
        <v>309.03</v>
      </c>
      <c r="H19" s="348"/>
      <c r="I19" s="344">
        <v>1201.84</v>
      </c>
      <c r="J19" s="347">
        <v>122.17</v>
      </c>
      <c r="K19" s="348"/>
      <c r="L19" s="344">
        <v>3781.23</v>
      </c>
      <c r="M19" s="346"/>
      <c r="N19" s="347">
        <v>2327.4</v>
      </c>
      <c r="O19" s="348"/>
      <c r="P19" s="349">
        <f t="shared" si="0"/>
        <v>7386.75</v>
      </c>
      <c r="Q19" s="349">
        <f t="shared" si="1"/>
        <v>2758.6</v>
      </c>
      <c r="R19" s="349">
        <f>P19</f>
        <v>7386.75</v>
      </c>
      <c r="S19" s="349" t="s">
        <v>157</v>
      </c>
      <c r="T19" s="319"/>
      <c r="U19" s="319"/>
    </row>
    <row r="20" spans="1:21" s="320" customFormat="1" ht="17.25" customHeight="1" thickBot="1">
      <c r="A20" s="355"/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49">
        <f>P9+P10+P11+P12+P13+P14+P15+P16+P17+P18+P19</f>
        <v>126858.49399999999</v>
      </c>
      <c r="Q20" s="349">
        <f>Q9+Q10+Q11+Q12+Q13+Q14+Q15+Q16+Q17+Q18+Q19</f>
        <v>39403.9714663276</v>
      </c>
      <c r="R20" s="349">
        <f>R9+R10+R11+R12+R13+R14+R15+R16+R17+R18+R19</f>
        <v>164237.52000000002</v>
      </c>
      <c r="S20" s="349"/>
      <c r="T20" s="319"/>
      <c r="U20" s="3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75" zoomScaleNormal="75" zoomScalePageLayoutView="0" workbookViewId="0" topLeftCell="A1">
      <selection activeCell="Z35" sqref="Z35"/>
    </sheetView>
  </sheetViews>
  <sheetFormatPr defaultColWidth="9.140625" defaultRowHeight="15"/>
  <cols>
    <col min="1" max="1" width="11.8515625" style="3" customWidth="1"/>
    <col min="2" max="2" width="13.28125" style="3" customWidth="1"/>
    <col min="3" max="3" width="5.140625" style="4" customWidth="1"/>
    <col min="4" max="4" width="7.140625" style="4" customWidth="1"/>
    <col min="5" max="5" width="9.421875" style="4" hidden="1" customWidth="1"/>
    <col min="6" max="6" width="9.28125" style="5" hidden="1" customWidth="1"/>
    <col min="7" max="9" width="11.140625" style="4" customWidth="1"/>
    <col min="10" max="12" width="10.00390625" style="4" customWidth="1"/>
    <col min="13" max="15" width="9.8515625" style="4" customWidth="1"/>
    <col min="16" max="18" width="10.00390625" style="4" customWidth="1"/>
    <col min="19" max="19" width="11.7109375" style="4" customWidth="1"/>
    <col min="20" max="20" width="10.421875" style="4" customWidth="1"/>
    <col min="21" max="21" width="11.7109375" style="4" customWidth="1"/>
    <col min="22" max="27" width="10.00390625" style="4" customWidth="1"/>
    <col min="28" max="28" width="12.57421875" style="4" customWidth="1"/>
    <col min="29" max="29" width="12.7109375" style="4" customWidth="1"/>
    <col min="30" max="30" width="13.140625" style="4" customWidth="1"/>
  </cols>
  <sheetData>
    <row r="1" ht="15.75" thickBot="1"/>
    <row r="2" spans="1:30" s="2" customFormat="1" ht="26.25" customHeight="1" thickBot="1">
      <c r="A2" s="405" t="s">
        <v>0</v>
      </c>
      <c r="B2" s="408" t="s">
        <v>1</v>
      </c>
      <c r="C2" s="408" t="s">
        <v>2</v>
      </c>
      <c r="D2" s="408" t="s">
        <v>162</v>
      </c>
      <c r="E2" s="6" t="s">
        <v>41</v>
      </c>
      <c r="F2" s="6" t="s">
        <v>33</v>
      </c>
      <c r="G2" s="413" t="s">
        <v>86</v>
      </c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3" t="s">
        <v>160</v>
      </c>
      <c r="AC2" s="414"/>
      <c r="AD2" s="415"/>
    </row>
    <row r="3" spans="1:30" s="2" customFormat="1" ht="18.75" customHeight="1" thickBot="1">
      <c r="A3" s="406"/>
      <c r="B3" s="409"/>
      <c r="C3" s="409"/>
      <c r="D3" s="409"/>
      <c r="E3" s="8"/>
      <c r="F3" s="8"/>
      <c r="G3" s="439" t="s">
        <v>29</v>
      </c>
      <c r="H3" s="440"/>
      <c r="I3" s="441"/>
      <c r="J3" s="439" t="s">
        <v>28</v>
      </c>
      <c r="K3" s="440"/>
      <c r="L3" s="441"/>
      <c r="M3" s="439" t="s">
        <v>30</v>
      </c>
      <c r="N3" s="440"/>
      <c r="O3" s="441"/>
      <c r="P3" s="439" t="s">
        <v>31</v>
      </c>
      <c r="Q3" s="440"/>
      <c r="R3" s="441"/>
      <c r="S3" s="439" t="s">
        <v>6</v>
      </c>
      <c r="T3" s="440"/>
      <c r="U3" s="441"/>
      <c r="V3" s="439" t="s">
        <v>103</v>
      </c>
      <c r="W3" s="440"/>
      <c r="X3" s="441"/>
      <c r="Y3" s="439" t="s">
        <v>104</v>
      </c>
      <c r="Z3" s="440"/>
      <c r="AA3" s="441"/>
      <c r="AB3" s="419"/>
      <c r="AC3" s="420"/>
      <c r="AD3" s="421"/>
    </row>
    <row r="4" spans="1:30" s="2" customFormat="1" ht="38.25" customHeight="1" thickBot="1">
      <c r="A4" s="407"/>
      <c r="B4" s="410"/>
      <c r="C4" s="410"/>
      <c r="D4" s="410"/>
      <c r="E4" s="7"/>
      <c r="F4" s="7"/>
      <c r="G4" s="416" t="s">
        <v>83</v>
      </c>
      <c r="H4" s="417" t="s">
        <v>84</v>
      </c>
      <c r="I4" s="418" t="s">
        <v>85</v>
      </c>
      <c r="J4" s="416" t="s">
        <v>83</v>
      </c>
      <c r="K4" s="417" t="s">
        <v>84</v>
      </c>
      <c r="L4" s="418" t="s">
        <v>85</v>
      </c>
      <c r="M4" s="416" t="s">
        <v>83</v>
      </c>
      <c r="N4" s="417" t="s">
        <v>84</v>
      </c>
      <c r="O4" s="418" t="s">
        <v>85</v>
      </c>
      <c r="P4" s="416" t="s">
        <v>83</v>
      </c>
      <c r="Q4" s="417" t="s">
        <v>84</v>
      </c>
      <c r="R4" s="418" t="s">
        <v>85</v>
      </c>
      <c r="S4" s="416" t="s">
        <v>83</v>
      </c>
      <c r="T4" s="417" t="s">
        <v>84</v>
      </c>
      <c r="U4" s="418" t="s">
        <v>85</v>
      </c>
      <c r="V4" s="416" t="s">
        <v>83</v>
      </c>
      <c r="W4" s="417" t="s">
        <v>84</v>
      </c>
      <c r="X4" s="418" t="s">
        <v>85</v>
      </c>
      <c r="Y4" s="416" t="s">
        <v>83</v>
      </c>
      <c r="Z4" s="417" t="s">
        <v>84</v>
      </c>
      <c r="AA4" s="438" t="s">
        <v>85</v>
      </c>
      <c r="AB4" s="432" t="s">
        <v>83</v>
      </c>
      <c r="AC4" s="422" t="s">
        <v>84</v>
      </c>
      <c r="AD4" s="422" t="s">
        <v>85</v>
      </c>
    </row>
    <row r="5" spans="1:30" s="381" customFormat="1" ht="19.5" customHeight="1">
      <c r="A5" s="375" t="s">
        <v>3</v>
      </c>
      <c r="B5" s="376" t="s">
        <v>4</v>
      </c>
      <c r="C5" s="377" t="s">
        <v>10</v>
      </c>
      <c r="D5" s="378" t="s">
        <v>49</v>
      </c>
      <c r="E5" s="378" t="s">
        <v>42</v>
      </c>
      <c r="F5" s="379" t="s">
        <v>32</v>
      </c>
      <c r="G5" s="323">
        <f>'50 лет ВЛКСМ 8'!P8</f>
        <v>17713</v>
      </c>
      <c r="H5" s="380">
        <f>'50 лет ВЛКСМ 8'!Q8</f>
        <v>5261.539999999999</v>
      </c>
      <c r="I5" s="370">
        <f>'50 лет ВЛКСМ 8'!R8</f>
        <v>18252.739999999998</v>
      </c>
      <c r="J5" s="323">
        <f>'50 лет ВЛКСМ 8'!P14</f>
        <v>831.84</v>
      </c>
      <c r="K5" s="380">
        <f>'50 лет ВЛКСМ 8'!Q14</f>
        <v>247.91000000000003</v>
      </c>
      <c r="L5" s="370">
        <f>'50 лет ВЛКСМ 8'!R14</f>
        <v>0</v>
      </c>
      <c r="M5" s="323">
        <f>'50 лет ВЛКСМ 8'!P15</f>
        <v>8446</v>
      </c>
      <c r="N5" s="380">
        <f>'50 лет ВЛКСМ 8'!Q15</f>
        <v>2605</v>
      </c>
      <c r="O5" s="370">
        <f>'50 лет ВЛКСМ 8'!R15</f>
        <v>9992.77</v>
      </c>
      <c r="P5" s="323">
        <f>'50 лет ВЛКСМ 8'!P16</f>
        <v>20172.91</v>
      </c>
      <c r="Q5" s="380">
        <f>'50 лет ВЛКСМ 8'!Q8</f>
        <v>5261.539999999999</v>
      </c>
      <c r="R5" s="370">
        <f>'50 лет ВЛКСМ 8'!R16</f>
        <v>23871.65</v>
      </c>
      <c r="S5" s="323">
        <f>'50 лет ВЛКСМ 8'!P17</f>
        <v>66068.98</v>
      </c>
      <c r="T5" s="380">
        <f>'50 лет ВЛКСМ 8'!Q17</f>
        <v>19843.530000000002</v>
      </c>
      <c r="U5" s="370">
        <f>'50 лет ВЛКСМ 8'!R17</f>
        <v>98494.6</v>
      </c>
      <c r="V5" s="323">
        <f>'50 лет ВЛКСМ 8'!P18</f>
        <v>6239.01</v>
      </c>
      <c r="W5" s="380">
        <f>'50 лет ВЛКСМ 8'!Q18</f>
        <v>2465.44</v>
      </c>
      <c r="X5" s="370">
        <f>'50 лет ВЛКСМ 8'!R18</f>
        <v>6239.01</v>
      </c>
      <c r="Y5" s="323">
        <f>'50 лет ВЛКСМ 8'!P19</f>
        <v>7386.75</v>
      </c>
      <c r="Z5" s="380">
        <f>'50 лет ВЛКСМ 8'!Q19</f>
        <v>2758.6</v>
      </c>
      <c r="AA5" s="372">
        <f>'50 лет ВЛКСМ 8'!R19</f>
        <v>7386.75</v>
      </c>
      <c r="AB5" s="433">
        <f>Y5+V5+S5+P5+M5+J5+G5</f>
        <v>126858.48999999999</v>
      </c>
      <c r="AC5" s="429">
        <f>Z5+W5+T5+Q5+N5+K5+H5</f>
        <v>38443.560000000005</v>
      </c>
      <c r="AD5" s="429">
        <f>AA5+X5+U5+R5+O5+L5+I5</f>
        <v>164237.52</v>
      </c>
    </row>
    <row r="6" spans="1:30" s="381" customFormat="1" ht="19.5" customHeight="1">
      <c r="A6" s="382" t="s">
        <v>3</v>
      </c>
      <c r="B6" s="383" t="s">
        <v>4</v>
      </c>
      <c r="C6" s="384" t="s">
        <v>5</v>
      </c>
      <c r="D6" s="385" t="s">
        <v>50</v>
      </c>
      <c r="E6" s="385" t="s">
        <v>43</v>
      </c>
      <c r="F6" s="386" t="s">
        <v>34</v>
      </c>
      <c r="G6" s="369">
        <f>'50 лет ВЛКСМ 10'!P8</f>
        <v>19413.45</v>
      </c>
      <c r="H6" s="380">
        <f>'50 лет ВЛКСМ 10'!Q8</f>
        <v>5053.780000000001</v>
      </c>
      <c r="I6" s="370">
        <f>'50 лет ВЛКСМ 10'!R8</f>
        <v>20004.99</v>
      </c>
      <c r="J6" s="323">
        <f>'50 лет ВЛКСМ 10'!P14</f>
        <v>1310.8</v>
      </c>
      <c r="K6" s="380">
        <f>'50 лет ВЛКСМ 10'!Q14</f>
        <v>653.51</v>
      </c>
      <c r="L6" s="370">
        <f>'50 лет ВЛКСМ 10'!R14</f>
        <v>0</v>
      </c>
      <c r="M6" s="323">
        <f>'50 лет ВЛКСМ 10'!P15</f>
        <v>9505.779999999999</v>
      </c>
      <c r="N6" s="380">
        <f>'50 лет ВЛКСМ 10'!Q15</f>
        <v>3002.57</v>
      </c>
      <c r="O6" s="370">
        <f>'50 лет ВЛКСМ 10'!R15</f>
        <v>11246.64</v>
      </c>
      <c r="P6" s="323">
        <f>'50 лет ВЛКСМ 10'!P16</f>
        <v>22704.23</v>
      </c>
      <c r="Q6" s="380">
        <f>'50 лет ВЛКСМ 10'!Q16</f>
        <v>7171.57</v>
      </c>
      <c r="R6" s="370">
        <f>'50 лет ВЛКСМ 10'!R16</f>
        <v>26867.09</v>
      </c>
      <c r="S6" s="323">
        <f>'50 лет ВЛКСМ 10'!P17</f>
        <v>72412.14</v>
      </c>
      <c r="T6" s="380">
        <f>'50 лет ВЛКСМ 10'!Q17</f>
        <v>19620.329999999998</v>
      </c>
      <c r="U6" s="370">
        <f>'50 лет ВЛКСМ 10'!R17</f>
        <v>107950.88</v>
      </c>
      <c r="V6" s="323">
        <f>'50 лет ВЛКСМ 10'!P18</f>
        <v>7072.780000000001</v>
      </c>
      <c r="W6" s="380">
        <f>'50 лет ВЛКСМ 10'!Q18</f>
        <v>2788.77</v>
      </c>
      <c r="X6" s="370">
        <f>'50 лет ВЛКСМ 10'!R18</f>
        <v>7072.780000000001</v>
      </c>
      <c r="Y6" s="323">
        <f>'50 лет ВЛКСМ 10'!P20</f>
        <v>9581.91</v>
      </c>
      <c r="Z6" s="380">
        <f>'50 лет ВЛКСМ 10'!Q20</f>
        <v>3662.8</v>
      </c>
      <c r="AA6" s="372">
        <f>'50 лет ВЛКСМ 10'!R20</f>
        <v>9581.91</v>
      </c>
      <c r="AB6" s="434">
        <f aca="true" t="shared" si="0" ref="AB6:AB29">Y6+V6+S6+P6+M6+J6+G6</f>
        <v>142001.09</v>
      </c>
      <c r="AC6" s="430">
        <f aca="true" t="shared" si="1" ref="AC6:AC29">Z6+W6+T6+Q6+N6+K6+H6</f>
        <v>41953.33</v>
      </c>
      <c r="AD6" s="430">
        <f>AA6+X6+U6+R6+O6+L6+I6</f>
        <v>182724.28999999998</v>
      </c>
    </row>
    <row r="7" spans="1:30" s="381" customFormat="1" ht="19.5" customHeight="1">
      <c r="A7" s="375" t="s">
        <v>3</v>
      </c>
      <c r="B7" s="376" t="s">
        <v>4</v>
      </c>
      <c r="C7" s="377" t="s">
        <v>7</v>
      </c>
      <c r="D7" s="378" t="s">
        <v>51</v>
      </c>
      <c r="E7" s="378" t="s">
        <v>44</v>
      </c>
      <c r="F7" s="379" t="s">
        <v>34</v>
      </c>
      <c r="G7" s="369">
        <f>'50 лет ВЛКСМ 11'!P8</f>
        <v>20159.5</v>
      </c>
      <c r="H7" s="380">
        <f>'50 лет ВЛКСМ 10'!Q8</f>
        <v>5053.780000000001</v>
      </c>
      <c r="I7" s="370">
        <f>'50 лет ВЛКСМ 11'!R8</f>
        <v>20773.78</v>
      </c>
      <c r="J7" s="323">
        <f>'50 лет ВЛКСМ 11'!P14</f>
        <v>507.8</v>
      </c>
      <c r="K7" s="380">
        <f>'50 лет ВЛКСМ 11'!Q14</f>
        <v>337.07</v>
      </c>
      <c r="L7" s="370">
        <f>'50 лет ВЛКСМ 11'!R14</f>
        <v>0</v>
      </c>
      <c r="M7" s="323">
        <f>'50 лет ВЛКСМ 11'!P15</f>
        <v>8073.280000000001</v>
      </c>
      <c r="N7" s="380">
        <f>'50 лет ВЛКСМ 11'!Q15</f>
        <v>4231.93</v>
      </c>
      <c r="O7" s="370">
        <f>'50 лет ВЛКСМ 11'!R15</f>
        <v>9551.79</v>
      </c>
      <c r="P7" s="323">
        <f>'50 лет ВЛКСМ 11'!P16</f>
        <v>19282.57</v>
      </c>
      <c r="Q7" s="380">
        <f>'50 лет ВЛКСМ 11'!Q16</f>
        <v>10107.82</v>
      </c>
      <c r="R7" s="370">
        <f>'50 лет ВЛКСМ 11'!R16</f>
        <v>22818.06</v>
      </c>
      <c r="S7" s="323">
        <f>'50 лет ВЛКСМ 11'!P17</f>
        <v>75194.54000000001</v>
      </c>
      <c r="T7" s="380">
        <f>'50 лет ВЛКСМ 11'!Q17</f>
        <v>39457.81</v>
      </c>
      <c r="U7" s="370">
        <f>'50 лет ВЛКСМ 11'!R17</f>
        <v>112098.84</v>
      </c>
      <c r="V7" s="323">
        <f>'50 лет ВЛКСМ 11'!P18</f>
        <v>5847.919999999999</v>
      </c>
      <c r="W7" s="380">
        <f>'50 лет ВЛКСМ 11'!Q18</f>
        <v>3833.19</v>
      </c>
      <c r="X7" s="370">
        <f>'50 лет ВЛКСМ 11'!R18</f>
        <v>5847.919999999999</v>
      </c>
      <c r="Y7" s="323">
        <f>'50 лет ВЛКСМ 11'!P20</f>
        <v>7282.47</v>
      </c>
      <c r="Z7" s="380">
        <f>'50 лет ВЛКСМ 11'!Q20</f>
        <v>4735.25</v>
      </c>
      <c r="AA7" s="372">
        <f>'50 лет ВЛКСМ 11'!R20</f>
        <v>7282.47</v>
      </c>
      <c r="AB7" s="434">
        <f t="shared" si="0"/>
        <v>136348.08000000002</v>
      </c>
      <c r="AC7" s="430">
        <f t="shared" si="1"/>
        <v>67756.85</v>
      </c>
      <c r="AD7" s="430">
        <f aca="true" t="shared" si="2" ref="AD7:AD29">AA7+X7+U7+R7+O7+L7+I7</f>
        <v>178372.86000000002</v>
      </c>
    </row>
    <row r="8" spans="1:30" s="381" customFormat="1" ht="19.5" customHeight="1">
      <c r="A8" s="375" t="s">
        <v>3</v>
      </c>
      <c r="B8" s="376" t="s">
        <v>4</v>
      </c>
      <c r="C8" s="377" t="s">
        <v>8</v>
      </c>
      <c r="D8" s="378" t="s">
        <v>52</v>
      </c>
      <c r="E8" s="378" t="s">
        <v>45</v>
      </c>
      <c r="F8" s="379" t="s">
        <v>34</v>
      </c>
      <c r="G8" s="369">
        <f>'50 лет ВЛКСМ 12'!P8</f>
        <v>20156.95</v>
      </c>
      <c r="H8" s="380">
        <f>'50 лет ВЛКСМ 12'!Q8</f>
        <v>4413.8099999999995</v>
      </c>
      <c r="I8" s="370">
        <f>'50 лет ВЛКСМ 12'!R8</f>
        <v>20771.15</v>
      </c>
      <c r="J8" s="323">
        <f>'50 лет ВЛКСМ 12'!P14</f>
        <v>962.6</v>
      </c>
      <c r="K8" s="380">
        <f>'50 лет ВЛКСМ 12'!Q14</f>
        <v>375.83000000000004</v>
      </c>
      <c r="L8" s="370">
        <f>'50 лет ВЛКСМ 12'!R14</f>
        <v>0</v>
      </c>
      <c r="M8" s="323">
        <f>'50 лет ВЛКСМ 12'!P15</f>
        <v>7794.82</v>
      </c>
      <c r="N8" s="380">
        <f>'50 лет ВЛКСМ 12'!Q15</f>
        <v>1771.75</v>
      </c>
      <c r="O8" s="370">
        <f>'50 лет ВЛКСМ 12'!R15</f>
        <v>9222.34</v>
      </c>
      <c r="P8" s="323">
        <f>'50 лет ВЛКСМ 12'!P16</f>
        <v>18617.53</v>
      </c>
      <c r="Q8" s="380">
        <f>'50 лет ВЛКСМ 12'!Q16</f>
        <v>4231.71</v>
      </c>
      <c r="R8" s="370">
        <f>'50 лет ВЛКСМ 12'!R16</f>
        <v>22031.09</v>
      </c>
      <c r="S8" s="323">
        <f>'50 лет ВЛКСМ 12'!P17</f>
        <v>73928.52</v>
      </c>
      <c r="T8" s="380">
        <f>'50 лет ВЛКСМ 12'!Q17</f>
        <v>17725.83</v>
      </c>
      <c r="U8" s="370">
        <f>'50 лет ВЛКСМ 12'!R17</f>
        <v>110211.48</v>
      </c>
      <c r="V8" s="323">
        <f>'50 лет ВЛКСМ 12'!P18</f>
        <v>5914.88</v>
      </c>
      <c r="W8" s="380">
        <f>'50 лет ВЛКСМ 12'!Q18</f>
        <v>2028.31</v>
      </c>
      <c r="X8" s="370">
        <f>'50 лет ВЛКСМ 12'!R18</f>
        <v>5914.88</v>
      </c>
      <c r="Y8" s="323">
        <f>'50 лет ВЛКСМ 12'!P20</f>
        <v>7182.76</v>
      </c>
      <c r="Z8" s="380">
        <f>'50 лет ВЛКСМ 12'!Q20</f>
        <v>2436.36</v>
      </c>
      <c r="AA8" s="372">
        <f>'50 лет ВЛКСМ 12'!R20</f>
        <v>7182.76</v>
      </c>
      <c r="AB8" s="434">
        <f t="shared" si="0"/>
        <v>134558.06000000003</v>
      </c>
      <c r="AC8" s="430">
        <f t="shared" si="1"/>
        <v>32983.6</v>
      </c>
      <c r="AD8" s="430">
        <f t="shared" si="2"/>
        <v>175333.69999999998</v>
      </c>
    </row>
    <row r="9" spans="1:30" s="381" customFormat="1" ht="19.5" customHeight="1" thickBot="1">
      <c r="A9" s="387" t="s">
        <v>3</v>
      </c>
      <c r="B9" s="388" t="s">
        <v>4</v>
      </c>
      <c r="C9" s="389" t="s">
        <v>9</v>
      </c>
      <c r="D9" s="390" t="s">
        <v>52</v>
      </c>
      <c r="E9" s="390" t="s">
        <v>46</v>
      </c>
      <c r="F9" s="391" t="s">
        <v>34</v>
      </c>
      <c r="G9" s="361">
        <f>'50 лет ВЛКСМ 13'!P8</f>
        <v>20161.93</v>
      </c>
      <c r="H9" s="392">
        <f>'50 лет ВЛКСМ 13'!Q8</f>
        <v>9100.71</v>
      </c>
      <c r="I9" s="362">
        <f>'50 лет ВЛКСМ 13'!R8</f>
        <v>20776.27</v>
      </c>
      <c r="J9" s="334">
        <f>'50 лет ВЛКСМ 13'!P14</f>
        <v>584.48</v>
      </c>
      <c r="K9" s="392">
        <f>'50 лет ВЛКСМ 13'!Q14</f>
        <v>310.41</v>
      </c>
      <c r="L9" s="362">
        <f>'50 лет ВЛКСМ 13'!R14</f>
        <v>0</v>
      </c>
      <c r="M9" s="334">
        <f>'50 лет ВЛКСМ 13'!P15</f>
        <v>7856.09</v>
      </c>
      <c r="N9" s="392">
        <f>'50 лет ВЛКСМ 13'!Q15</f>
        <v>3839.58</v>
      </c>
      <c r="O9" s="362">
        <f>'50 лет ВЛКСМ 13'!R15</f>
        <v>9294.83</v>
      </c>
      <c r="P9" s="334">
        <f>'50 лет ВЛКСМ 13'!P16</f>
        <v>18763.97</v>
      </c>
      <c r="Q9" s="392">
        <f>'50 лет ВЛКСМ 13'!Q16</f>
        <v>9170.66</v>
      </c>
      <c r="R9" s="362">
        <f>'50 лет ВЛКСМ 13'!R16</f>
        <v>22204.38</v>
      </c>
      <c r="S9" s="334">
        <f>'50 лет ВЛКСМ 13'!P17</f>
        <v>75203.91</v>
      </c>
      <c r="T9" s="392">
        <f>'50 лет ВЛКСМ 13'!Q17</f>
        <v>34588.68</v>
      </c>
      <c r="U9" s="362">
        <f>'50 лет ВЛКСМ 13'!R17</f>
        <v>112112.81</v>
      </c>
      <c r="V9" s="334">
        <f>'50 лет ВЛКСМ 13'!P18</f>
        <v>5868.509999999999</v>
      </c>
      <c r="W9" s="392">
        <f>'50 лет ВЛКСМ 13'!Q18</f>
        <v>3639.0600000000004</v>
      </c>
      <c r="X9" s="362">
        <f>'50 лет ВЛКСМ 13'!R18</f>
        <v>5868.509999999999</v>
      </c>
      <c r="Y9" s="334">
        <f>'50 лет ВЛКСМ 13'!P20</f>
        <v>7986.4800000000005</v>
      </c>
      <c r="Z9" s="392">
        <f>'50 лет ВЛКСМ 13'!Q20</f>
        <v>4540.679999999999</v>
      </c>
      <c r="AA9" s="364">
        <f>'50 лет ВЛКСМ 13'!R20</f>
        <v>7986.4800000000005</v>
      </c>
      <c r="AB9" s="435">
        <f t="shared" si="0"/>
        <v>136425.37</v>
      </c>
      <c r="AC9" s="431">
        <f t="shared" si="1"/>
        <v>65189.780000000006</v>
      </c>
      <c r="AD9" s="431">
        <f t="shared" si="2"/>
        <v>178243.27999999997</v>
      </c>
    </row>
    <row r="10" spans="1:30" s="381" customFormat="1" ht="19.5" customHeight="1">
      <c r="A10" s="382" t="s">
        <v>18</v>
      </c>
      <c r="B10" s="383" t="s">
        <v>19</v>
      </c>
      <c r="C10" s="384" t="s">
        <v>39</v>
      </c>
      <c r="D10" s="385" t="s">
        <v>53</v>
      </c>
      <c r="E10" s="385" t="s">
        <v>64</v>
      </c>
      <c r="F10" s="386">
        <v>8</v>
      </c>
      <c r="G10" s="369">
        <f>'Гагарина 3'!S8</f>
        <v>18710.129999999997</v>
      </c>
      <c r="H10" s="380">
        <f>'Гагарина 3'!T8</f>
        <v>10362.08</v>
      </c>
      <c r="I10" s="370">
        <f>'Гагарина 3'!U8</f>
        <v>18941.87</v>
      </c>
      <c r="J10" s="369">
        <f>'Гагарина 3'!S14</f>
        <v>91</v>
      </c>
      <c r="K10" s="380">
        <f>'Гагарина 3'!T14</f>
        <v>0</v>
      </c>
      <c r="L10" s="370">
        <f>'Гагарина 3'!U14</f>
        <v>0</v>
      </c>
      <c r="M10" s="369">
        <f>'Гагарина 3'!S15</f>
        <v>5307.299999999999</v>
      </c>
      <c r="N10" s="380">
        <f>'Гагарина 3'!T15</f>
        <v>487.25</v>
      </c>
      <c r="O10" s="370">
        <f>'Гагарина 3'!U15</f>
        <v>7027.68</v>
      </c>
      <c r="P10" s="369">
        <f>'Гагарина 3'!S16</f>
        <v>12978.76</v>
      </c>
      <c r="Q10" s="380">
        <f>'Гагарина 3'!T16</f>
        <v>1191.5</v>
      </c>
      <c r="R10" s="370">
        <f>'Гагарина 3'!U16</f>
        <v>17136.3</v>
      </c>
      <c r="S10" s="369">
        <f>'Гагарина 3'!S17</f>
        <v>35841.56</v>
      </c>
      <c r="T10" s="380">
        <f>'Гагарина 3'!T17</f>
        <v>7184.030000000001</v>
      </c>
      <c r="U10" s="370">
        <f>'Гагарина 3'!U17</f>
        <v>24760.93</v>
      </c>
      <c r="V10" s="369">
        <f>'Гагарина 3'!S18</f>
        <v>3013.7</v>
      </c>
      <c r="W10" s="380">
        <f>'Гагарина 3'!T18</f>
        <v>1322.0099999999998</v>
      </c>
      <c r="X10" s="370">
        <f>'Гагарина 3'!U18</f>
        <v>3013.7</v>
      </c>
      <c r="Y10" s="369">
        <f>'Гагарина 3'!S20</f>
        <v>6318.36</v>
      </c>
      <c r="Z10" s="380">
        <f>'Гагарина 3'!T20</f>
        <v>2508.6</v>
      </c>
      <c r="AA10" s="372">
        <f>'Гагарина 3'!U20</f>
        <v>6318.36</v>
      </c>
      <c r="AB10" s="433">
        <f t="shared" si="0"/>
        <v>82260.81</v>
      </c>
      <c r="AC10" s="429">
        <f t="shared" si="1"/>
        <v>23055.47</v>
      </c>
      <c r="AD10" s="429">
        <f t="shared" si="2"/>
        <v>77198.84</v>
      </c>
    </row>
    <row r="11" spans="1:30" s="381" customFormat="1" ht="19.5" customHeight="1">
      <c r="A11" s="375" t="s">
        <v>18</v>
      </c>
      <c r="B11" s="376" t="s">
        <v>19</v>
      </c>
      <c r="C11" s="377" t="s">
        <v>40</v>
      </c>
      <c r="D11" s="378" t="s">
        <v>53</v>
      </c>
      <c r="E11" s="378" t="s">
        <v>65</v>
      </c>
      <c r="F11" s="379">
        <v>16</v>
      </c>
      <c r="G11" s="323">
        <f>'Гагарина 13'!N8</f>
        <v>38314.6</v>
      </c>
      <c r="H11" s="393">
        <f>'Гагарина 13'!O8</f>
        <v>22675.010000000002</v>
      </c>
      <c r="I11" s="324">
        <f>'Гагарина 13'!P8</f>
        <v>34574.32</v>
      </c>
      <c r="J11" s="323">
        <f>'Гагарина 13'!N14</f>
        <v>312.52</v>
      </c>
      <c r="K11" s="393">
        <f>'Гагарина 13'!O14</f>
        <v>235.83999999999997</v>
      </c>
      <c r="L11" s="324">
        <f>'Гагарина 13'!P14</f>
        <v>0</v>
      </c>
      <c r="M11" s="323">
        <f>'Гагарина 13'!N15</f>
        <v>8065.59</v>
      </c>
      <c r="N11" s="393">
        <f>'Гагарина 13'!O15</f>
        <v>1749.3899999999999</v>
      </c>
      <c r="O11" s="324">
        <f>'Гагарина 13'!P15</f>
        <v>10680.09</v>
      </c>
      <c r="P11" s="323">
        <f>'Гагарина 13'!N16</f>
        <v>19724.1</v>
      </c>
      <c r="Q11" s="393">
        <f>'Гагарина 13'!O16</f>
        <v>4278.02</v>
      </c>
      <c r="R11" s="324">
        <f>'Гагарина 13'!P16</f>
        <v>26042.41</v>
      </c>
      <c r="S11" s="323">
        <f>'Гагарина 13'!N17</f>
        <v>72228.47</v>
      </c>
      <c r="T11" s="393">
        <f>'Гагарина 13'!O17</f>
        <v>16947.129999999997</v>
      </c>
      <c r="U11" s="324">
        <f>'Гагарина 13'!P17</f>
        <v>49898.61</v>
      </c>
      <c r="V11" s="323">
        <f>'Гагарина 13'!N18</f>
        <v>5192.69</v>
      </c>
      <c r="W11" s="393">
        <f>'Гагарина 13'!O18</f>
        <v>2408.1800000000003</v>
      </c>
      <c r="X11" s="324">
        <f>'Гагарина 13'!P18</f>
        <v>5192.69</v>
      </c>
      <c r="Y11" s="323">
        <f>'Гагарина 13'!N20</f>
        <v>10690.720000000001</v>
      </c>
      <c r="Z11" s="393">
        <f>'Гагарина 13'!O20</f>
        <v>4649.43</v>
      </c>
      <c r="AA11" s="326">
        <f>'Гагарина 13'!P20</f>
        <v>10690.720000000001</v>
      </c>
      <c r="AB11" s="436">
        <f t="shared" si="0"/>
        <v>154528.69</v>
      </c>
      <c r="AC11" s="430">
        <f t="shared" si="1"/>
        <v>52943</v>
      </c>
      <c r="AD11" s="430">
        <f t="shared" si="2"/>
        <v>137078.84</v>
      </c>
    </row>
    <row r="12" spans="1:30" s="381" customFormat="1" ht="19.5" customHeight="1">
      <c r="A12" s="375" t="s">
        <v>18</v>
      </c>
      <c r="B12" s="376" t="s">
        <v>161</v>
      </c>
      <c r="C12" s="377" t="s">
        <v>13</v>
      </c>
      <c r="D12" s="378" t="s">
        <v>54</v>
      </c>
      <c r="E12" s="378" t="s">
        <v>66</v>
      </c>
      <c r="F12" s="379" t="s">
        <v>35</v>
      </c>
      <c r="G12" s="323">
        <f>'Юбилейная 2'!R8</f>
        <v>29659.43</v>
      </c>
      <c r="H12" s="393">
        <f>'Юбилейная 2'!S8</f>
        <v>13000.26</v>
      </c>
      <c r="I12" s="324">
        <f>'Юбилейная 2'!T8</f>
        <v>28918.379999999997</v>
      </c>
      <c r="J12" s="323">
        <f>'Юбилейная 2'!R14</f>
        <v>264.96</v>
      </c>
      <c r="K12" s="393">
        <f>'Юбилейная 2'!S14</f>
        <v>148.70000000000002</v>
      </c>
      <c r="L12" s="324">
        <f>'Юбилейная 2'!T14</f>
        <v>0</v>
      </c>
      <c r="M12" s="323">
        <f>'Юбилейная 2'!R15</f>
        <v>8106.36</v>
      </c>
      <c r="N12" s="393">
        <f>'Юбилейная 2'!S15</f>
        <v>1412.26</v>
      </c>
      <c r="O12" s="324">
        <f>'Юбилейная 2'!T15</f>
        <v>10734.07</v>
      </c>
      <c r="P12" s="323">
        <f>'Юбилейная 2'!R16</f>
        <v>19823.690000000002</v>
      </c>
      <c r="Q12" s="393">
        <f>'Юбилейная 2'!S16</f>
        <v>3453.58</v>
      </c>
      <c r="R12" s="324">
        <f>'Юбилейная 2'!T16</f>
        <v>26173.9</v>
      </c>
      <c r="S12" s="323">
        <f>'Юбилейная 2'!R17</f>
        <v>63296.909999999996</v>
      </c>
      <c r="T12" s="393">
        <f>'Юбилейная 2'!S17</f>
        <v>11200.08</v>
      </c>
      <c r="U12" s="324">
        <f>'Юбилейная 2'!T17</f>
        <v>43728.3</v>
      </c>
      <c r="V12" s="323">
        <f>'Юбилейная 2'!R18</f>
        <v>5132</v>
      </c>
      <c r="W12" s="393">
        <f>'Юбилейная 2'!S18</f>
        <v>1932.4699999999998</v>
      </c>
      <c r="X12" s="324">
        <f>'Юбилейная 2'!T18</f>
        <v>5132</v>
      </c>
      <c r="Y12" s="323">
        <f>'Юбилейная 2'!R20</f>
        <v>10750.76</v>
      </c>
      <c r="Z12" s="393">
        <f>'Юбилейная 2'!S20</f>
        <v>3532.56</v>
      </c>
      <c r="AA12" s="326">
        <f>'Юбилейная 2'!T20</f>
        <v>10750.76</v>
      </c>
      <c r="AB12" s="434">
        <f t="shared" si="0"/>
        <v>137034.11000000002</v>
      </c>
      <c r="AC12" s="430">
        <f t="shared" si="1"/>
        <v>34679.91</v>
      </c>
      <c r="AD12" s="430">
        <f t="shared" si="2"/>
        <v>125437.41</v>
      </c>
    </row>
    <row r="13" spans="1:30" s="381" customFormat="1" ht="19.5" customHeight="1">
      <c r="A13" s="375" t="s">
        <v>18</v>
      </c>
      <c r="B13" s="376" t="s">
        <v>161</v>
      </c>
      <c r="C13" s="377" t="s">
        <v>23</v>
      </c>
      <c r="D13" s="378" t="s">
        <v>55</v>
      </c>
      <c r="E13" s="378" t="s">
        <v>67</v>
      </c>
      <c r="F13" s="379" t="s">
        <v>37</v>
      </c>
      <c r="G13" s="323">
        <f>'Юбилейная 2А'!Q8</f>
        <v>133525.35</v>
      </c>
      <c r="H13" s="393">
        <f>'Юбилейная 2А'!R8</f>
        <v>78540.36</v>
      </c>
      <c r="I13" s="324">
        <f>'Юбилейная 2А'!S8</f>
        <v>115695.5</v>
      </c>
      <c r="J13" s="323">
        <f>'Юбилейная 2А'!Q14</f>
        <v>1143.24</v>
      </c>
      <c r="K13" s="393">
        <f>'Юбилейная 2А'!R14</f>
        <v>615.22</v>
      </c>
      <c r="L13" s="324">
        <f>'Юбилейная 2А'!S14</f>
        <v>0</v>
      </c>
      <c r="M13" s="323">
        <f>'Юбилейная 2А'!Q15</f>
        <v>24316.11</v>
      </c>
      <c r="N13" s="393">
        <f>'Юбилейная 2А'!R15</f>
        <v>5846.400000000001</v>
      </c>
      <c r="O13" s="324">
        <f>'Юбилейная 2А'!S15</f>
        <v>32198.28</v>
      </c>
      <c r="P13" s="323">
        <f>'Юбилейная 2А'!Q16</f>
        <v>59464.36</v>
      </c>
      <c r="Q13" s="393">
        <f>'Юбилейная 2А'!R16</f>
        <v>14297.310000000001</v>
      </c>
      <c r="R13" s="324">
        <f>'Юбилейная 2А'!S16</f>
        <v>78512.85</v>
      </c>
      <c r="S13" s="323">
        <f>'Юбилейная 2А'!Q17</f>
        <v>286052.95999999996</v>
      </c>
      <c r="T13" s="393">
        <f>'Юбилейная 2А'!R17</f>
        <v>76385.91</v>
      </c>
      <c r="U13" s="324">
        <f>'Юбилейная 2А'!S17</f>
        <v>197618.01</v>
      </c>
      <c r="V13" s="323">
        <f>'Юбилейная 2А'!Q18</f>
        <v>14417.1</v>
      </c>
      <c r="W13" s="393">
        <f>'Юбилейная 2А'!R18</f>
        <v>6663.049999999999</v>
      </c>
      <c r="X13" s="324">
        <f>'Юбилейная 2А'!S18</f>
        <v>14417.1</v>
      </c>
      <c r="Y13" s="323">
        <f>'Юбилейная 2А'!Q20</f>
        <v>31267.48</v>
      </c>
      <c r="Z13" s="393">
        <f>'Юбилейная 2А'!R20</f>
        <v>12759.390000000001</v>
      </c>
      <c r="AA13" s="326">
        <f>'Юбилейная 2А'!S20</f>
        <v>31267.48</v>
      </c>
      <c r="AB13" s="434">
        <f t="shared" si="0"/>
        <v>550186.6</v>
      </c>
      <c r="AC13" s="430">
        <f t="shared" si="1"/>
        <v>195107.64</v>
      </c>
      <c r="AD13" s="430">
        <f t="shared" si="2"/>
        <v>469709.2200000001</v>
      </c>
    </row>
    <row r="14" spans="1:30" s="381" customFormat="1" ht="19.5" customHeight="1">
      <c r="A14" s="375" t="s">
        <v>18</v>
      </c>
      <c r="B14" s="376" t="s">
        <v>161</v>
      </c>
      <c r="C14" s="377" t="s">
        <v>14</v>
      </c>
      <c r="D14" s="378" t="s">
        <v>54</v>
      </c>
      <c r="E14" s="378" t="s">
        <v>68</v>
      </c>
      <c r="F14" s="379" t="s">
        <v>35</v>
      </c>
      <c r="G14" s="323">
        <f>'Юбилейная 3'!R8</f>
        <v>29282.550000000003</v>
      </c>
      <c r="H14" s="393">
        <f>'Юбилейная 3'!S8</f>
        <v>19184.550000000003</v>
      </c>
      <c r="I14" s="324">
        <f>'Юбилейная 3'!T8</f>
        <v>27538.19</v>
      </c>
      <c r="J14" s="323">
        <f>'Юбилейная 3'!R14</f>
        <v>125.88</v>
      </c>
      <c r="K14" s="393">
        <f>'Юбилейная 3'!S14</f>
        <v>41.239999999999995</v>
      </c>
      <c r="L14" s="324">
        <f>'Юбилейная 3'!T14</f>
        <v>0</v>
      </c>
      <c r="M14" s="323">
        <f>'Юбилейная 3'!R15</f>
        <v>5465.03</v>
      </c>
      <c r="N14" s="393">
        <f>'Юбилейная 3'!S15</f>
        <v>1138.24</v>
      </c>
      <c r="O14" s="324">
        <f>'Юбилейная 3'!T15</f>
        <v>7236.54</v>
      </c>
      <c r="P14" s="323">
        <f>'Юбилейная 3'!R16</f>
        <v>13364.330000000002</v>
      </c>
      <c r="Q14" s="393">
        <f>'Юбилейная 3'!S16</f>
        <v>2783.5099999999998</v>
      </c>
      <c r="R14" s="324">
        <f>'Юбилейная 3'!T16</f>
        <v>17645.39</v>
      </c>
      <c r="S14" s="323">
        <f>'Юбилейная 3'!R17</f>
        <v>62492.44</v>
      </c>
      <c r="T14" s="393">
        <f>'Юбилейная 3'!S17</f>
        <v>16454.87</v>
      </c>
      <c r="U14" s="324">
        <f>'Юбилейная 3'!T17</f>
        <v>43172.54</v>
      </c>
      <c r="V14" s="323">
        <f>'Юбилейная 3'!R18</f>
        <v>3247.74</v>
      </c>
      <c r="W14" s="393">
        <f>'Юбилейная 3'!S18</f>
        <v>1541.39</v>
      </c>
      <c r="X14" s="324">
        <f>'Юбилейная 3'!T18</f>
        <v>3247.74</v>
      </c>
      <c r="Y14" s="323">
        <f>'Юбилейная 3'!R20</f>
        <v>7095.95</v>
      </c>
      <c r="Z14" s="393">
        <f>'Юбилейная 3'!S20</f>
        <v>2964.96</v>
      </c>
      <c r="AA14" s="326">
        <f>'Юбилейная 3'!T20</f>
        <v>7095.95</v>
      </c>
      <c r="AB14" s="434">
        <f t="shared" si="0"/>
        <v>121073.92000000001</v>
      </c>
      <c r="AC14" s="430">
        <f t="shared" si="1"/>
        <v>44108.76000000001</v>
      </c>
      <c r="AD14" s="430">
        <f t="shared" si="2"/>
        <v>105936.34999999999</v>
      </c>
    </row>
    <row r="15" spans="1:30" s="381" customFormat="1" ht="19.5" customHeight="1">
      <c r="A15" s="375" t="s">
        <v>18</v>
      </c>
      <c r="B15" s="376" t="s">
        <v>161</v>
      </c>
      <c r="C15" s="377" t="s">
        <v>15</v>
      </c>
      <c r="D15" s="378" t="s">
        <v>54</v>
      </c>
      <c r="E15" s="378" t="s">
        <v>69</v>
      </c>
      <c r="F15" s="379" t="s">
        <v>35</v>
      </c>
      <c r="G15" s="323">
        <f>'Юбилейная 4'!R8</f>
        <v>28980.649999999998</v>
      </c>
      <c r="H15" s="393">
        <f>'Юбилейная 4'!S8</f>
        <v>15817.2</v>
      </c>
      <c r="I15" s="324">
        <f>'Юбилейная 4'!T8</f>
        <v>27233.66</v>
      </c>
      <c r="J15" s="323">
        <f>'Юбилейная 4'!R14</f>
        <v>275.88</v>
      </c>
      <c r="K15" s="393">
        <f>'Юбилейная 4'!S14</f>
        <v>157.95</v>
      </c>
      <c r="L15" s="324">
        <f>'Юбилейная 4'!T14</f>
        <v>0</v>
      </c>
      <c r="M15" s="323">
        <f>'Юбилейная 4'!R15</f>
        <v>7047.42</v>
      </c>
      <c r="N15" s="393">
        <f>'Юбилейная 4'!S15</f>
        <v>1109.6</v>
      </c>
      <c r="O15" s="324">
        <f>'Юбилейная 4'!T15</f>
        <v>9331.87</v>
      </c>
      <c r="P15" s="323">
        <f>'Юбилейная 4'!R16</f>
        <v>17234.14</v>
      </c>
      <c r="Q15" s="393">
        <f>'Юбилейная 4'!S16</f>
        <v>2713.44</v>
      </c>
      <c r="R15" s="324">
        <f>'Юбилейная 4'!T16</f>
        <v>22754.83</v>
      </c>
      <c r="S15" s="323">
        <f>'Юбилейная 4'!R17</f>
        <v>61848.15</v>
      </c>
      <c r="T15" s="393">
        <f>'Юбилейная 4'!S17</f>
        <v>13328.05</v>
      </c>
      <c r="U15" s="324">
        <f>'Юбилейная 4'!T17</f>
        <v>42727.43</v>
      </c>
      <c r="V15" s="323">
        <f>'Юбилейная 4'!R18</f>
        <v>4524.5599999999995</v>
      </c>
      <c r="W15" s="393">
        <f>'Юбилейная 4'!S18</f>
        <v>1664.6100000000001</v>
      </c>
      <c r="X15" s="324">
        <f>'Юбилейная 4'!T18</f>
        <v>4524.5599999999995</v>
      </c>
      <c r="Y15" s="323">
        <f>'Юбилейная 4'!R20</f>
        <v>9477.97</v>
      </c>
      <c r="Z15" s="393">
        <f>'Юбилейная 4'!S20</f>
        <v>3195.5199999999995</v>
      </c>
      <c r="AA15" s="326">
        <f>'Юбилейная 4'!T20</f>
        <v>9477.97</v>
      </c>
      <c r="AB15" s="434">
        <f t="shared" si="0"/>
        <v>129388.76999999999</v>
      </c>
      <c r="AC15" s="430">
        <f t="shared" si="1"/>
        <v>37986.369999999995</v>
      </c>
      <c r="AD15" s="430">
        <f t="shared" si="2"/>
        <v>116050.32</v>
      </c>
    </row>
    <row r="16" spans="1:30" s="381" customFormat="1" ht="19.5" customHeight="1">
      <c r="A16" s="375" t="s">
        <v>18</v>
      </c>
      <c r="B16" s="376" t="s">
        <v>161</v>
      </c>
      <c r="C16" s="377" t="s">
        <v>16</v>
      </c>
      <c r="D16" s="378" t="s">
        <v>56</v>
      </c>
      <c r="E16" s="378" t="s">
        <v>70</v>
      </c>
      <c r="F16" s="379" t="s">
        <v>32</v>
      </c>
      <c r="G16" s="323">
        <f>'Юбилейная 6'!R8</f>
        <v>40304.79</v>
      </c>
      <c r="H16" s="393">
        <f>'Юбилейная 6'!S8</f>
        <v>24718.09</v>
      </c>
      <c r="I16" s="324">
        <f>'Юбилейная 6'!T8</f>
        <v>36050.229999999996</v>
      </c>
      <c r="J16" s="323">
        <f>'Юбилейная 6'!R14</f>
        <v>126.12</v>
      </c>
      <c r="K16" s="393">
        <f>'Юбилейная 6'!S14</f>
        <v>57.77000000000001</v>
      </c>
      <c r="L16" s="324">
        <f>'Юбилейная 6'!T14</f>
        <v>0</v>
      </c>
      <c r="M16" s="323">
        <f>'Юбилейная 6'!R15</f>
        <v>9757.64</v>
      </c>
      <c r="N16" s="393">
        <f>'Юбилейная 6'!S15</f>
        <v>1830.09</v>
      </c>
      <c r="O16" s="324">
        <f>'Юбилейная 6'!T15</f>
        <v>12920.62</v>
      </c>
      <c r="P16" s="323">
        <f>'Юбилейная 6'!R16</f>
        <v>23861.620000000003</v>
      </c>
      <c r="Q16" s="393">
        <f>'Юбилейная 6'!S17</f>
        <v>21073.57</v>
      </c>
      <c r="R16" s="324">
        <f>'Юбилейная 6'!T16</f>
        <v>31505.32</v>
      </c>
      <c r="S16" s="323">
        <f>'Юбилейная 6'!R17</f>
        <v>86767.74</v>
      </c>
      <c r="T16" s="393">
        <f>'Юбилейная 6'!S17</f>
        <v>21073.57</v>
      </c>
      <c r="U16" s="324">
        <f>'Юбилейная 6'!T17</f>
        <v>59942.98</v>
      </c>
      <c r="V16" s="323">
        <f>'Юбилейная 6'!R18</f>
        <v>5941.18</v>
      </c>
      <c r="W16" s="393">
        <f>'Юбилейная 6'!S18</f>
        <v>2625.51</v>
      </c>
      <c r="X16" s="324">
        <f>'Юбилейная 6'!T18</f>
        <v>5941.18</v>
      </c>
      <c r="Y16" s="323">
        <f>'Юбилейная 6'!R20</f>
        <v>12583.640000000001</v>
      </c>
      <c r="Z16" s="393">
        <f>'Юбилейная 6'!S20</f>
        <v>4837.54</v>
      </c>
      <c r="AA16" s="326">
        <f>'Юбилейная 6'!T20</f>
        <v>12583.640000000001</v>
      </c>
      <c r="AB16" s="434">
        <f t="shared" si="0"/>
        <v>179342.73</v>
      </c>
      <c r="AC16" s="430">
        <f t="shared" si="1"/>
        <v>76216.14</v>
      </c>
      <c r="AD16" s="430">
        <f t="shared" si="2"/>
        <v>158943.96999999997</v>
      </c>
    </row>
    <row r="17" spans="1:30" s="381" customFormat="1" ht="19.5" customHeight="1">
      <c r="A17" s="375" t="s">
        <v>18</v>
      </c>
      <c r="B17" s="376" t="s">
        <v>161</v>
      </c>
      <c r="C17" s="377" t="s">
        <v>17</v>
      </c>
      <c r="D17" s="378" t="s">
        <v>56</v>
      </c>
      <c r="E17" s="378" t="s">
        <v>71</v>
      </c>
      <c r="F17" s="379" t="s">
        <v>32</v>
      </c>
      <c r="G17" s="323">
        <f>'Юбилейная 7'!R8</f>
        <v>38087.89</v>
      </c>
      <c r="H17" s="393">
        <f>'Юбилейная 7'!S8</f>
        <v>21820.41</v>
      </c>
      <c r="I17" s="324">
        <f>'Юбилейная 7'!T8</f>
        <v>35423.490000000005</v>
      </c>
      <c r="J17" s="323">
        <f>'Юбилейная 7'!R14</f>
        <v>131.07</v>
      </c>
      <c r="K17" s="393">
        <f>'Юбилейная 7'!S14</f>
        <v>103.57</v>
      </c>
      <c r="L17" s="324">
        <f>'Юбилейная 7'!T14</f>
        <v>0</v>
      </c>
      <c r="M17" s="323">
        <f>'Юбилейная 7'!R15</f>
        <v>4103.91</v>
      </c>
      <c r="N17" s="393">
        <f>'Юбилейная 7'!S15</f>
        <v>1180.39</v>
      </c>
      <c r="O17" s="324">
        <f>'Юбилейная 7'!T15</f>
        <v>5434.21</v>
      </c>
      <c r="P17" s="323">
        <f>'Юбилейная 7'!R16</f>
        <v>10035.99</v>
      </c>
      <c r="Q17" s="393">
        <f>'Юбилейная 7'!S16</f>
        <v>2886.63</v>
      </c>
      <c r="R17" s="324">
        <f>'Юбилейная 7'!T16</f>
        <v>13250.86</v>
      </c>
      <c r="S17" s="323">
        <f>'Юбилейная 7'!R17</f>
        <v>82036.26</v>
      </c>
      <c r="T17" s="393">
        <f>'Юбилейная 7'!S17</f>
        <v>19629.21</v>
      </c>
      <c r="U17" s="324">
        <f>'Юбилейная 7'!T17</f>
        <v>56674.27</v>
      </c>
      <c r="V17" s="323">
        <f>'Юбилейная 7'!R18</f>
        <v>2866.0299999999997</v>
      </c>
      <c r="W17" s="393">
        <f>'Юбилейная 7'!S18</f>
        <v>1407.3400000000001</v>
      </c>
      <c r="X17" s="324">
        <f>'Юбилейная 7'!T18</f>
        <v>2866.0299999999997</v>
      </c>
      <c r="Y17" s="323">
        <f>'Юбилейная 7'!R20</f>
        <v>5762.15</v>
      </c>
      <c r="Z17" s="393">
        <f>'Юбилейная 7'!S20</f>
        <v>2610.14</v>
      </c>
      <c r="AA17" s="326">
        <f>'Юбилейная 7'!T20</f>
        <v>5762.15</v>
      </c>
      <c r="AB17" s="434">
        <f t="shared" si="0"/>
        <v>143023.30000000002</v>
      </c>
      <c r="AC17" s="430">
        <f t="shared" si="1"/>
        <v>49637.69</v>
      </c>
      <c r="AD17" s="430">
        <f t="shared" si="2"/>
        <v>119411.01000000001</v>
      </c>
    </row>
    <row r="18" spans="1:30" s="381" customFormat="1" ht="19.5" customHeight="1">
      <c r="A18" s="375" t="s">
        <v>18</v>
      </c>
      <c r="B18" s="376" t="s">
        <v>161</v>
      </c>
      <c r="C18" s="377" t="s">
        <v>10</v>
      </c>
      <c r="D18" s="378" t="s">
        <v>57</v>
      </c>
      <c r="E18" s="378" t="s">
        <v>72</v>
      </c>
      <c r="F18" s="379" t="s">
        <v>35</v>
      </c>
      <c r="G18" s="323">
        <f>'Юбилейная 8'!R8</f>
        <v>28035.71</v>
      </c>
      <c r="H18" s="393">
        <f>'Юбилейная 8'!S8</f>
        <v>15041.83</v>
      </c>
      <c r="I18" s="324">
        <f>'Юбилейная 8'!T8</f>
        <v>26290.710000000003</v>
      </c>
      <c r="J18" s="323">
        <f>0</f>
        <v>0</v>
      </c>
      <c r="K18" s="393">
        <v>0</v>
      </c>
      <c r="L18" s="324">
        <v>0</v>
      </c>
      <c r="M18" s="323">
        <f>'Юбилейная 8'!R14</f>
        <v>5323.389999999999</v>
      </c>
      <c r="N18" s="393">
        <f>'Юбилейная 8'!S14</f>
        <v>1129.1</v>
      </c>
      <c r="O18" s="324">
        <f>'Юбилейная 8'!T14</f>
        <v>7048.99</v>
      </c>
      <c r="P18" s="323">
        <f>'Юбилейная 8'!R15</f>
        <v>13018.079999999998</v>
      </c>
      <c r="Q18" s="393">
        <f>'Юбилейная 8'!S15</f>
        <v>2761.23</v>
      </c>
      <c r="R18" s="324">
        <f>'Юбилейная 8'!T15</f>
        <v>17188.22</v>
      </c>
      <c r="S18" s="323">
        <f>'Юбилейная 8'!R16</f>
        <v>62338.119999999995</v>
      </c>
      <c r="T18" s="393">
        <f>'Юбилейная 8'!S16</f>
        <v>14147.650000000001</v>
      </c>
      <c r="U18" s="324">
        <f>'Юбилейная 8'!T16</f>
        <v>43065.92</v>
      </c>
      <c r="V18" s="323">
        <f>'Юбилейная 8'!R17</f>
        <v>3558.34</v>
      </c>
      <c r="W18" s="393">
        <f>'Юбилейная 8'!S17</f>
        <v>1672.95</v>
      </c>
      <c r="X18" s="324">
        <f>'Юбилейная 8'!T17</f>
        <v>3558.34</v>
      </c>
      <c r="Y18" s="323">
        <f>'Юбилейная 8'!R19</f>
        <v>6744.63</v>
      </c>
      <c r="Z18" s="393">
        <f>'Юбилейная 8'!S19</f>
        <v>2677.54</v>
      </c>
      <c r="AA18" s="326">
        <f>'Юбилейная 8'!T19</f>
        <v>6744.63</v>
      </c>
      <c r="AB18" s="434">
        <f t="shared" si="0"/>
        <v>119018.26999999999</v>
      </c>
      <c r="AC18" s="430">
        <f t="shared" si="1"/>
        <v>37430.299999999996</v>
      </c>
      <c r="AD18" s="430">
        <f t="shared" si="2"/>
        <v>103896.81000000001</v>
      </c>
    </row>
    <row r="19" spans="1:30" s="381" customFormat="1" ht="19.5" customHeight="1">
      <c r="A19" s="375" t="s">
        <v>18</v>
      </c>
      <c r="B19" s="376" t="s">
        <v>161</v>
      </c>
      <c r="C19" s="377" t="s">
        <v>11</v>
      </c>
      <c r="D19" s="378" t="s">
        <v>58</v>
      </c>
      <c r="E19" s="378" t="s">
        <v>73</v>
      </c>
      <c r="F19" s="379" t="s">
        <v>32</v>
      </c>
      <c r="G19" s="323">
        <f>'Юбилейная 9'!R8</f>
        <v>40312.88</v>
      </c>
      <c r="H19" s="393">
        <f>'Юбилейная 9'!S8</f>
        <v>23771.46</v>
      </c>
      <c r="I19" s="324">
        <f>'Юбилейная 9'!T8</f>
        <v>36864.56</v>
      </c>
      <c r="J19" s="323">
        <f>'Юбилейная 9'!R14</f>
        <v>0</v>
      </c>
      <c r="K19" s="393">
        <f>'Юбилейная 9'!S14</f>
        <v>118.12</v>
      </c>
      <c r="L19" s="324">
        <f>'Юбилейная 9'!T14</f>
        <v>0</v>
      </c>
      <c r="M19" s="323">
        <f>'Юбилейная 9'!R15</f>
        <v>5574.85</v>
      </c>
      <c r="N19" s="393">
        <f>'Юбилейная 9'!S15</f>
        <v>1167.02</v>
      </c>
      <c r="O19" s="324">
        <f>'Юбилейная 9'!T15</f>
        <v>7381.96</v>
      </c>
      <c r="P19" s="323">
        <f>'Юбилейная 9'!R16</f>
        <v>13633.029999999999</v>
      </c>
      <c r="Q19" s="393">
        <f>'Юбилейная 9'!S16</f>
        <v>2853.92</v>
      </c>
      <c r="R19" s="324">
        <f>'Юбилейная 9'!T16</f>
        <v>18000.16</v>
      </c>
      <c r="S19" s="323">
        <f>'Юбилейная 9'!R17</f>
        <v>85970.28</v>
      </c>
      <c r="T19" s="393">
        <f>'Юбилейная 9'!T17</f>
        <v>59392.06</v>
      </c>
      <c r="U19" s="324">
        <f>'Юбилейная 9'!T17</f>
        <v>59392.06</v>
      </c>
      <c r="V19" s="323">
        <f>'Юбилейная 9'!R18</f>
        <v>3320.7</v>
      </c>
      <c r="W19" s="393">
        <f>'Юбилейная 9'!S18</f>
        <v>1506.67</v>
      </c>
      <c r="X19" s="324">
        <f>'Юбилейная 9'!T18</f>
        <v>3320.7</v>
      </c>
      <c r="Y19" s="323">
        <f>'Юбилейная 9'!R20</f>
        <v>6971.620000000001</v>
      </c>
      <c r="Z19" s="393">
        <f>'Юбилейная 9'!S20</f>
        <v>2792.25</v>
      </c>
      <c r="AA19" s="326">
        <f>'Юбилейная 9'!T20</f>
        <v>6971.620000000001</v>
      </c>
      <c r="AB19" s="434">
        <f t="shared" si="0"/>
        <v>155783.36000000002</v>
      </c>
      <c r="AC19" s="430">
        <f t="shared" si="1"/>
        <v>91601.5</v>
      </c>
      <c r="AD19" s="430">
        <f t="shared" si="2"/>
        <v>131931.06</v>
      </c>
    </row>
    <row r="20" spans="1:30" s="381" customFormat="1" ht="19.5" customHeight="1">
      <c r="A20" s="375" t="s">
        <v>18</v>
      </c>
      <c r="B20" s="376" t="s">
        <v>161</v>
      </c>
      <c r="C20" s="377" t="s">
        <v>7</v>
      </c>
      <c r="D20" s="378" t="s">
        <v>56</v>
      </c>
      <c r="E20" s="378" t="s">
        <v>74</v>
      </c>
      <c r="F20" s="379" t="s">
        <v>32</v>
      </c>
      <c r="G20" s="323">
        <f>'Юбилейная 11'!R8</f>
        <v>44751.329999999994</v>
      </c>
      <c r="H20" s="393">
        <f>'Юбилейная 11'!S8</f>
        <v>25288.059999999998</v>
      </c>
      <c r="I20" s="324">
        <f>'Юбилейная 11'!T8</f>
        <v>43320.030000000006</v>
      </c>
      <c r="J20" s="323">
        <f>'Юбилейная 11'!R14</f>
        <v>398.20000000000005</v>
      </c>
      <c r="K20" s="393">
        <f>'Юбилейная 11'!S14</f>
        <v>278.39</v>
      </c>
      <c r="L20" s="324">
        <f>'Юбилейная 11'!T14</f>
        <v>0</v>
      </c>
      <c r="M20" s="323">
        <f>'Юбилейная 11'!R15</f>
        <v>6907.76</v>
      </c>
      <c r="N20" s="393">
        <f>'Юбилейная 11'!S15</f>
        <v>1202.63</v>
      </c>
      <c r="O20" s="324">
        <f>'Юбилейная 11'!T15</f>
        <v>9146.94</v>
      </c>
      <c r="P20" s="323">
        <f>'Юбилейная 11'!R16</f>
        <v>17578.54</v>
      </c>
      <c r="Q20" s="393">
        <f>'Юбилейная 11'!S16</f>
        <v>2941.05</v>
      </c>
      <c r="R20" s="324">
        <f>'Юбилейная 11'!T16</f>
        <v>23209.55</v>
      </c>
      <c r="S20" s="323">
        <f>'Юбилейная 11'!R17</f>
        <v>85587.87</v>
      </c>
      <c r="T20" s="393">
        <f>'Юбилейная 11'!S17</f>
        <v>17789.7</v>
      </c>
      <c r="U20" s="324">
        <f>'Юбилейная 11'!T17</f>
        <v>59127.88</v>
      </c>
      <c r="V20" s="323">
        <f>'Юбилейная 11'!R18</f>
        <v>4838.77</v>
      </c>
      <c r="W20" s="393">
        <f>'Юбилейная 11'!S18</f>
        <v>1747.99</v>
      </c>
      <c r="X20" s="324">
        <f>'Юбилейная 11'!T18</f>
        <v>4838.77</v>
      </c>
      <c r="Y20" s="323">
        <f>'Юбилейная 11'!R20</f>
        <v>9705.29</v>
      </c>
      <c r="Z20" s="393">
        <f>'Юбилейная 11'!S20</f>
        <v>3063.13</v>
      </c>
      <c r="AA20" s="326">
        <f>'Юбилейная 11'!T20</f>
        <v>9705.29</v>
      </c>
      <c r="AB20" s="434">
        <f t="shared" si="0"/>
        <v>169767.75999999998</v>
      </c>
      <c r="AC20" s="430">
        <f t="shared" si="1"/>
        <v>52310.95</v>
      </c>
      <c r="AD20" s="430">
        <f t="shared" si="2"/>
        <v>149348.46000000002</v>
      </c>
    </row>
    <row r="21" spans="1:30" s="381" customFormat="1" ht="19.5" customHeight="1">
      <c r="A21" s="375" t="s">
        <v>18</v>
      </c>
      <c r="B21" s="376" t="s">
        <v>161</v>
      </c>
      <c r="C21" s="377" t="s">
        <v>8</v>
      </c>
      <c r="D21" s="378" t="s">
        <v>56</v>
      </c>
      <c r="E21" s="378" t="s">
        <v>75</v>
      </c>
      <c r="F21" s="379" t="s">
        <v>34</v>
      </c>
      <c r="G21" s="323">
        <f>'Юбилейная 12'!R8</f>
        <v>47407.11</v>
      </c>
      <c r="H21" s="393">
        <f>'Юбилейная 12'!S8</f>
        <v>33056.15</v>
      </c>
      <c r="I21" s="324">
        <f>'Юбилейная 12'!T8</f>
        <v>40820.979999999996</v>
      </c>
      <c r="J21" s="323">
        <f>'Юбилейная 12'!R14</f>
        <v>340.1</v>
      </c>
      <c r="K21" s="393">
        <f>'Юбилейная 12'!S14</f>
        <v>269.44</v>
      </c>
      <c r="L21" s="324">
        <f>'Юбилейная 12'!T14</f>
        <v>0</v>
      </c>
      <c r="M21" s="323">
        <f>'Юбилейная 12'!R15</f>
        <v>6328.11</v>
      </c>
      <c r="N21" s="393">
        <f>'Юбилейная 12'!S15</f>
        <v>1527.23</v>
      </c>
      <c r="O21" s="324">
        <f>'Юбилейная 12'!T15</f>
        <v>8379.39</v>
      </c>
      <c r="P21" s="323">
        <f>'Юбилейная 12'!R16</f>
        <v>15629.85</v>
      </c>
      <c r="Q21" s="393">
        <f>'Юбилейная 12'!S16</f>
        <v>3734.71</v>
      </c>
      <c r="R21" s="324">
        <f>'Юбилейная 12'!T16</f>
        <v>20636.63</v>
      </c>
      <c r="S21" s="323">
        <f>'Юбилейная 12'!R17</f>
        <v>101172.58</v>
      </c>
      <c r="T21" s="393">
        <f>'Юбилейная 12'!S17</f>
        <v>29548.260000000002</v>
      </c>
      <c r="U21" s="324">
        <f>'Юбилейная 12'!T17</f>
        <v>69894.48</v>
      </c>
      <c r="V21" s="323">
        <f>'Юбилейная 12'!R18</f>
        <v>3630.24</v>
      </c>
      <c r="W21" s="393">
        <f>'Юбилейная 12'!S18</f>
        <v>2104.7</v>
      </c>
      <c r="X21" s="324">
        <f>'Юбилейная 12'!T18</f>
        <v>3630.24</v>
      </c>
      <c r="Y21" s="323">
        <f>'Юбилейная 12'!R20</f>
        <v>8102.42</v>
      </c>
      <c r="Z21" s="393">
        <f>'Юбилейная 12'!S20</f>
        <v>4236.3099999999995</v>
      </c>
      <c r="AA21" s="326">
        <f>'Юбилейная 12'!T20</f>
        <v>8102.42</v>
      </c>
      <c r="AB21" s="434">
        <f t="shared" si="0"/>
        <v>182610.41000000003</v>
      </c>
      <c r="AC21" s="430">
        <f t="shared" si="1"/>
        <v>74476.80000000002</v>
      </c>
      <c r="AD21" s="430">
        <f t="shared" si="2"/>
        <v>151464.14</v>
      </c>
    </row>
    <row r="22" spans="1:30" s="381" customFormat="1" ht="19.5" customHeight="1">
      <c r="A22" s="375" t="s">
        <v>18</v>
      </c>
      <c r="B22" s="376" t="s">
        <v>161</v>
      </c>
      <c r="C22" s="377" t="s">
        <v>9</v>
      </c>
      <c r="D22" s="378" t="s">
        <v>59</v>
      </c>
      <c r="E22" s="378" t="s">
        <v>76</v>
      </c>
      <c r="F22" s="379" t="s">
        <v>34</v>
      </c>
      <c r="G22" s="323">
        <f>'Юбилейная 13'!R8</f>
        <v>47390.05</v>
      </c>
      <c r="H22" s="393">
        <f>'Юбилейная 13'!S8</f>
        <v>29691.66</v>
      </c>
      <c r="I22" s="324">
        <f>'Юбилейная 13'!T8</f>
        <v>42811.16</v>
      </c>
      <c r="J22" s="323">
        <f>'Юбилейная 13'!R14</f>
        <v>0</v>
      </c>
      <c r="K22" s="393">
        <f>'Юбилейная 13'!S14</f>
        <v>99.56</v>
      </c>
      <c r="L22" s="324">
        <f>'Юбилейная 13'!T14</f>
        <v>0</v>
      </c>
      <c r="M22" s="323">
        <f>'Юбилейная 13'!R15</f>
        <v>9240.71</v>
      </c>
      <c r="N22" s="393">
        <f>'Юбилейная 13'!S15</f>
        <v>1945.5600000000002</v>
      </c>
      <c r="O22" s="324">
        <f>'Юбилейная 13'!T15</f>
        <v>12236.13</v>
      </c>
      <c r="P22" s="323">
        <f>'Юбилейная 13'!R16</f>
        <v>22597.550000000003</v>
      </c>
      <c r="Q22" s="393">
        <f>'Юбилейная 13'!S16</f>
        <v>4757.66</v>
      </c>
      <c r="R22" s="324">
        <f>'Юбилейная 13'!T16</f>
        <v>29836.33</v>
      </c>
      <c r="S22" s="323">
        <f>'Юбилейная 13'!R17</f>
        <v>102941.66</v>
      </c>
      <c r="T22" s="393">
        <f>'Юбилейная 13'!S17</f>
        <v>26538.32</v>
      </c>
      <c r="U22" s="324">
        <f>'Юбилейная 13'!T17</f>
        <v>71116.64</v>
      </c>
      <c r="V22" s="323">
        <f>'Юбилейная 13'!R18</f>
        <v>5753.179999999999</v>
      </c>
      <c r="W22" s="393">
        <f>'Юбилейная 13'!S18</f>
        <v>2980.29</v>
      </c>
      <c r="X22" s="324">
        <f>'Юбилейная 13'!T18</f>
        <v>5753.179999999999</v>
      </c>
      <c r="Y22" s="323">
        <f>'Юбилейная 13'!R20</f>
        <v>11879.37</v>
      </c>
      <c r="Z22" s="393">
        <f>'Юбилейная 13'!S20</f>
        <v>4967.3</v>
      </c>
      <c r="AA22" s="326">
        <f>'Юбилейная 13'!T20</f>
        <v>11879.37</v>
      </c>
      <c r="AB22" s="434">
        <f t="shared" si="0"/>
        <v>199802.52000000002</v>
      </c>
      <c r="AC22" s="430">
        <f t="shared" si="1"/>
        <v>70980.35</v>
      </c>
      <c r="AD22" s="430">
        <f t="shared" si="2"/>
        <v>173632.81</v>
      </c>
    </row>
    <row r="23" spans="1:30" s="381" customFormat="1" ht="19.5" customHeight="1">
      <c r="A23" s="375" t="s">
        <v>18</v>
      </c>
      <c r="B23" s="376" t="s">
        <v>161</v>
      </c>
      <c r="C23" s="377" t="s">
        <v>20</v>
      </c>
      <c r="D23" s="378" t="s">
        <v>52</v>
      </c>
      <c r="E23" s="378" t="s">
        <v>77</v>
      </c>
      <c r="F23" s="379" t="s">
        <v>38</v>
      </c>
      <c r="G23" s="323">
        <f>'Юбилейная 14'!R8</f>
        <v>84682.80999999998</v>
      </c>
      <c r="H23" s="393">
        <f>'Юбилейная 14'!S8</f>
        <v>51634.07</v>
      </c>
      <c r="I23" s="324">
        <f>'Юбилейная 14'!T8</f>
        <v>75735.96</v>
      </c>
      <c r="J23" s="323">
        <f>'Юбилейная 14'!R14</f>
        <v>1063.2</v>
      </c>
      <c r="K23" s="393">
        <f>'Юбилейная 14'!S14</f>
        <v>523.36</v>
      </c>
      <c r="L23" s="324">
        <f>'Юбилейная 14'!T14</f>
        <v>0</v>
      </c>
      <c r="M23" s="323">
        <f>'Юбилейная 14'!R15</f>
        <v>18404.9</v>
      </c>
      <c r="N23" s="393">
        <f>'Юбилейная 14'!S15</f>
        <v>3480.83</v>
      </c>
      <c r="O23" s="324">
        <f>'Юбилейная 14'!T15</f>
        <v>24370.93</v>
      </c>
      <c r="P23" s="323">
        <f>'Юбилейная 14'!R16</f>
        <v>45008.21</v>
      </c>
      <c r="Q23" s="393">
        <f>'Юбилейная 14'!S16</f>
        <v>8512.24</v>
      </c>
      <c r="R23" s="324">
        <f>'Юбилейная 14'!T16</f>
        <v>59425.89</v>
      </c>
      <c r="S23" s="323">
        <f>'Юбилейная 14'!R17</f>
        <v>161620.58000000002</v>
      </c>
      <c r="T23" s="393">
        <f>'Юбилейная 14'!S17</f>
        <v>39920.56</v>
      </c>
      <c r="U23" s="324">
        <f>'Юбилейная 14'!T17</f>
        <v>111654.63</v>
      </c>
      <c r="V23" s="323">
        <f>'Юбилейная 14'!R18</f>
        <v>12012.75</v>
      </c>
      <c r="W23" s="393">
        <f>'Юбилейная 14'!S18</f>
        <v>4886.58</v>
      </c>
      <c r="X23" s="324">
        <f>'Юбилейная 14'!T18</f>
        <v>12012.75</v>
      </c>
      <c r="Y23" s="323">
        <f>'Юбилейная 14'!R20</f>
        <v>24996.33</v>
      </c>
      <c r="Z23" s="393">
        <f>'Юбилейная 14'!S20</f>
        <v>9011.85</v>
      </c>
      <c r="AA23" s="326">
        <f>'Юбилейная 14'!T20</f>
        <v>24996.33</v>
      </c>
      <c r="AB23" s="434">
        <f t="shared" si="0"/>
        <v>347788.78</v>
      </c>
      <c r="AC23" s="430">
        <f t="shared" si="1"/>
        <v>117969.48999999999</v>
      </c>
      <c r="AD23" s="430">
        <f t="shared" si="2"/>
        <v>308196.49000000005</v>
      </c>
    </row>
    <row r="24" spans="1:30" s="381" customFormat="1" ht="19.5" customHeight="1" thickBot="1">
      <c r="A24" s="387" t="s">
        <v>18</v>
      </c>
      <c r="B24" s="388" t="s">
        <v>161</v>
      </c>
      <c r="C24" s="389" t="s">
        <v>22</v>
      </c>
      <c r="D24" s="390" t="s">
        <v>60</v>
      </c>
      <c r="E24" s="390" t="s">
        <v>78</v>
      </c>
      <c r="F24" s="391" t="s">
        <v>38</v>
      </c>
      <c r="G24" s="334">
        <f>'Юбилейная 15'!O8</f>
        <v>77192.14</v>
      </c>
      <c r="H24" s="394">
        <f>'Юбилейная 15'!Q8</f>
        <v>40097.619999999995</v>
      </c>
      <c r="I24" s="335">
        <f>'Юбилейная 15'!R8</f>
        <v>68871.12</v>
      </c>
      <c r="J24" s="334">
        <f>'Юбилейная 15'!O14</f>
        <v>584.56</v>
      </c>
      <c r="K24" s="394">
        <f>'Юбилейная 15'!Q14</f>
        <v>385.47</v>
      </c>
      <c r="L24" s="335">
        <f>'Юбилейная 15'!R14</f>
        <v>0</v>
      </c>
      <c r="M24" s="334">
        <f>'Юбилейная 15'!O15</f>
        <v>16698.42</v>
      </c>
      <c r="N24" s="394">
        <f>'Юбилейная 15'!Q15</f>
        <v>2695.6000000000004</v>
      </c>
      <c r="O24" s="335">
        <f>'Юбилейная 15'!R15</f>
        <v>22111.29</v>
      </c>
      <c r="P24" s="334">
        <f>'Юбилейная 15'!O16</f>
        <v>41051.17</v>
      </c>
      <c r="Q24" s="394">
        <f>'Юбилейная 15'!Q16</f>
        <v>6807.67</v>
      </c>
      <c r="R24" s="335">
        <f>'Юбилейная 15'!R16</f>
        <v>54201.28</v>
      </c>
      <c r="S24" s="334">
        <f>'Юбилейная 15'!O17</f>
        <v>165978.2</v>
      </c>
      <c r="T24" s="394">
        <f>'Юбилейная 15'!Q17</f>
        <v>35282.16</v>
      </c>
      <c r="U24" s="335">
        <f>'Юбилейная 15'!R17</f>
        <v>114665.07</v>
      </c>
      <c r="V24" s="334">
        <f>'Юбилейная 15'!O18</f>
        <v>11312.39</v>
      </c>
      <c r="W24" s="394">
        <f>'Юбилейная 15'!Q18</f>
        <v>4436.93</v>
      </c>
      <c r="X24" s="335">
        <f>'Юбилейная 15'!R18</f>
        <v>11312.39</v>
      </c>
      <c r="Y24" s="334">
        <f>'Юбилейная 15'!O20</f>
        <v>23637.839999999997</v>
      </c>
      <c r="Z24" s="394">
        <f>'Юбилейная 15'!Q20</f>
        <v>8302.880000000001</v>
      </c>
      <c r="AA24" s="337">
        <f>'Юбилейная 15'!R20</f>
        <v>23637.839999999997</v>
      </c>
      <c r="AB24" s="435">
        <f t="shared" si="0"/>
        <v>336454.72</v>
      </c>
      <c r="AC24" s="431">
        <f t="shared" si="1"/>
        <v>98008.32999999999</v>
      </c>
      <c r="AD24" s="431">
        <f t="shared" si="2"/>
        <v>294798.99</v>
      </c>
    </row>
    <row r="25" spans="1:30" s="381" customFormat="1" ht="19.5" customHeight="1">
      <c r="A25" s="395" t="s">
        <v>163</v>
      </c>
      <c r="B25" s="396" t="s">
        <v>12</v>
      </c>
      <c r="C25" s="397" t="s">
        <v>17</v>
      </c>
      <c r="D25" s="398" t="s">
        <v>48</v>
      </c>
      <c r="E25" s="398" t="s">
        <v>47</v>
      </c>
      <c r="F25" s="399" t="s">
        <v>35</v>
      </c>
      <c r="G25" s="312">
        <f>'Санаторная 7'!O8</f>
        <v>30387.270000000004</v>
      </c>
      <c r="H25" s="400">
        <f>'Санаторная 7'!Q8</f>
        <v>17293.92</v>
      </c>
      <c r="I25" s="313">
        <f>'Санаторная 7'!R8</f>
        <v>25857.08</v>
      </c>
      <c r="J25" s="312">
        <f>0</f>
        <v>0</v>
      </c>
      <c r="K25" s="400">
        <f>0</f>
        <v>0</v>
      </c>
      <c r="L25" s="313">
        <v>0</v>
      </c>
      <c r="M25" s="312">
        <v>0</v>
      </c>
      <c r="N25" s="400">
        <v>0</v>
      </c>
      <c r="O25" s="313">
        <v>0</v>
      </c>
      <c r="P25" s="312">
        <v>0</v>
      </c>
      <c r="Q25" s="400">
        <v>0</v>
      </c>
      <c r="R25" s="313">
        <v>0</v>
      </c>
      <c r="S25" s="312">
        <f>0</f>
        <v>0</v>
      </c>
      <c r="T25" s="400">
        <v>0</v>
      </c>
      <c r="U25" s="313">
        <v>0</v>
      </c>
      <c r="V25" s="312">
        <f>'Санаторная 7'!O14</f>
        <v>2063.7999999999997</v>
      </c>
      <c r="W25" s="400">
        <f>'Санаторная 7'!Q14</f>
        <v>1373.3700000000001</v>
      </c>
      <c r="X25" s="313">
        <f>'Санаторная 7'!R14</f>
        <v>2063.7999999999997</v>
      </c>
      <c r="Y25" s="312">
        <f>'Санаторная 7'!O16</f>
        <v>2425.9399999999996</v>
      </c>
      <c r="Z25" s="400">
        <f>'Санаторная 7'!Q16</f>
        <v>1444.77</v>
      </c>
      <c r="AA25" s="315">
        <f>'Санаторная 7'!R16</f>
        <v>2425.9399999999996</v>
      </c>
      <c r="AB25" s="433">
        <f t="shared" si="0"/>
        <v>34877.01</v>
      </c>
      <c r="AC25" s="429">
        <f t="shared" si="1"/>
        <v>20112.059999999998</v>
      </c>
      <c r="AD25" s="429">
        <f t="shared" si="2"/>
        <v>30346.82</v>
      </c>
    </row>
    <row r="26" spans="1:30" s="381" customFormat="1" ht="19.5" customHeight="1">
      <c r="A26" s="382" t="s">
        <v>163</v>
      </c>
      <c r="B26" s="383" t="s">
        <v>24</v>
      </c>
      <c r="C26" s="411" t="s">
        <v>25</v>
      </c>
      <c r="D26" s="412" t="s">
        <v>61</v>
      </c>
      <c r="E26" s="412" t="s">
        <v>79</v>
      </c>
      <c r="F26" s="386">
        <v>26</v>
      </c>
      <c r="G26" s="369">
        <f>'Новая 19'!O8</f>
        <v>97107.16</v>
      </c>
      <c r="H26" s="380">
        <f>'Новая 19'!P8</f>
        <v>61816.54000000001</v>
      </c>
      <c r="I26" s="370">
        <f>'Новая 19'!Q8</f>
        <v>192018.34</v>
      </c>
      <c r="J26" s="369">
        <f>'Новая 19'!O15</f>
        <v>960.24</v>
      </c>
      <c r="K26" s="380">
        <f>'Новая 19'!P15</f>
        <v>471.4</v>
      </c>
      <c r="L26" s="370">
        <f>'Новая 19'!Q15</f>
        <v>0</v>
      </c>
      <c r="M26" s="369">
        <v>0</v>
      </c>
      <c r="N26" s="380">
        <v>0</v>
      </c>
      <c r="O26" s="370">
        <v>0</v>
      </c>
      <c r="P26" s="369">
        <v>0</v>
      </c>
      <c r="Q26" s="380">
        <v>0</v>
      </c>
      <c r="R26" s="370">
        <v>0</v>
      </c>
      <c r="S26" s="369">
        <f>'Новая 19'!O16</f>
        <v>216594.59</v>
      </c>
      <c r="T26" s="380">
        <f>'Новая 19'!P16</f>
        <v>55821.560000000005</v>
      </c>
      <c r="U26" s="370">
        <f>'Новая 19'!Q16</f>
        <v>136333.18</v>
      </c>
      <c r="V26" s="369">
        <f>'Новая 19'!O17</f>
        <v>13501.96</v>
      </c>
      <c r="W26" s="380">
        <f>'Новая 19'!P17</f>
        <v>5598.54</v>
      </c>
      <c r="X26" s="370">
        <f>'Новая 19'!Q17</f>
        <v>13501.96</v>
      </c>
      <c r="Y26" s="369">
        <f>'Новая 19'!O19</f>
        <v>16013.43</v>
      </c>
      <c r="Z26" s="380">
        <f>'Новая 19'!P19</f>
        <v>5889.839999999999</v>
      </c>
      <c r="AA26" s="372">
        <f>'Новая 19'!Q19</f>
        <v>16013.43</v>
      </c>
      <c r="AB26" s="434">
        <f t="shared" si="0"/>
        <v>344177.38</v>
      </c>
      <c r="AC26" s="430">
        <f t="shared" si="1"/>
        <v>129597.88</v>
      </c>
      <c r="AD26" s="430">
        <f t="shared" si="2"/>
        <v>357866.91000000003</v>
      </c>
    </row>
    <row r="27" spans="1:30" s="381" customFormat="1" ht="19.5" customHeight="1">
      <c r="A27" s="375" t="s">
        <v>163</v>
      </c>
      <c r="B27" s="376" t="s">
        <v>24</v>
      </c>
      <c r="C27" s="377" t="s">
        <v>21</v>
      </c>
      <c r="D27" s="378" t="s">
        <v>62</v>
      </c>
      <c r="E27" s="378" t="s">
        <v>80</v>
      </c>
      <c r="F27" s="379" t="s">
        <v>38</v>
      </c>
      <c r="G27" s="323">
        <f>'Новая 20'!O8</f>
        <v>147985.24</v>
      </c>
      <c r="H27" s="393">
        <f>'Новая 20'!Q8</f>
        <v>72764.51</v>
      </c>
      <c r="I27" s="324">
        <f>'Новая 20'!R8</f>
        <v>225588.01</v>
      </c>
      <c r="J27" s="323">
        <f>'Новая 20'!O15</f>
        <v>1139.6</v>
      </c>
      <c r="K27" s="393">
        <f>'Новая 20'!Q15</f>
        <v>587.25</v>
      </c>
      <c r="L27" s="324">
        <f>'Новая 20'!R15</f>
        <v>0</v>
      </c>
      <c r="M27" s="323">
        <v>0</v>
      </c>
      <c r="N27" s="393">
        <v>0</v>
      </c>
      <c r="O27" s="324">
        <v>0</v>
      </c>
      <c r="P27" s="323">
        <v>0</v>
      </c>
      <c r="Q27" s="393">
        <v>0</v>
      </c>
      <c r="R27" s="324">
        <v>0</v>
      </c>
      <c r="S27" s="323">
        <f>'Новая 20'!O16</f>
        <v>221323.88</v>
      </c>
      <c r="T27" s="393">
        <f>'Новая 20'!Q16</f>
        <v>44657.84</v>
      </c>
      <c r="U27" s="324">
        <f>'Новая 20'!R16</f>
        <v>139309.98</v>
      </c>
      <c r="V27" s="323">
        <f>'Новая 20'!O17</f>
        <v>12245.64</v>
      </c>
      <c r="W27" s="393">
        <f>'Новая 20'!Q17</f>
        <v>4861.9</v>
      </c>
      <c r="X27" s="324">
        <f>'Новая 20'!R17</f>
        <v>12245.64</v>
      </c>
      <c r="Y27" s="323">
        <f>'Новая 20'!O19</f>
        <v>14463.32</v>
      </c>
      <c r="Z27" s="393">
        <f>'Новая 20'!Q19</f>
        <v>5130.66</v>
      </c>
      <c r="AA27" s="326">
        <f>'Новая 20'!R19</f>
        <v>14463.32</v>
      </c>
      <c r="AB27" s="436">
        <f t="shared" si="0"/>
        <v>397157.68</v>
      </c>
      <c r="AC27" s="430">
        <f t="shared" si="1"/>
        <v>128002.15999999999</v>
      </c>
      <c r="AD27" s="430">
        <f t="shared" si="2"/>
        <v>391606.95</v>
      </c>
    </row>
    <row r="28" spans="1:30" s="381" customFormat="1" ht="19.5" customHeight="1">
      <c r="A28" s="375" t="s">
        <v>163</v>
      </c>
      <c r="B28" s="376" t="s">
        <v>26</v>
      </c>
      <c r="C28" s="377" t="s">
        <v>11</v>
      </c>
      <c r="D28" s="378" t="s">
        <v>63</v>
      </c>
      <c r="E28" s="378" t="s">
        <v>81</v>
      </c>
      <c r="F28" s="379" t="s">
        <v>35</v>
      </c>
      <c r="G28" s="323">
        <f>'Строителей 9'!O8</f>
        <v>55218.75</v>
      </c>
      <c r="H28" s="393">
        <f>'Строителей 9'!Q8</f>
        <v>28050.65</v>
      </c>
      <c r="I28" s="324">
        <f>'Строителей 9'!R8</f>
        <v>107648.14</v>
      </c>
      <c r="J28" s="323">
        <f>'Строителей 9'!O15</f>
        <v>597.56</v>
      </c>
      <c r="K28" s="393">
        <f>'Строителей 9'!Q15</f>
        <v>360.44</v>
      </c>
      <c r="L28" s="324">
        <f>'Строителей 9'!R15</f>
        <v>0</v>
      </c>
      <c r="M28" s="323">
        <v>0</v>
      </c>
      <c r="N28" s="393">
        <v>0</v>
      </c>
      <c r="O28" s="324">
        <v>0</v>
      </c>
      <c r="P28" s="323">
        <v>0</v>
      </c>
      <c r="Q28" s="393">
        <v>0</v>
      </c>
      <c r="R28" s="324">
        <v>0</v>
      </c>
      <c r="S28" s="323">
        <f>'Строителей 9'!O16</f>
        <v>82584.03</v>
      </c>
      <c r="T28" s="393">
        <f>'Строителей 9'!Q16</f>
        <v>16474.49</v>
      </c>
      <c r="U28" s="324">
        <f>'Строителей 9'!R16</f>
        <v>51981.65</v>
      </c>
      <c r="V28" s="323">
        <f>'Строителей 9'!O17</f>
        <v>6221.62</v>
      </c>
      <c r="W28" s="393">
        <f>'Строителей 9'!Q17</f>
        <v>2505.35</v>
      </c>
      <c r="X28" s="324">
        <f>'Строителей 9'!R17</f>
        <v>6221.62</v>
      </c>
      <c r="Y28" s="323">
        <f>'Строителей 9'!O18</f>
        <v>7391.93</v>
      </c>
      <c r="Z28" s="393">
        <f>'Строителей 9'!Q18</f>
        <v>2635.6400000000003</v>
      </c>
      <c r="AA28" s="326">
        <f>'Строителей 9'!R18</f>
        <v>7391.93</v>
      </c>
      <c r="AB28" s="434">
        <f t="shared" si="0"/>
        <v>152013.89</v>
      </c>
      <c r="AC28" s="430">
        <f t="shared" si="1"/>
        <v>50026.57000000001</v>
      </c>
      <c r="AD28" s="430">
        <f t="shared" si="2"/>
        <v>173243.34</v>
      </c>
    </row>
    <row r="29" spans="1:30" s="381" customFormat="1" ht="19.5" customHeight="1" thickBot="1">
      <c r="A29" s="387" t="s">
        <v>163</v>
      </c>
      <c r="B29" s="388" t="s">
        <v>26</v>
      </c>
      <c r="C29" s="389" t="s">
        <v>27</v>
      </c>
      <c r="D29" s="390" t="s">
        <v>59</v>
      </c>
      <c r="E29" s="390" t="s">
        <v>82</v>
      </c>
      <c r="F29" s="391" t="s">
        <v>36</v>
      </c>
      <c r="G29" s="334">
        <f>'Строителей 23'!O8</f>
        <v>42249.92</v>
      </c>
      <c r="H29" s="394">
        <f>'Строителей 23'!Q8</f>
        <v>25344.23</v>
      </c>
      <c r="I29" s="335">
        <f>'Строителей 23'!R8</f>
        <v>43251.39</v>
      </c>
      <c r="J29" s="334">
        <f>'Строителей 23'!O15</f>
        <v>184.6</v>
      </c>
      <c r="K29" s="394">
        <f>'Строителей 23'!Q15</f>
        <v>138.53</v>
      </c>
      <c r="L29" s="335">
        <f>'Строителей 23'!R15</f>
        <v>0</v>
      </c>
      <c r="M29" s="334">
        <v>0</v>
      </c>
      <c r="N29" s="394">
        <v>0</v>
      </c>
      <c r="O29" s="335">
        <v>0</v>
      </c>
      <c r="P29" s="334">
        <v>0</v>
      </c>
      <c r="Q29" s="394">
        <v>0</v>
      </c>
      <c r="R29" s="335">
        <v>0</v>
      </c>
      <c r="S29" s="334">
        <f>'Строителей 23'!O16</f>
        <v>55816.29000000001</v>
      </c>
      <c r="T29" s="394">
        <f>'Строителей 23'!Q16</f>
        <v>18760.06</v>
      </c>
      <c r="U29" s="335">
        <f>'Строителей 23'!R16</f>
        <v>35132.97</v>
      </c>
      <c r="V29" s="334">
        <f>'Строителей 23'!O17</f>
        <v>1743.0200000000002</v>
      </c>
      <c r="W29" s="394">
        <f>'Строителей 23'!Q17</f>
        <v>891.2599999999999</v>
      </c>
      <c r="X29" s="335">
        <f>'Строителей 23'!R17</f>
        <v>1743.0200000000002</v>
      </c>
      <c r="Y29" s="334">
        <f>'Строителей 23'!O19</f>
        <v>2069.79</v>
      </c>
      <c r="Z29" s="394">
        <f>'Строителей 23'!Q19</f>
        <v>937.64</v>
      </c>
      <c r="AA29" s="337">
        <f>'Строителей 23'!R19</f>
        <v>2069.79</v>
      </c>
      <c r="AB29" s="435">
        <f t="shared" si="0"/>
        <v>102063.62</v>
      </c>
      <c r="AC29" s="431">
        <f t="shared" si="1"/>
        <v>46071.72</v>
      </c>
      <c r="AD29" s="431">
        <f t="shared" si="2"/>
        <v>82197.17</v>
      </c>
    </row>
    <row r="30" spans="1:30" s="381" customFormat="1" ht="19.5" customHeight="1" thickBot="1">
      <c r="A30" s="423"/>
      <c r="B30" s="423"/>
      <c r="C30" s="319"/>
      <c r="D30" s="319"/>
      <c r="E30" s="319"/>
      <c r="F30" s="424"/>
      <c r="G30" s="425">
        <f>SUM(G5:G29)</f>
        <v>1197190.5899999999</v>
      </c>
      <c r="H30" s="426">
        <f>SUM(H5:H29)</f>
        <v>658852.28</v>
      </c>
      <c r="I30" s="426">
        <f aca="true" t="shared" si="3" ref="I30:AD30">SUM(I5:I29)</f>
        <v>1354032.0499999998</v>
      </c>
      <c r="J30" s="426">
        <f t="shared" si="3"/>
        <v>11936.25</v>
      </c>
      <c r="K30" s="426">
        <f t="shared" si="3"/>
        <v>6516.979999999999</v>
      </c>
      <c r="L30" s="426">
        <f t="shared" si="3"/>
        <v>0</v>
      </c>
      <c r="M30" s="426">
        <f t="shared" si="3"/>
        <v>182323.46999999997</v>
      </c>
      <c r="N30" s="426">
        <f t="shared" si="3"/>
        <v>43352.42</v>
      </c>
      <c r="O30" s="426">
        <f t="shared" si="3"/>
        <v>235547.35999999996</v>
      </c>
      <c r="P30" s="426">
        <f t="shared" si="3"/>
        <v>444544.63</v>
      </c>
      <c r="Q30" s="426">
        <f t="shared" si="3"/>
        <v>120989.34000000003</v>
      </c>
      <c r="R30" s="426">
        <f t="shared" si="3"/>
        <v>573312.19</v>
      </c>
      <c r="S30" s="426">
        <f t="shared" si="3"/>
        <v>2455300.6599999997</v>
      </c>
      <c r="T30" s="426">
        <f t="shared" si="3"/>
        <v>671771.6900000002</v>
      </c>
      <c r="U30" s="426">
        <f t="shared" si="3"/>
        <v>1951066.14</v>
      </c>
      <c r="V30" s="426">
        <f t="shared" si="3"/>
        <v>155480.50999999998</v>
      </c>
      <c r="W30" s="426">
        <f t="shared" si="3"/>
        <v>68885.86</v>
      </c>
      <c r="X30" s="426">
        <f t="shared" si="3"/>
        <v>155480.50999999998</v>
      </c>
      <c r="Y30" s="426">
        <f t="shared" si="3"/>
        <v>267769.31</v>
      </c>
      <c r="Z30" s="426">
        <f t="shared" si="3"/>
        <v>106281.64000000001</v>
      </c>
      <c r="AA30" s="427">
        <f t="shared" si="3"/>
        <v>267769.31</v>
      </c>
      <c r="AB30" s="437">
        <f t="shared" si="3"/>
        <v>4714545.419999998</v>
      </c>
      <c r="AC30" s="428">
        <f t="shared" si="3"/>
        <v>1676650.2100000002</v>
      </c>
      <c r="AD30" s="428">
        <f t="shared" si="3"/>
        <v>4537207.5600000005</v>
      </c>
    </row>
    <row r="31" spans="1:30" s="402" customFormat="1" ht="12">
      <c r="A31" s="366"/>
      <c r="B31" s="366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</row>
    <row r="32" spans="1:30" s="402" customFormat="1" ht="12">
      <c r="A32" s="366"/>
      <c r="B32" s="366"/>
      <c r="C32" s="401"/>
      <c r="D32" s="401"/>
      <c r="E32" s="401"/>
      <c r="F32" s="403"/>
      <c r="G32" s="404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4"/>
      <c r="AC32" s="401"/>
      <c r="AD32" s="401"/>
    </row>
    <row r="33" spans="1:30" s="402" customFormat="1" ht="12">
      <c r="A33" s="366"/>
      <c r="B33" s="366"/>
      <c r="C33" s="401"/>
      <c r="D33" s="401"/>
      <c r="E33" s="401"/>
      <c r="F33" s="403"/>
      <c r="G33" s="404"/>
      <c r="H33" s="401"/>
      <c r="I33" s="401"/>
      <c r="J33" s="401"/>
      <c r="K33" s="401"/>
      <c r="L33" s="401"/>
      <c r="M33" s="404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</row>
    <row r="34" spans="10:13" ht="15">
      <c r="J34" s="10"/>
      <c r="M34" s="10"/>
    </row>
    <row r="35" ht="15">
      <c r="M35" s="10"/>
    </row>
  </sheetData>
  <sheetProtection/>
  <mergeCells count="13">
    <mergeCell ref="S3:U3"/>
    <mergeCell ref="V3:X3"/>
    <mergeCell ref="AB2:AD3"/>
    <mergeCell ref="A2:A4"/>
    <mergeCell ref="B2:B4"/>
    <mergeCell ref="C2:C4"/>
    <mergeCell ref="D2:D4"/>
    <mergeCell ref="Y3:AA3"/>
    <mergeCell ref="G2:AA2"/>
    <mergeCell ref="G3:I3"/>
    <mergeCell ref="J3:L3"/>
    <mergeCell ref="M3:O3"/>
    <mergeCell ref="P3:R3"/>
  </mergeCell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3">
      <selection activeCell="A33" sqref="A33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3" width="10.140625" style="32" hidden="1" customWidth="1"/>
    <col min="14" max="14" width="10.140625" style="33" hidden="1" customWidth="1"/>
    <col min="15" max="15" width="16.00390625" style="34" customWidth="1"/>
    <col min="16" max="16" width="16.00390625" style="32" hidden="1" customWidth="1"/>
    <col min="17" max="17" width="16.00390625" style="34" customWidth="1"/>
    <col min="18" max="18" width="16.00390625" style="33" customWidth="1"/>
    <col min="19" max="19" width="23.8515625" style="34" customWidth="1"/>
    <col min="20" max="21" width="9.140625" style="32" customWidth="1"/>
    <col min="22" max="22" width="9.140625" style="1" customWidth="1"/>
  </cols>
  <sheetData>
    <row r="1" ht="15">
      <c r="A1" s="32" t="s">
        <v>115</v>
      </c>
    </row>
    <row r="3" ht="15">
      <c r="A3" s="32" t="s">
        <v>151</v>
      </c>
    </row>
    <row r="4" ht="15">
      <c r="A4" s="32" t="s">
        <v>116</v>
      </c>
    </row>
    <row r="5" ht="15">
      <c r="B5" s="32">
        <f>O8/B8</f>
        <v>4560.408012326656</v>
      </c>
    </row>
    <row r="6" ht="15.75" thickBot="1"/>
    <row r="7" spans="1:22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41" t="s">
        <v>95</v>
      </c>
      <c r="N7" s="42" t="s">
        <v>114</v>
      </c>
      <c r="O7" s="37" t="s">
        <v>159</v>
      </c>
      <c r="P7" s="40"/>
      <c r="Q7" s="251" t="s">
        <v>137</v>
      </c>
      <c r="R7" s="251" t="s">
        <v>138</v>
      </c>
      <c r="S7" s="251"/>
      <c r="T7" s="43"/>
      <c r="U7" s="43"/>
      <c r="V7" s="152"/>
    </row>
    <row r="8" spans="1:19" ht="15">
      <c r="A8" s="80" t="s">
        <v>139</v>
      </c>
      <c r="B8" s="116">
        <v>32.45</v>
      </c>
      <c r="C8" s="59">
        <v>22337.35</v>
      </c>
      <c r="D8" s="60">
        <v>0</v>
      </c>
      <c r="E8" s="61"/>
      <c r="F8" s="59">
        <v>41882.63</v>
      </c>
      <c r="G8" s="62">
        <v>13698.72</v>
      </c>
      <c r="H8" s="63"/>
      <c r="I8" s="59">
        <v>41882.63</v>
      </c>
      <c r="J8" s="62">
        <v>21999.98</v>
      </c>
      <c r="K8" s="63"/>
      <c r="L8" s="59">
        <v>41882.63</v>
      </c>
      <c r="M8" s="62">
        <v>37065.81</v>
      </c>
      <c r="N8" s="63"/>
      <c r="O8" s="102">
        <f>C8+F8+I8+L8</f>
        <v>147985.24</v>
      </c>
      <c r="P8" s="260">
        <v>1</v>
      </c>
      <c r="Q8" s="102">
        <f>D8+G8+J8+M8</f>
        <v>72764.51</v>
      </c>
      <c r="R8" s="102">
        <f>SUM(R9:R14)</f>
        <v>225588.01</v>
      </c>
      <c r="S8" s="102"/>
    </row>
    <row r="9" spans="1:22" s="11" customFormat="1" ht="15">
      <c r="A9" s="49" t="s">
        <v>105</v>
      </c>
      <c r="B9" s="117">
        <v>4.77</v>
      </c>
      <c r="C9" s="44"/>
      <c r="D9" s="45"/>
      <c r="E9" s="46"/>
      <c r="F9" s="44"/>
      <c r="G9" s="47"/>
      <c r="H9" s="48"/>
      <c r="I9" s="44"/>
      <c r="J9" s="47"/>
      <c r="K9" s="48"/>
      <c r="L9" s="44"/>
      <c r="M9" s="47"/>
      <c r="N9" s="48"/>
      <c r="O9" s="103">
        <f>B9*B5</f>
        <v>21753.146218798145</v>
      </c>
      <c r="P9" s="130">
        <f>O9/O8</f>
        <v>0.14699537750385205</v>
      </c>
      <c r="Q9" s="103">
        <f>P9*Q8</f>
        <v>10696.046616332816</v>
      </c>
      <c r="R9" s="103">
        <v>30193.44</v>
      </c>
      <c r="S9" s="266" t="s">
        <v>156</v>
      </c>
      <c r="T9" s="50"/>
      <c r="U9" s="50"/>
      <c r="V9" s="153"/>
    </row>
    <row r="10" spans="1:22" s="11" customFormat="1" ht="23.25">
      <c r="A10" s="51" t="s">
        <v>146</v>
      </c>
      <c r="B10" s="118">
        <v>3.2</v>
      </c>
      <c r="C10" s="44"/>
      <c r="D10" s="45"/>
      <c r="E10" s="46"/>
      <c r="F10" s="44"/>
      <c r="G10" s="47"/>
      <c r="H10" s="48"/>
      <c r="I10" s="44"/>
      <c r="J10" s="47"/>
      <c r="K10" s="48"/>
      <c r="L10" s="44"/>
      <c r="M10" s="47"/>
      <c r="N10" s="48"/>
      <c r="O10" s="103">
        <f>B10*B5</f>
        <v>14593.3056394453</v>
      </c>
      <c r="P10" s="130">
        <f>O10/O8</f>
        <v>0.09861325115562404</v>
      </c>
      <c r="Q10" s="103">
        <f>P10*Q8</f>
        <v>7175.544899845917</v>
      </c>
      <c r="R10" s="103">
        <f>20314.31*60%</f>
        <v>12188.586000000001</v>
      </c>
      <c r="S10" s="266" t="s">
        <v>156</v>
      </c>
      <c r="T10" s="50"/>
      <c r="U10" s="50"/>
      <c r="V10" s="153"/>
    </row>
    <row r="11" spans="1:22" s="11" customFormat="1" ht="15">
      <c r="A11" s="51" t="s">
        <v>107</v>
      </c>
      <c r="B11" s="118">
        <v>1.83</v>
      </c>
      <c r="C11" s="44"/>
      <c r="D11" s="45"/>
      <c r="E11" s="46"/>
      <c r="F11" s="44"/>
      <c r="G11" s="47"/>
      <c r="H11" s="48"/>
      <c r="I11" s="44"/>
      <c r="J11" s="47"/>
      <c r="K11" s="48"/>
      <c r="L11" s="44"/>
      <c r="M11" s="47"/>
      <c r="N11" s="48"/>
      <c r="O11" s="103">
        <f>B11*B5</f>
        <v>8345.546662557781</v>
      </c>
      <c r="P11" s="130">
        <f>O11/O8</f>
        <v>0.0563944530046225</v>
      </c>
      <c r="Q11" s="103">
        <f>P11*Q8</f>
        <v>4103.514739599384</v>
      </c>
      <c r="R11" s="103">
        <f>20314.31-R10</f>
        <v>8125.724</v>
      </c>
      <c r="S11" s="266" t="s">
        <v>156</v>
      </c>
      <c r="T11" s="50"/>
      <c r="U11" s="50"/>
      <c r="V11" s="153"/>
    </row>
    <row r="12" spans="1:22" s="11" customFormat="1" ht="15">
      <c r="A12" s="51" t="s">
        <v>108</v>
      </c>
      <c r="B12" s="118" t="s">
        <v>145</v>
      </c>
      <c r="C12" s="44">
        <v>1748</v>
      </c>
      <c r="D12" s="45"/>
      <c r="E12" s="46"/>
      <c r="F12" s="44">
        <v>3084.71</v>
      </c>
      <c r="G12" s="47"/>
      <c r="H12" s="48"/>
      <c r="I12" s="44">
        <v>3084.71</v>
      </c>
      <c r="J12" s="47"/>
      <c r="K12" s="48"/>
      <c r="L12" s="44">
        <v>3084.71</v>
      </c>
      <c r="M12" s="47"/>
      <c r="N12" s="48"/>
      <c r="O12" s="103">
        <f>B12*B5</f>
        <v>10899.375149460708</v>
      </c>
      <c r="P12" s="130">
        <f>O12/O8</f>
        <v>0.0736517719568567</v>
      </c>
      <c r="Q12" s="103">
        <f>P12*Q8</f>
        <v>5359.235097072418</v>
      </c>
      <c r="R12" s="103">
        <v>11624.01</v>
      </c>
      <c r="S12" s="266" t="s">
        <v>154</v>
      </c>
      <c r="T12" s="50"/>
      <c r="U12" s="50"/>
      <c r="V12" s="153"/>
    </row>
    <row r="13" spans="1:22" s="11" customFormat="1" ht="15.75" thickBot="1">
      <c r="A13" s="51" t="s">
        <v>109</v>
      </c>
      <c r="B13" s="119">
        <v>16.83</v>
      </c>
      <c r="C13" s="44">
        <v>12309.17</v>
      </c>
      <c r="D13" s="45"/>
      <c r="E13" s="46"/>
      <c r="F13" s="44">
        <v>21722.06</v>
      </c>
      <c r="G13" s="47"/>
      <c r="H13" s="48"/>
      <c r="I13" s="44">
        <v>21722.06</v>
      </c>
      <c r="J13" s="47"/>
      <c r="K13" s="48"/>
      <c r="L13" s="44">
        <v>21722.06</v>
      </c>
      <c r="M13" s="47"/>
      <c r="N13" s="48"/>
      <c r="O13" s="103">
        <f>B13*B5</f>
        <v>76751.66684745761</v>
      </c>
      <c r="P13" s="131">
        <f>O13/O8</f>
        <v>0.5186440677966101</v>
      </c>
      <c r="Q13" s="103">
        <f>P13*Q8</f>
        <v>37738.88145762711</v>
      </c>
      <c r="R13" s="103">
        <f>1307.65*125</f>
        <v>163456.25</v>
      </c>
      <c r="S13" s="138" t="s">
        <v>158</v>
      </c>
      <c r="T13" s="50"/>
      <c r="U13" s="50"/>
      <c r="V13" s="153"/>
    </row>
    <row r="14" spans="1:22" s="11" customFormat="1" ht="15.75" thickBot="1">
      <c r="A14" s="66" t="s">
        <v>110</v>
      </c>
      <c r="B14" s="113" t="s">
        <v>149</v>
      </c>
      <c r="C14" s="67"/>
      <c r="D14" s="68"/>
      <c r="E14" s="69"/>
      <c r="F14" s="67"/>
      <c r="G14" s="70"/>
      <c r="H14" s="71"/>
      <c r="I14" s="67"/>
      <c r="J14" s="70"/>
      <c r="K14" s="71"/>
      <c r="L14" s="67"/>
      <c r="M14" s="70"/>
      <c r="N14" s="71"/>
      <c r="O14" s="104">
        <f>B14*B5</f>
        <v>15642.19948228043</v>
      </c>
      <c r="P14" s="131">
        <f>O14/O8</f>
        <v>0.10570107858243451</v>
      </c>
      <c r="Q14" s="104">
        <f>P14*Q8</f>
        <v>7691.287189522341</v>
      </c>
      <c r="R14" s="104">
        <v>0</v>
      </c>
      <c r="S14" s="106"/>
      <c r="T14" s="50"/>
      <c r="U14" s="50"/>
      <c r="V14" s="153"/>
    </row>
    <row r="15" spans="1:19" ht="15.75" thickBot="1">
      <c r="A15" s="72" t="s">
        <v>96</v>
      </c>
      <c r="B15" s="113"/>
      <c r="C15" s="78">
        <v>284.9</v>
      </c>
      <c r="D15" s="198">
        <v>0</v>
      </c>
      <c r="E15" s="96"/>
      <c r="F15" s="78">
        <v>284.9</v>
      </c>
      <c r="G15" s="79">
        <v>142.96</v>
      </c>
      <c r="H15" s="199"/>
      <c r="I15" s="78">
        <v>284.9</v>
      </c>
      <c r="J15" s="79">
        <v>156.62</v>
      </c>
      <c r="K15" s="199"/>
      <c r="L15" s="78">
        <v>284.9</v>
      </c>
      <c r="M15" s="79">
        <v>287.67</v>
      </c>
      <c r="N15" s="199"/>
      <c r="O15" s="105">
        <f>C15+F15+I15+L15</f>
        <v>1139.6</v>
      </c>
      <c r="P15" s="132"/>
      <c r="Q15" s="105">
        <f aca="true" t="shared" si="0" ref="Q15:Q20">D15+G15+J15+M15</f>
        <v>587.25</v>
      </c>
      <c r="R15" s="105">
        <v>0</v>
      </c>
      <c r="S15" s="105"/>
    </row>
    <row r="16" spans="1:19" ht="15.75" thickBot="1">
      <c r="A16" s="72" t="s">
        <v>6</v>
      </c>
      <c r="B16" s="113"/>
      <c r="C16" s="78">
        <v>0</v>
      </c>
      <c r="D16" s="198">
        <v>0</v>
      </c>
      <c r="E16" s="96"/>
      <c r="F16" s="78">
        <v>0</v>
      </c>
      <c r="G16" s="79">
        <v>0</v>
      </c>
      <c r="H16" s="199"/>
      <c r="I16" s="78">
        <v>65095.26</v>
      </c>
      <c r="J16" s="79">
        <v>15860.38</v>
      </c>
      <c r="K16" s="199"/>
      <c r="L16" s="78">
        <v>156228.62</v>
      </c>
      <c r="M16" s="79">
        <v>28797.46</v>
      </c>
      <c r="N16" s="199"/>
      <c r="O16" s="105">
        <f>C16+F16+I16+L16</f>
        <v>221323.88</v>
      </c>
      <c r="P16" s="132"/>
      <c r="Q16" s="105">
        <f t="shared" si="0"/>
        <v>44657.84</v>
      </c>
      <c r="R16" s="105">
        <v>139309.98</v>
      </c>
      <c r="S16" s="102" t="s">
        <v>155</v>
      </c>
    </row>
    <row r="17" spans="1:19" ht="15.75" thickBot="1">
      <c r="A17" s="80" t="s">
        <v>99</v>
      </c>
      <c r="B17" s="113"/>
      <c r="C17" s="64">
        <v>2186.88</v>
      </c>
      <c r="D17" s="194">
        <v>0</v>
      </c>
      <c r="E17" s="95"/>
      <c r="F17" s="64">
        <v>2186.88</v>
      </c>
      <c r="G17" s="65">
        <v>1028.31</v>
      </c>
      <c r="H17" s="195"/>
      <c r="I17" s="64">
        <v>2219.52</v>
      </c>
      <c r="J17" s="65">
        <v>1413.27</v>
      </c>
      <c r="K17" s="195"/>
      <c r="L17" s="64">
        <v>5621.4</v>
      </c>
      <c r="M17" s="65">
        <v>2406.82</v>
      </c>
      <c r="N17" s="195"/>
      <c r="O17" s="102">
        <f>C17+F17+I17+L17+O18</f>
        <v>12245.64</v>
      </c>
      <c r="P17" s="129"/>
      <c r="Q17" s="102">
        <f>D17+G17+J17+M17+Q18</f>
        <v>4861.9</v>
      </c>
      <c r="R17" s="102">
        <f>O17</f>
        <v>12245.64</v>
      </c>
      <c r="S17" s="105" t="s">
        <v>157</v>
      </c>
    </row>
    <row r="18" spans="1:19" ht="15.75" hidden="1" thickBot="1">
      <c r="A18" s="81" t="s">
        <v>101</v>
      </c>
      <c r="B18" s="113"/>
      <c r="C18" s="82">
        <v>6.73</v>
      </c>
      <c r="D18" s="196">
        <v>0</v>
      </c>
      <c r="E18" s="97"/>
      <c r="F18" s="82">
        <v>0</v>
      </c>
      <c r="G18" s="83">
        <v>2.61</v>
      </c>
      <c r="H18" s="197"/>
      <c r="I18" s="82">
        <v>6.73</v>
      </c>
      <c r="J18" s="83">
        <v>3.08</v>
      </c>
      <c r="K18" s="197"/>
      <c r="L18" s="82">
        <v>17.5</v>
      </c>
      <c r="M18" s="83">
        <v>7.81</v>
      </c>
      <c r="N18" s="197"/>
      <c r="O18" s="106">
        <f>C18+F18+I18+L18</f>
        <v>30.96</v>
      </c>
      <c r="P18" s="133"/>
      <c r="Q18" s="106">
        <f t="shared" si="0"/>
        <v>13.5</v>
      </c>
      <c r="R18" s="106"/>
      <c r="S18" s="106"/>
    </row>
    <row r="19" spans="1:19" ht="15.75" thickBot="1">
      <c r="A19" s="72" t="s">
        <v>100</v>
      </c>
      <c r="B19" s="307"/>
      <c r="C19" s="78">
        <v>2300.65</v>
      </c>
      <c r="D19" s="198">
        <v>0</v>
      </c>
      <c r="E19" s="96"/>
      <c r="F19" s="78">
        <v>2300.65</v>
      </c>
      <c r="G19" s="79">
        <v>1081.8</v>
      </c>
      <c r="H19" s="199"/>
      <c r="I19" s="78">
        <v>2334.99</v>
      </c>
      <c r="J19" s="79">
        <v>1486.82</v>
      </c>
      <c r="K19" s="199"/>
      <c r="L19" s="78">
        <v>7489.61</v>
      </c>
      <c r="M19" s="79">
        <v>2547.84</v>
      </c>
      <c r="N19" s="199"/>
      <c r="O19" s="105">
        <f>C19+F19+I19+L19+O20</f>
        <v>14463.32</v>
      </c>
      <c r="P19" s="308"/>
      <c r="Q19" s="105">
        <f>D19+G19+J19+M19+Q20</f>
        <v>5130.66</v>
      </c>
      <c r="R19" s="105">
        <f>O19</f>
        <v>14463.32</v>
      </c>
      <c r="S19" s="105" t="s">
        <v>157</v>
      </c>
    </row>
    <row r="20" spans="1:19" ht="15.75" hidden="1" thickBot="1">
      <c r="A20" s="284" t="s">
        <v>102</v>
      </c>
      <c r="B20" s="263"/>
      <c r="C20" s="302">
        <v>7.08</v>
      </c>
      <c r="D20" s="303">
        <v>0</v>
      </c>
      <c r="E20" s="304"/>
      <c r="F20" s="302">
        <v>0</v>
      </c>
      <c r="G20" s="305">
        <v>2.74</v>
      </c>
      <c r="H20" s="306"/>
      <c r="I20" s="302">
        <v>7.08</v>
      </c>
      <c r="J20" s="305">
        <v>3.24</v>
      </c>
      <c r="K20" s="306"/>
      <c r="L20" s="302">
        <v>23.26</v>
      </c>
      <c r="M20" s="305">
        <v>8.22</v>
      </c>
      <c r="N20" s="306"/>
      <c r="O20" s="134">
        <f>C20+F20+I20+L20</f>
        <v>37.42</v>
      </c>
      <c r="P20" s="264"/>
      <c r="Q20" s="134">
        <f t="shared" si="0"/>
        <v>14.200000000000001</v>
      </c>
      <c r="R20" s="134"/>
      <c r="S20" s="134"/>
    </row>
    <row r="21" spans="1:19" ht="15.75" thickBot="1">
      <c r="A21" s="84"/>
      <c r="C21" s="54"/>
      <c r="D21" s="55"/>
      <c r="E21" s="56"/>
      <c r="F21" s="54"/>
      <c r="G21" s="57"/>
      <c r="H21" s="58"/>
      <c r="I21" s="54"/>
      <c r="J21" s="57"/>
      <c r="K21" s="58"/>
      <c r="L21" s="54"/>
      <c r="M21" s="57"/>
      <c r="N21" s="58"/>
      <c r="O21" s="134">
        <f>SUM(O9:O20)-O18-O20</f>
        <v>397157.68</v>
      </c>
      <c r="P21" s="134">
        <f>SUM(P9:P20)-P18-P20</f>
        <v>0.9999999999999999</v>
      </c>
      <c r="Q21" s="134">
        <f>SUM(Q9:Q20)-Q18-Q20</f>
        <v>128002.15999999997</v>
      </c>
      <c r="R21" s="134">
        <f>SUM(R9:R20)-R18-R20</f>
        <v>391606.95</v>
      </c>
      <c r="S21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3" width="10.140625" style="32" hidden="1" customWidth="1"/>
    <col min="14" max="14" width="10.140625" style="33" hidden="1" customWidth="1"/>
    <col min="15" max="16" width="16.00390625" style="34" customWidth="1"/>
    <col min="17" max="17" width="16.00390625" style="33" customWidth="1"/>
    <col min="18" max="18" width="24.7109375" style="34" customWidth="1"/>
    <col min="19" max="20" width="9.140625" style="32" customWidth="1"/>
  </cols>
  <sheetData>
    <row r="1" ht="15">
      <c r="A1" s="32" t="s">
        <v>115</v>
      </c>
    </row>
    <row r="3" ht="15">
      <c r="A3" s="32" t="s">
        <v>150</v>
      </c>
    </row>
    <row r="4" ht="15">
      <c r="A4" s="32" t="s">
        <v>116</v>
      </c>
    </row>
    <row r="5" ht="15">
      <c r="B5" s="32">
        <f>O8/B8</f>
        <v>6216.847631241998</v>
      </c>
    </row>
    <row r="6" ht="15.75" thickBot="1"/>
    <row r="7" spans="1:20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41" t="s">
        <v>95</v>
      </c>
      <c r="N7" s="42" t="s">
        <v>114</v>
      </c>
      <c r="O7" s="37" t="s">
        <v>159</v>
      </c>
      <c r="P7" s="251" t="s">
        <v>137</v>
      </c>
      <c r="Q7" s="251" t="s">
        <v>138</v>
      </c>
      <c r="R7" s="251"/>
      <c r="S7" s="43"/>
      <c r="T7" s="43"/>
    </row>
    <row r="8" spans="1:18" ht="15">
      <c r="A8" s="93" t="s">
        <v>139</v>
      </c>
      <c r="B8" s="116">
        <v>15.62</v>
      </c>
      <c r="C8" s="59">
        <v>24276.79</v>
      </c>
      <c r="D8" s="60">
        <v>0</v>
      </c>
      <c r="E8" s="61"/>
      <c r="F8" s="59">
        <v>24276.79</v>
      </c>
      <c r="G8" s="62">
        <v>13721.61</v>
      </c>
      <c r="H8" s="63"/>
      <c r="I8" s="59">
        <v>24276.79</v>
      </c>
      <c r="J8" s="62">
        <v>13096.52</v>
      </c>
      <c r="K8" s="63"/>
      <c r="L8" s="59">
        <v>24276.79</v>
      </c>
      <c r="M8" s="62">
        <v>34998.41</v>
      </c>
      <c r="N8" s="63"/>
      <c r="O8" s="102">
        <f aca="true" t="shared" si="0" ref="O8:P18">C8+F8+I8+L8</f>
        <v>97107.16</v>
      </c>
      <c r="P8" s="102">
        <f t="shared" si="0"/>
        <v>61816.54000000001</v>
      </c>
      <c r="Q8" s="102">
        <f>SUM(Q9:Q14)</f>
        <v>192018.34</v>
      </c>
      <c r="R8" s="98"/>
    </row>
    <row r="9" spans="1:20" s="11" customFormat="1" ht="15">
      <c r="A9" s="208" t="s">
        <v>105</v>
      </c>
      <c r="B9" s="117">
        <v>4.77</v>
      </c>
      <c r="C9" s="44"/>
      <c r="D9" s="45"/>
      <c r="E9" s="46"/>
      <c r="F9" s="44"/>
      <c r="G9" s="47"/>
      <c r="H9" s="48"/>
      <c r="I9" s="44"/>
      <c r="J9" s="47"/>
      <c r="K9" s="48"/>
      <c r="L9" s="44"/>
      <c r="M9" s="47"/>
      <c r="N9" s="48"/>
      <c r="O9" s="103">
        <f t="shared" si="0"/>
        <v>0</v>
      </c>
      <c r="P9" s="103">
        <f t="shared" si="0"/>
        <v>0</v>
      </c>
      <c r="Q9" s="103">
        <v>0</v>
      </c>
      <c r="R9" s="138"/>
      <c r="S9" s="50"/>
      <c r="T9" s="50"/>
    </row>
    <row r="10" spans="1:20" s="11" customFormat="1" ht="22.5">
      <c r="A10" s="213" t="s">
        <v>146</v>
      </c>
      <c r="B10" s="118">
        <v>3.2</v>
      </c>
      <c r="C10" s="44"/>
      <c r="D10" s="45"/>
      <c r="E10" s="46"/>
      <c r="F10" s="44"/>
      <c r="G10" s="47"/>
      <c r="H10" s="48"/>
      <c r="I10" s="44"/>
      <c r="J10" s="47"/>
      <c r="K10" s="48"/>
      <c r="L10" s="44"/>
      <c r="M10" s="47"/>
      <c r="N10" s="48"/>
      <c r="O10" s="103">
        <f t="shared" si="0"/>
        <v>0</v>
      </c>
      <c r="P10" s="103">
        <f t="shared" si="0"/>
        <v>0</v>
      </c>
      <c r="Q10" s="103">
        <v>0</v>
      </c>
      <c r="R10" s="138"/>
      <c r="S10" s="50"/>
      <c r="T10" s="50"/>
    </row>
    <row r="11" spans="1:20" s="11" customFormat="1" ht="15">
      <c r="A11" s="213" t="s">
        <v>107</v>
      </c>
      <c r="B11" s="118">
        <v>1.83</v>
      </c>
      <c r="C11" s="44"/>
      <c r="D11" s="45"/>
      <c r="E11" s="46"/>
      <c r="F11" s="44"/>
      <c r="G11" s="47"/>
      <c r="H11" s="48"/>
      <c r="I11" s="44"/>
      <c r="J11" s="47"/>
      <c r="K11" s="48"/>
      <c r="L11" s="44"/>
      <c r="M11" s="47"/>
      <c r="N11" s="48"/>
      <c r="O11" s="103">
        <f t="shared" si="0"/>
        <v>0</v>
      </c>
      <c r="P11" s="103">
        <f t="shared" si="0"/>
        <v>0</v>
      </c>
      <c r="Q11" s="103">
        <v>0</v>
      </c>
      <c r="R11" s="138"/>
      <c r="S11" s="50"/>
      <c r="T11" s="50"/>
    </row>
    <row r="12" spans="1:20" s="11" customFormat="1" ht="15">
      <c r="A12" s="213" t="s">
        <v>108</v>
      </c>
      <c r="B12" s="118" t="s">
        <v>145</v>
      </c>
      <c r="C12" s="44">
        <v>3018.82</v>
      </c>
      <c r="D12" s="45"/>
      <c r="E12" s="46"/>
      <c r="F12" s="44">
        <v>3018.82</v>
      </c>
      <c r="G12" s="47">
        <v>1706.28</v>
      </c>
      <c r="H12" s="48"/>
      <c r="I12" s="44">
        <v>3018.82</v>
      </c>
      <c r="J12" s="47">
        <v>1628.55</v>
      </c>
      <c r="K12" s="48"/>
      <c r="L12" s="44">
        <v>3018.82</v>
      </c>
      <c r="M12" s="47">
        <v>4352.05</v>
      </c>
      <c r="N12" s="48"/>
      <c r="O12" s="103">
        <f t="shared" si="0"/>
        <v>12075.28</v>
      </c>
      <c r="P12" s="103">
        <f t="shared" si="0"/>
        <v>7686.88</v>
      </c>
      <c r="Q12" s="103">
        <v>13037.09</v>
      </c>
      <c r="R12" s="266" t="s">
        <v>154</v>
      </c>
      <c r="S12" s="50"/>
      <c r="T12" s="50"/>
    </row>
    <row r="13" spans="1:20" s="11" customFormat="1" ht="15.75" thickBot="1">
      <c r="A13" s="213" t="s">
        <v>109</v>
      </c>
      <c r="B13" s="119">
        <v>16.83</v>
      </c>
      <c r="C13" s="44">
        <v>21257.97</v>
      </c>
      <c r="D13" s="45"/>
      <c r="E13" s="46"/>
      <c r="F13" s="44">
        <v>21257.97</v>
      </c>
      <c r="G13" s="47">
        <v>12015.33</v>
      </c>
      <c r="H13" s="48"/>
      <c r="I13" s="44">
        <v>21257.97</v>
      </c>
      <c r="J13" s="47">
        <v>11467.97</v>
      </c>
      <c r="K13" s="48"/>
      <c r="L13" s="44">
        <v>21257.97</v>
      </c>
      <c r="M13" s="47">
        <v>30646.36</v>
      </c>
      <c r="N13" s="48"/>
      <c r="O13" s="103">
        <f t="shared" si="0"/>
        <v>85031.88</v>
      </c>
      <c r="P13" s="103">
        <f t="shared" si="0"/>
        <v>54129.66</v>
      </c>
      <c r="Q13" s="103">
        <f>1431.85*125</f>
        <v>178981.25</v>
      </c>
      <c r="R13" s="138" t="s">
        <v>158</v>
      </c>
      <c r="S13" s="50"/>
      <c r="T13" s="50"/>
    </row>
    <row r="14" spans="1:20" s="11" customFormat="1" ht="15.75" thickBot="1">
      <c r="A14" s="214" t="s">
        <v>110</v>
      </c>
      <c r="B14" s="113" t="s">
        <v>149</v>
      </c>
      <c r="C14" s="67"/>
      <c r="D14" s="68"/>
      <c r="E14" s="69"/>
      <c r="F14" s="67"/>
      <c r="G14" s="70"/>
      <c r="H14" s="71"/>
      <c r="I14" s="67"/>
      <c r="J14" s="70"/>
      <c r="K14" s="71"/>
      <c r="L14" s="67"/>
      <c r="M14" s="70"/>
      <c r="N14" s="71"/>
      <c r="O14" s="104">
        <f t="shared" si="0"/>
        <v>0</v>
      </c>
      <c r="P14" s="104">
        <f t="shared" si="0"/>
        <v>0</v>
      </c>
      <c r="Q14" s="104">
        <v>0</v>
      </c>
      <c r="R14" s="100"/>
      <c r="S14" s="50"/>
      <c r="T14" s="50"/>
    </row>
    <row r="15" spans="1:18" ht="15.75" thickBot="1">
      <c r="A15" s="92" t="s">
        <v>96</v>
      </c>
      <c r="B15" s="113"/>
      <c r="C15" s="73">
        <v>240.06</v>
      </c>
      <c r="D15" s="74">
        <v>0</v>
      </c>
      <c r="E15" s="75"/>
      <c r="F15" s="73">
        <v>240.06</v>
      </c>
      <c r="G15" s="76">
        <v>90.85</v>
      </c>
      <c r="H15" s="77"/>
      <c r="I15" s="73">
        <v>240.06</v>
      </c>
      <c r="J15" s="76">
        <v>105.72</v>
      </c>
      <c r="K15" s="77"/>
      <c r="L15" s="73">
        <v>240.06</v>
      </c>
      <c r="M15" s="76">
        <v>274.83</v>
      </c>
      <c r="N15" s="77"/>
      <c r="O15" s="105">
        <f t="shared" si="0"/>
        <v>960.24</v>
      </c>
      <c r="P15" s="105">
        <f t="shared" si="0"/>
        <v>471.4</v>
      </c>
      <c r="Q15" s="105">
        <v>0</v>
      </c>
      <c r="R15" s="99"/>
    </row>
    <row r="16" spans="1:18" ht="15.75" thickBot="1">
      <c r="A16" s="92" t="s">
        <v>6</v>
      </c>
      <c r="B16" s="113"/>
      <c r="C16" s="73">
        <v>0</v>
      </c>
      <c r="D16" s="74">
        <v>0</v>
      </c>
      <c r="E16" s="75"/>
      <c r="F16" s="73">
        <v>0</v>
      </c>
      <c r="G16" s="76">
        <v>0</v>
      </c>
      <c r="H16" s="77"/>
      <c r="I16" s="73">
        <v>63704.29</v>
      </c>
      <c r="J16" s="76">
        <v>14252.26</v>
      </c>
      <c r="K16" s="77"/>
      <c r="L16" s="73">
        <v>152890.3</v>
      </c>
      <c r="M16" s="76">
        <v>41569.3</v>
      </c>
      <c r="N16" s="77"/>
      <c r="O16" s="105">
        <f t="shared" si="0"/>
        <v>216594.59</v>
      </c>
      <c r="P16" s="105">
        <f t="shared" si="0"/>
        <v>55821.560000000005</v>
      </c>
      <c r="Q16" s="105">
        <v>136333.18</v>
      </c>
      <c r="R16" s="102" t="s">
        <v>155</v>
      </c>
    </row>
    <row r="17" spans="1:18" ht="15.75" thickBot="1">
      <c r="A17" s="93" t="s">
        <v>99</v>
      </c>
      <c r="B17" s="113"/>
      <c r="C17" s="59">
        <v>2023.68</v>
      </c>
      <c r="D17" s="60">
        <v>0</v>
      </c>
      <c r="E17" s="61"/>
      <c r="F17" s="59">
        <v>2023.68</v>
      </c>
      <c r="G17" s="62">
        <v>826.52</v>
      </c>
      <c r="H17" s="63"/>
      <c r="I17" s="59">
        <v>2023.68</v>
      </c>
      <c r="J17" s="62">
        <v>1234.88</v>
      </c>
      <c r="K17" s="63"/>
      <c r="L17" s="59">
        <v>5262.3</v>
      </c>
      <c r="M17" s="62">
        <v>2566.68</v>
      </c>
      <c r="N17" s="63"/>
      <c r="O17" s="102">
        <f>C17+F17+I17+L17+O18</f>
        <v>13501.96</v>
      </c>
      <c r="P17" s="102">
        <f>D17+G17+J17+M17+P18</f>
        <v>5598.54</v>
      </c>
      <c r="Q17" s="102">
        <f>O17</f>
        <v>13501.96</v>
      </c>
      <c r="R17" s="105" t="s">
        <v>157</v>
      </c>
    </row>
    <row r="18" spans="1:18" ht="15.75" hidden="1" thickBot="1">
      <c r="A18" s="94" t="s">
        <v>101</v>
      </c>
      <c r="B18" s="113"/>
      <c r="C18" s="67">
        <v>411.87</v>
      </c>
      <c r="D18" s="68">
        <v>0</v>
      </c>
      <c r="E18" s="69"/>
      <c r="F18" s="67">
        <v>243.63</v>
      </c>
      <c r="G18" s="70">
        <v>342.24</v>
      </c>
      <c r="H18" s="71"/>
      <c r="I18" s="67">
        <v>314.96</v>
      </c>
      <c r="J18" s="70">
        <v>151.12</v>
      </c>
      <c r="K18" s="71"/>
      <c r="L18" s="67">
        <v>1198.16</v>
      </c>
      <c r="M18" s="70">
        <v>477.1</v>
      </c>
      <c r="N18" s="71"/>
      <c r="O18" s="106">
        <f t="shared" si="0"/>
        <v>2168.62</v>
      </c>
      <c r="P18" s="106">
        <f t="shared" si="0"/>
        <v>970.46</v>
      </c>
      <c r="Q18" s="106"/>
      <c r="R18" s="100"/>
    </row>
    <row r="19" spans="1:18" ht="15.75" thickBot="1">
      <c r="A19" s="92" t="s">
        <v>100</v>
      </c>
      <c r="B19" s="301"/>
      <c r="C19" s="73">
        <v>2128.96</v>
      </c>
      <c r="D19" s="74">
        <v>0</v>
      </c>
      <c r="E19" s="75"/>
      <c r="F19" s="73">
        <v>2128.96</v>
      </c>
      <c r="G19" s="76">
        <v>869.52</v>
      </c>
      <c r="H19" s="77"/>
      <c r="I19" s="73">
        <v>2128.96</v>
      </c>
      <c r="J19" s="76">
        <v>1299.13</v>
      </c>
      <c r="K19" s="77"/>
      <c r="L19" s="73">
        <v>6994.25</v>
      </c>
      <c r="M19" s="76">
        <v>2700.24</v>
      </c>
      <c r="N19" s="77"/>
      <c r="O19" s="105">
        <f>C19+F19+I19+L19+O20</f>
        <v>16013.43</v>
      </c>
      <c r="P19" s="105">
        <f>D19+G19+J19+M19+P20</f>
        <v>5889.839999999999</v>
      </c>
      <c r="Q19" s="105">
        <f>O19</f>
        <v>16013.43</v>
      </c>
      <c r="R19" s="105" t="s">
        <v>157</v>
      </c>
    </row>
    <row r="20" spans="1:18" ht="15.75" hidden="1" thickBot="1">
      <c r="A20" s="276" t="s">
        <v>102</v>
      </c>
      <c r="B20" s="262"/>
      <c r="C20" s="277">
        <v>433.3</v>
      </c>
      <c r="D20" s="278">
        <v>0</v>
      </c>
      <c r="E20" s="279"/>
      <c r="F20" s="277">
        <v>256.3</v>
      </c>
      <c r="G20" s="280">
        <v>360.04</v>
      </c>
      <c r="H20" s="281"/>
      <c r="I20" s="277">
        <v>331.35</v>
      </c>
      <c r="J20" s="280">
        <v>158.98</v>
      </c>
      <c r="K20" s="281"/>
      <c r="L20" s="277">
        <v>1611.35</v>
      </c>
      <c r="M20" s="280">
        <v>501.93</v>
      </c>
      <c r="N20" s="281"/>
      <c r="O20" s="134">
        <f>C20+F20+I20+L20</f>
        <v>2632.3</v>
      </c>
      <c r="P20" s="134">
        <f>D20+G20+J20+M20</f>
        <v>1020.95</v>
      </c>
      <c r="Q20" s="134"/>
      <c r="R20" s="139"/>
    </row>
    <row r="21" spans="1:18" ht="15.75" thickBot="1">
      <c r="A21" s="125"/>
      <c r="C21" s="54"/>
      <c r="D21" s="55"/>
      <c r="E21" s="56"/>
      <c r="F21" s="54"/>
      <c r="G21" s="57"/>
      <c r="H21" s="58"/>
      <c r="I21" s="54"/>
      <c r="J21" s="57"/>
      <c r="K21" s="58"/>
      <c r="L21" s="54"/>
      <c r="M21" s="57"/>
      <c r="N21" s="58"/>
      <c r="O21" s="134">
        <f>SUM(O9:O20)-O18-O20</f>
        <v>344177.38</v>
      </c>
      <c r="P21" s="134">
        <f>SUM(P9:P20)-P18-P20</f>
        <v>129597.88</v>
      </c>
      <c r="Q21" s="134">
        <f>SUM(Q9:Q20)-Q18-Q20</f>
        <v>357866.91000000003</v>
      </c>
      <c r="R21" s="13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3" width="10.140625" style="32" hidden="1" customWidth="1"/>
    <col min="14" max="14" width="10.140625" style="33" hidden="1" customWidth="1"/>
    <col min="15" max="15" width="16.00390625" style="34" customWidth="1"/>
    <col min="16" max="16" width="10.140625" style="32" hidden="1" customWidth="1"/>
    <col min="17" max="17" width="16.00390625" style="34" customWidth="1"/>
    <col min="18" max="18" width="16.00390625" style="33" customWidth="1"/>
    <col min="19" max="19" width="26.00390625" style="34" customWidth="1"/>
    <col min="20" max="21" width="9.140625" style="32" customWidth="1"/>
    <col min="22" max="22" width="9.140625" style="1" customWidth="1"/>
  </cols>
  <sheetData>
    <row r="1" ht="15">
      <c r="A1" s="32" t="s">
        <v>115</v>
      </c>
    </row>
    <row r="3" ht="15">
      <c r="A3" s="32" t="s">
        <v>148</v>
      </c>
    </row>
    <row r="4" ht="15">
      <c r="A4" s="32" t="s">
        <v>116</v>
      </c>
    </row>
    <row r="5" ht="15">
      <c r="B5" s="32">
        <f>O8/B8</f>
        <v>1945.4078104993603</v>
      </c>
    </row>
    <row r="6" ht="15.75" thickBot="1"/>
    <row r="7" spans="1:22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41" t="s">
        <v>95</v>
      </c>
      <c r="N7" s="42" t="s">
        <v>114</v>
      </c>
      <c r="O7" s="37" t="s">
        <v>159</v>
      </c>
      <c r="P7" s="40"/>
      <c r="Q7" s="251" t="s">
        <v>137</v>
      </c>
      <c r="R7" s="251" t="s">
        <v>138</v>
      </c>
      <c r="S7" s="251"/>
      <c r="T7" s="43"/>
      <c r="U7" s="43"/>
      <c r="V7" s="152"/>
    </row>
    <row r="8" spans="1:19" ht="15">
      <c r="A8" s="80" t="s">
        <v>139</v>
      </c>
      <c r="B8" s="116">
        <v>15.62</v>
      </c>
      <c r="C8" s="59">
        <v>9637.54</v>
      </c>
      <c r="D8" s="60">
        <v>0</v>
      </c>
      <c r="E8" s="61"/>
      <c r="F8" s="59">
        <v>9637.54</v>
      </c>
      <c r="G8" s="62">
        <v>4316.67</v>
      </c>
      <c r="H8" s="63"/>
      <c r="I8" s="59">
        <v>9637.54</v>
      </c>
      <c r="J8" s="62">
        <v>5270.17</v>
      </c>
      <c r="K8" s="63"/>
      <c r="L8" s="59">
        <v>1474.65</v>
      </c>
      <c r="M8" s="62">
        <v>7707.08</v>
      </c>
      <c r="N8" s="63"/>
      <c r="O8" s="102">
        <f>C8+F8+I8+L8</f>
        <v>30387.270000000004</v>
      </c>
      <c r="P8" s="260">
        <v>1</v>
      </c>
      <c r="Q8" s="102">
        <f>D8+G8+J8+M8</f>
        <v>17293.92</v>
      </c>
      <c r="R8" s="102">
        <f>SUM(R9:R13)</f>
        <v>25857.08</v>
      </c>
      <c r="S8" s="98"/>
    </row>
    <row r="9" spans="1:22" s="11" customFormat="1" ht="15">
      <c r="A9" s="208" t="s">
        <v>105</v>
      </c>
      <c r="B9" s="117">
        <v>4.77</v>
      </c>
      <c r="C9" s="44"/>
      <c r="D9" s="45"/>
      <c r="E9" s="46"/>
      <c r="F9" s="44"/>
      <c r="G9" s="47"/>
      <c r="H9" s="48"/>
      <c r="I9" s="44"/>
      <c r="J9" s="47"/>
      <c r="K9" s="48"/>
      <c r="L9" s="44"/>
      <c r="M9" s="47"/>
      <c r="N9" s="48"/>
      <c r="O9" s="103">
        <f>B9*B5</f>
        <v>9279.595256081948</v>
      </c>
      <c r="P9" s="130">
        <f>O9/O8</f>
        <v>0.3053777208706786</v>
      </c>
      <c r="Q9" s="103">
        <f>P9*Q8</f>
        <v>5281.177874519845</v>
      </c>
      <c r="R9" s="103">
        <v>13080.58</v>
      </c>
      <c r="S9" s="266" t="s">
        <v>156</v>
      </c>
      <c r="T9" s="50"/>
      <c r="U9" s="50"/>
      <c r="V9" s="153"/>
    </row>
    <row r="10" spans="1:22" s="11" customFormat="1" ht="22.5">
      <c r="A10" s="213" t="s">
        <v>146</v>
      </c>
      <c r="B10" s="118">
        <v>3.2</v>
      </c>
      <c r="C10" s="44"/>
      <c r="D10" s="45"/>
      <c r="E10" s="46"/>
      <c r="F10" s="44"/>
      <c r="G10" s="47"/>
      <c r="H10" s="48"/>
      <c r="I10" s="44"/>
      <c r="J10" s="47"/>
      <c r="K10" s="48"/>
      <c r="L10" s="44"/>
      <c r="M10" s="47"/>
      <c r="N10" s="48"/>
      <c r="O10" s="103">
        <f>B10*B5</f>
        <v>6225.304993597953</v>
      </c>
      <c r="P10" s="130">
        <f>O10/O8</f>
        <v>0.20486555697823308</v>
      </c>
      <c r="Q10" s="103">
        <f>P10*Q8</f>
        <v>3542.928553137004</v>
      </c>
      <c r="R10" s="103">
        <f>6408.15*30%</f>
        <v>1922.4449999999997</v>
      </c>
      <c r="S10" s="266" t="s">
        <v>156</v>
      </c>
      <c r="T10" s="50"/>
      <c r="U10" s="50"/>
      <c r="V10" s="153"/>
    </row>
    <row r="11" spans="1:22" s="11" customFormat="1" ht="15">
      <c r="A11" s="213" t="s">
        <v>107</v>
      </c>
      <c r="B11" s="118">
        <v>1.83</v>
      </c>
      <c r="C11" s="44"/>
      <c r="D11" s="45"/>
      <c r="E11" s="46"/>
      <c r="F11" s="44"/>
      <c r="G11" s="47"/>
      <c r="H11" s="48"/>
      <c r="I11" s="44"/>
      <c r="J11" s="47"/>
      <c r="K11" s="48"/>
      <c r="L11" s="44"/>
      <c r="M11" s="47"/>
      <c r="N11" s="48"/>
      <c r="O11" s="103">
        <f>B11*B5</f>
        <v>3560.0962932138295</v>
      </c>
      <c r="P11" s="130">
        <f>O11/O8</f>
        <v>0.11715749039692704</v>
      </c>
      <c r="Q11" s="103">
        <f>P11*Q8</f>
        <v>2026.1122663252243</v>
      </c>
      <c r="R11" s="103">
        <f>6408.15-R10</f>
        <v>4485.705</v>
      </c>
      <c r="S11" s="266" t="s">
        <v>156</v>
      </c>
      <c r="T11" s="50"/>
      <c r="U11" s="50"/>
      <c r="V11" s="153"/>
    </row>
    <row r="12" spans="1:22" s="11" customFormat="1" ht="15">
      <c r="A12" s="213" t="s">
        <v>108</v>
      </c>
      <c r="B12" s="118" t="s">
        <v>145</v>
      </c>
      <c r="C12" s="44">
        <v>1474.63</v>
      </c>
      <c r="D12" s="45">
        <v>0</v>
      </c>
      <c r="E12" s="46"/>
      <c r="F12" s="44">
        <v>1474.63</v>
      </c>
      <c r="G12" s="47"/>
      <c r="H12" s="48"/>
      <c r="I12" s="44">
        <v>1474.63</v>
      </c>
      <c r="J12" s="47"/>
      <c r="K12" s="48"/>
      <c r="L12" s="44">
        <v>1474.65</v>
      </c>
      <c r="M12" s="47"/>
      <c r="N12" s="48"/>
      <c r="O12" s="103">
        <f>B12*B5</f>
        <v>4649.524667093471</v>
      </c>
      <c r="P12" s="130">
        <f>O12/O8</f>
        <v>0.15300896286811783</v>
      </c>
      <c r="Q12" s="103">
        <f>P12*Q8</f>
        <v>2646.1247631242</v>
      </c>
      <c r="R12" s="103">
        <v>6368.35</v>
      </c>
      <c r="S12" s="266" t="s">
        <v>154</v>
      </c>
      <c r="T12" s="50"/>
      <c r="U12" s="50"/>
      <c r="V12" s="153"/>
    </row>
    <row r="13" spans="1:22" s="11" customFormat="1" ht="15.75" thickBot="1">
      <c r="A13" s="214" t="s">
        <v>110</v>
      </c>
      <c r="B13" s="119">
        <f>1.82+1.61</f>
        <v>3.43</v>
      </c>
      <c r="C13" s="67"/>
      <c r="D13" s="68"/>
      <c r="E13" s="69"/>
      <c r="F13" s="67"/>
      <c r="G13" s="70"/>
      <c r="H13" s="71"/>
      <c r="I13" s="67"/>
      <c r="J13" s="70"/>
      <c r="K13" s="71"/>
      <c r="L13" s="67"/>
      <c r="M13" s="70"/>
      <c r="N13" s="71"/>
      <c r="O13" s="104">
        <f>B13*B5</f>
        <v>6672.748790012806</v>
      </c>
      <c r="P13" s="131">
        <f>O13/O8</f>
        <v>0.21959026888604358</v>
      </c>
      <c r="Q13" s="104">
        <f>P13*Q8</f>
        <v>3797.576542893726</v>
      </c>
      <c r="R13" s="104">
        <v>0</v>
      </c>
      <c r="S13" s="100"/>
      <c r="T13" s="50"/>
      <c r="U13" s="50"/>
      <c r="V13" s="153"/>
    </row>
    <row r="14" spans="1:19" ht="15.75" thickBot="1">
      <c r="A14" s="93" t="s">
        <v>99</v>
      </c>
      <c r="B14" s="113"/>
      <c r="C14" s="59">
        <v>97.92</v>
      </c>
      <c r="D14" s="60">
        <v>0</v>
      </c>
      <c r="E14" s="61"/>
      <c r="F14" s="59">
        <v>97.92</v>
      </c>
      <c r="G14" s="62">
        <v>97.97</v>
      </c>
      <c r="H14" s="63"/>
      <c r="I14" s="59">
        <v>97.92</v>
      </c>
      <c r="J14" s="62">
        <v>97.87</v>
      </c>
      <c r="K14" s="63"/>
      <c r="L14" s="59">
        <v>156.06</v>
      </c>
      <c r="M14" s="62">
        <v>97.92</v>
      </c>
      <c r="N14" s="63"/>
      <c r="O14" s="102">
        <f>C14+F14+I14+L14+O15</f>
        <v>2063.7999999999997</v>
      </c>
      <c r="P14" s="260"/>
      <c r="Q14" s="102">
        <f>D14+G14+J14+M14+Q15</f>
        <v>1373.3700000000001</v>
      </c>
      <c r="R14" s="102">
        <f>O14</f>
        <v>2063.7999999999997</v>
      </c>
      <c r="S14" s="105" t="s">
        <v>157</v>
      </c>
    </row>
    <row r="15" spans="1:19" ht="15.75" hidden="1" thickBot="1">
      <c r="A15" s="94" t="s">
        <v>101</v>
      </c>
      <c r="B15" s="113"/>
      <c r="C15" s="67">
        <v>515.85</v>
      </c>
      <c r="D15" s="68">
        <v>0</v>
      </c>
      <c r="E15" s="69"/>
      <c r="F15" s="67">
        <v>555.56</v>
      </c>
      <c r="G15" s="70">
        <v>253.08</v>
      </c>
      <c r="H15" s="71"/>
      <c r="I15" s="67">
        <v>505.08</v>
      </c>
      <c r="J15" s="70">
        <v>205.39</v>
      </c>
      <c r="K15" s="71"/>
      <c r="L15" s="67">
        <v>37.49</v>
      </c>
      <c r="M15" s="70">
        <v>621.14</v>
      </c>
      <c r="N15" s="71"/>
      <c r="O15" s="106">
        <f>C15+F15+I15+L15</f>
        <v>1613.9799999999998</v>
      </c>
      <c r="P15" s="131"/>
      <c r="Q15" s="106">
        <f>D15+G15+J15+M15</f>
        <v>1079.6100000000001</v>
      </c>
      <c r="R15" s="106"/>
      <c r="S15" s="100"/>
    </row>
    <row r="16" spans="1:19" ht="15.75" thickBot="1">
      <c r="A16" s="92" t="s">
        <v>100</v>
      </c>
      <c r="B16" s="113"/>
      <c r="C16" s="73">
        <v>103.01</v>
      </c>
      <c r="D16" s="74">
        <v>0</v>
      </c>
      <c r="E16" s="75"/>
      <c r="F16" s="73">
        <v>103.01</v>
      </c>
      <c r="G16" s="76">
        <v>103.06</v>
      </c>
      <c r="H16" s="77"/>
      <c r="I16" s="73">
        <v>103.01</v>
      </c>
      <c r="J16" s="76">
        <v>102.96</v>
      </c>
      <c r="K16" s="77"/>
      <c r="L16" s="73">
        <v>207.43</v>
      </c>
      <c r="M16" s="76">
        <v>103.01</v>
      </c>
      <c r="N16" s="77"/>
      <c r="O16" s="105">
        <f>C16+F16+I16+L16+O17</f>
        <v>2425.9399999999996</v>
      </c>
      <c r="P16" s="261"/>
      <c r="Q16" s="105">
        <f>D16+G16+J16+M16+Q17</f>
        <v>1444.77</v>
      </c>
      <c r="R16" s="105">
        <f>O16</f>
        <v>2425.9399999999996</v>
      </c>
      <c r="S16" s="105" t="s">
        <v>157</v>
      </c>
    </row>
    <row r="17" spans="1:19" ht="15.75" hidden="1" thickBot="1">
      <c r="A17" s="276" t="s">
        <v>102</v>
      </c>
      <c r="B17" s="126"/>
      <c r="C17" s="277">
        <v>542.68</v>
      </c>
      <c r="D17" s="278">
        <v>0</v>
      </c>
      <c r="E17" s="279"/>
      <c r="F17" s="277">
        <v>584.46</v>
      </c>
      <c r="G17" s="280">
        <v>266.24</v>
      </c>
      <c r="H17" s="281"/>
      <c r="I17" s="277">
        <v>531.35</v>
      </c>
      <c r="J17" s="280">
        <v>216.08</v>
      </c>
      <c r="K17" s="281"/>
      <c r="L17" s="277">
        <v>250.99</v>
      </c>
      <c r="M17" s="280">
        <v>653.42</v>
      </c>
      <c r="N17" s="281"/>
      <c r="O17" s="134">
        <f>C17+F17+I17+L17</f>
        <v>1909.4799999999998</v>
      </c>
      <c r="P17" s="300"/>
      <c r="Q17" s="134">
        <f>D17+G17+J17+M17</f>
        <v>1135.74</v>
      </c>
      <c r="R17" s="134"/>
      <c r="S17" s="139"/>
    </row>
    <row r="18" spans="1:19" ht="15.75" thickBot="1">
      <c r="A18" s="125"/>
      <c r="B18" s="126"/>
      <c r="C18" s="54"/>
      <c r="D18" s="55"/>
      <c r="E18" s="56"/>
      <c r="F18" s="54"/>
      <c r="G18" s="57"/>
      <c r="H18" s="58"/>
      <c r="I18" s="54"/>
      <c r="J18" s="57"/>
      <c r="K18" s="58"/>
      <c r="L18" s="54"/>
      <c r="M18" s="57"/>
      <c r="N18" s="58"/>
      <c r="O18" s="134">
        <f>SUM(O9:O17)-O15-O17</f>
        <v>34877.01000000001</v>
      </c>
      <c r="P18" s="134">
        <f>SUM(P9:P17)</f>
        <v>1</v>
      </c>
      <c r="Q18" s="134">
        <f>SUM(Q9:Q17)-Q15-Q17</f>
        <v>20112.06</v>
      </c>
      <c r="R18" s="134">
        <f>SUM(R9:R17)</f>
        <v>30346.82</v>
      </c>
      <c r="S18" s="13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7" width="10.140625" style="32" hidden="1" customWidth="1"/>
    <col min="8" max="8" width="10.140625" style="33" hidden="1" customWidth="1"/>
    <col min="9" max="10" width="10.140625" style="32" hidden="1" customWidth="1"/>
    <col min="11" max="11" width="10.140625" style="33" hidden="1" customWidth="1"/>
    <col min="12" max="13" width="10.140625" style="32" hidden="1" customWidth="1"/>
    <col min="14" max="14" width="10.140625" style="33" hidden="1" customWidth="1"/>
    <col min="15" max="15" width="16.00390625" style="34" customWidth="1"/>
    <col min="16" max="16" width="16.00390625" style="32" hidden="1" customWidth="1"/>
    <col min="17" max="17" width="16.00390625" style="34" customWidth="1"/>
    <col min="18" max="18" width="16.00390625" style="33" customWidth="1"/>
    <col min="19" max="19" width="24.7109375" style="34" customWidth="1"/>
    <col min="20" max="21" width="9.140625" style="13" customWidth="1"/>
  </cols>
  <sheetData>
    <row r="1" ht="15">
      <c r="A1" s="32" t="s">
        <v>115</v>
      </c>
    </row>
    <row r="3" ht="15">
      <c r="A3" s="32" t="s">
        <v>125</v>
      </c>
    </row>
    <row r="4" ht="15">
      <c r="A4" s="32" t="s">
        <v>116</v>
      </c>
    </row>
    <row r="5" ht="15">
      <c r="B5" s="32">
        <f>O8/B8</f>
        <v>4941.8783610755445</v>
      </c>
    </row>
    <row r="6" ht="15.75" thickBot="1"/>
    <row r="7" spans="1:21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1" t="s">
        <v>91</v>
      </c>
      <c r="H7" s="42" t="s">
        <v>111</v>
      </c>
      <c r="I7" s="38" t="s">
        <v>92</v>
      </c>
      <c r="J7" s="41" t="s">
        <v>93</v>
      </c>
      <c r="K7" s="42" t="s">
        <v>113</v>
      </c>
      <c r="L7" s="38" t="s">
        <v>94</v>
      </c>
      <c r="M7" s="41" t="s">
        <v>95</v>
      </c>
      <c r="N7" s="42" t="s">
        <v>114</v>
      </c>
      <c r="O7" s="37" t="s">
        <v>159</v>
      </c>
      <c r="P7" s="40"/>
      <c r="Q7" s="251" t="s">
        <v>137</v>
      </c>
      <c r="R7" s="251" t="s">
        <v>138</v>
      </c>
      <c r="S7" s="251"/>
      <c r="T7" s="21"/>
      <c r="U7" s="21"/>
    </row>
    <row r="8" spans="1:19" ht="15">
      <c r="A8" s="80" t="s">
        <v>139</v>
      </c>
      <c r="B8" s="116">
        <v>15.62</v>
      </c>
      <c r="C8" s="59">
        <v>11739.42</v>
      </c>
      <c r="D8" s="60">
        <v>0</v>
      </c>
      <c r="E8" s="61"/>
      <c r="F8" s="59">
        <v>21429.92</v>
      </c>
      <c r="G8" s="62">
        <v>9086.85</v>
      </c>
      <c r="H8" s="63"/>
      <c r="I8" s="59">
        <v>22011.4</v>
      </c>
      <c r="J8" s="62">
        <v>10442.63</v>
      </c>
      <c r="K8" s="63"/>
      <c r="L8" s="59">
        <v>22011.4</v>
      </c>
      <c r="M8" s="62">
        <v>20568.14</v>
      </c>
      <c r="N8" s="63"/>
      <c r="O8" s="102">
        <f aca="true" t="shared" si="0" ref="O8:O21">C8+F8+I8+L8</f>
        <v>77192.14</v>
      </c>
      <c r="P8" s="260">
        <v>1</v>
      </c>
      <c r="Q8" s="102">
        <f>D8+G8+J8+M8</f>
        <v>40097.619999999995</v>
      </c>
      <c r="R8" s="102">
        <f>SUM(R9:R13)</f>
        <v>68871.12</v>
      </c>
      <c r="S8" s="102"/>
    </row>
    <row r="9" spans="1:21" s="11" customFormat="1" ht="15">
      <c r="A9" s="49" t="s">
        <v>105</v>
      </c>
      <c r="B9" s="117">
        <v>4.77</v>
      </c>
      <c r="C9" s="44"/>
      <c r="D9" s="45"/>
      <c r="E9" s="46"/>
      <c r="F9" s="44"/>
      <c r="G9" s="47"/>
      <c r="H9" s="48"/>
      <c r="I9" s="44"/>
      <c r="J9" s="47"/>
      <c r="K9" s="48"/>
      <c r="L9" s="44"/>
      <c r="M9" s="47"/>
      <c r="N9" s="48"/>
      <c r="O9" s="103">
        <f>B9*B5</f>
        <v>23572.759782330344</v>
      </c>
      <c r="P9" s="130">
        <f>O9/O8</f>
        <v>0.3053777208706786</v>
      </c>
      <c r="Q9" s="103">
        <f>P9*Q8</f>
        <v>12244.919807938539</v>
      </c>
      <c r="R9" s="103">
        <v>33175.28</v>
      </c>
      <c r="S9" s="266" t="s">
        <v>156</v>
      </c>
      <c r="T9" s="26"/>
      <c r="U9" s="26"/>
    </row>
    <row r="10" spans="1:21" s="11" customFormat="1" ht="23.25">
      <c r="A10" s="51" t="s">
        <v>146</v>
      </c>
      <c r="B10" s="118">
        <v>3.2</v>
      </c>
      <c r="C10" s="44"/>
      <c r="D10" s="45"/>
      <c r="E10" s="46"/>
      <c r="F10" s="44"/>
      <c r="G10" s="47"/>
      <c r="H10" s="48"/>
      <c r="I10" s="44"/>
      <c r="J10" s="47"/>
      <c r="K10" s="48"/>
      <c r="L10" s="44"/>
      <c r="M10" s="47"/>
      <c r="N10" s="48"/>
      <c r="O10" s="103">
        <f>B10*B5</f>
        <v>15814.010755441743</v>
      </c>
      <c r="P10" s="130">
        <f>O10/O8</f>
        <v>0.20486555697823305</v>
      </c>
      <c r="Q10" s="103">
        <f>P10*Q8</f>
        <v>8214.621254801536</v>
      </c>
      <c r="R10" s="103">
        <f>23004.54*60%</f>
        <v>13802.724</v>
      </c>
      <c r="S10" s="266" t="s">
        <v>156</v>
      </c>
      <c r="T10" s="26"/>
      <c r="U10" s="26"/>
    </row>
    <row r="11" spans="1:21" s="11" customFormat="1" ht="15">
      <c r="A11" s="51" t="s">
        <v>107</v>
      </c>
      <c r="B11" s="118">
        <v>1.83</v>
      </c>
      <c r="C11" s="44"/>
      <c r="D11" s="45"/>
      <c r="E11" s="46"/>
      <c r="F11" s="44"/>
      <c r="G11" s="47"/>
      <c r="H11" s="48"/>
      <c r="I11" s="44"/>
      <c r="J11" s="47"/>
      <c r="K11" s="48"/>
      <c r="L11" s="44"/>
      <c r="M11" s="47"/>
      <c r="N11" s="48"/>
      <c r="O11" s="103">
        <f>B11*B5</f>
        <v>9043.637400768246</v>
      </c>
      <c r="P11" s="130">
        <f>O11/O8</f>
        <v>0.11715749039692702</v>
      </c>
      <c r="Q11" s="103">
        <f>P11*Q8</f>
        <v>4697.736530089628</v>
      </c>
      <c r="R11" s="103">
        <f>23004.54-R10</f>
        <v>9201.816</v>
      </c>
      <c r="S11" s="266" t="s">
        <v>156</v>
      </c>
      <c r="T11" s="26"/>
      <c r="U11" s="26"/>
    </row>
    <row r="12" spans="1:21" s="11" customFormat="1" ht="15">
      <c r="A12" s="51" t="s">
        <v>108</v>
      </c>
      <c r="B12" s="118" t="s">
        <v>145</v>
      </c>
      <c r="C12" s="44">
        <v>1908.5</v>
      </c>
      <c r="D12" s="45"/>
      <c r="E12" s="46"/>
      <c r="F12" s="44">
        <v>3367.94</v>
      </c>
      <c r="G12" s="47"/>
      <c r="H12" s="48"/>
      <c r="I12" s="44">
        <v>3367.94</v>
      </c>
      <c r="J12" s="47"/>
      <c r="K12" s="48"/>
      <c r="L12" s="44">
        <v>3367.94</v>
      </c>
      <c r="M12" s="47"/>
      <c r="N12" s="48"/>
      <c r="O12" s="103">
        <f>B12*B5</f>
        <v>11811.089282970552</v>
      </c>
      <c r="P12" s="130">
        <f>O12/O8</f>
        <v>0.15300896286811783</v>
      </c>
      <c r="Q12" s="103">
        <f>P12*Q8</f>
        <v>6135.295249679898</v>
      </c>
      <c r="R12" s="103">
        <v>12691.3</v>
      </c>
      <c r="S12" s="266" t="s">
        <v>154</v>
      </c>
      <c r="T12" s="26"/>
      <c r="U12" s="26"/>
    </row>
    <row r="13" spans="1:21" s="11" customFormat="1" ht="15.75" thickBot="1">
      <c r="A13" s="66" t="s">
        <v>110</v>
      </c>
      <c r="B13" s="119">
        <f>1.82+1.61</f>
        <v>3.43</v>
      </c>
      <c r="C13" s="67"/>
      <c r="D13" s="68"/>
      <c r="E13" s="69"/>
      <c r="F13" s="67"/>
      <c r="G13" s="70"/>
      <c r="H13" s="71"/>
      <c r="I13" s="67"/>
      <c r="J13" s="70"/>
      <c r="K13" s="71"/>
      <c r="L13" s="67"/>
      <c r="M13" s="70"/>
      <c r="N13" s="71"/>
      <c r="O13" s="104">
        <f>B13*B5</f>
        <v>16950.642778489117</v>
      </c>
      <c r="P13" s="131">
        <f>O13/O8</f>
        <v>0.21959026888604355</v>
      </c>
      <c r="Q13" s="104">
        <f>P13*Q8</f>
        <v>8805.047157490397</v>
      </c>
      <c r="R13" s="104">
        <v>0</v>
      </c>
      <c r="S13" s="106"/>
      <c r="T13" s="26"/>
      <c r="U13" s="26"/>
    </row>
    <row r="14" spans="1:19" ht="15.75" thickBot="1">
      <c r="A14" s="72" t="s">
        <v>96</v>
      </c>
      <c r="B14" s="113"/>
      <c r="C14" s="73">
        <v>146.14</v>
      </c>
      <c r="D14" s="74">
        <v>0</v>
      </c>
      <c r="E14" s="75"/>
      <c r="F14" s="73">
        <v>146.14</v>
      </c>
      <c r="G14" s="76">
        <v>50.88</v>
      </c>
      <c r="H14" s="77"/>
      <c r="I14" s="73">
        <v>146.14</v>
      </c>
      <c r="J14" s="76">
        <v>175.79</v>
      </c>
      <c r="K14" s="77"/>
      <c r="L14" s="73">
        <v>146.14</v>
      </c>
      <c r="M14" s="76">
        <v>158.8</v>
      </c>
      <c r="N14" s="77"/>
      <c r="O14" s="105">
        <f t="shared" si="0"/>
        <v>584.56</v>
      </c>
      <c r="P14" s="261"/>
      <c r="Q14" s="105">
        <f aca="true" t="shared" si="1" ref="Q14:Q21">D14+G14+J14+M14</f>
        <v>385.47</v>
      </c>
      <c r="R14" s="105">
        <v>0</v>
      </c>
      <c r="S14" s="105"/>
    </row>
    <row r="15" spans="1:19" ht="15">
      <c r="A15" s="80" t="s">
        <v>97</v>
      </c>
      <c r="B15" s="114"/>
      <c r="C15" s="59">
        <v>0</v>
      </c>
      <c r="D15" s="60">
        <v>0</v>
      </c>
      <c r="E15" s="61"/>
      <c r="F15" s="59">
        <v>0</v>
      </c>
      <c r="G15" s="62">
        <v>0</v>
      </c>
      <c r="H15" s="63"/>
      <c r="I15" s="59">
        <v>4424.4</v>
      </c>
      <c r="J15" s="62">
        <v>814.45</v>
      </c>
      <c r="K15" s="63"/>
      <c r="L15" s="59">
        <v>12274.02</v>
      </c>
      <c r="M15" s="62">
        <v>1881.15</v>
      </c>
      <c r="N15" s="63"/>
      <c r="O15" s="102">
        <f t="shared" si="0"/>
        <v>16698.42</v>
      </c>
      <c r="P15" s="260"/>
      <c r="Q15" s="102">
        <f t="shared" si="1"/>
        <v>2695.6000000000004</v>
      </c>
      <c r="R15" s="102">
        <v>22111.29</v>
      </c>
      <c r="S15" s="267" t="s">
        <v>155</v>
      </c>
    </row>
    <row r="16" spans="1:19" ht="15.75" thickBot="1">
      <c r="A16" s="81" t="s">
        <v>98</v>
      </c>
      <c r="B16" s="115"/>
      <c r="C16" s="67">
        <v>0</v>
      </c>
      <c r="D16" s="68">
        <v>0</v>
      </c>
      <c r="E16" s="69"/>
      <c r="F16" s="67">
        <v>0</v>
      </c>
      <c r="G16" s="70">
        <v>0</v>
      </c>
      <c r="H16" s="71"/>
      <c r="I16" s="67">
        <v>11035.39</v>
      </c>
      <c r="J16" s="70">
        <v>2044.3</v>
      </c>
      <c r="K16" s="71"/>
      <c r="L16" s="67">
        <v>30015.78</v>
      </c>
      <c r="M16" s="70">
        <v>4763.37</v>
      </c>
      <c r="N16" s="71"/>
      <c r="O16" s="106">
        <f t="shared" si="0"/>
        <v>41051.17</v>
      </c>
      <c r="P16" s="131"/>
      <c r="Q16" s="106">
        <f t="shared" si="1"/>
        <v>6807.67</v>
      </c>
      <c r="R16" s="106">
        <v>54201.28</v>
      </c>
      <c r="S16" s="106" t="s">
        <v>155</v>
      </c>
    </row>
    <row r="17" spans="1:19" ht="15.75" thickBot="1">
      <c r="A17" s="72" t="s">
        <v>6</v>
      </c>
      <c r="B17" s="113"/>
      <c r="C17" s="73">
        <v>0</v>
      </c>
      <c r="D17" s="74">
        <v>0</v>
      </c>
      <c r="E17" s="75"/>
      <c r="F17" s="73">
        <v>0</v>
      </c>
      <c r="G17" s="76">
        <v>0</v>
      </c>
      <c r="H17" s="77"/>
      <c r="I17" s="73">
        <v>49300.46</v>
      </c>
      <c r="J17" s="76">
        <v>11095.46</v>
      </c>
      <c r="K17" s="77"/>
      <c r="L17" s="73">
        <v>116677.74</v>
      </c>
      <c r="M17" s="76">
        <v>24186.7</v>
      </c>
      <c r="N17" s="77"/>
      <c r="O17" s="105">
        <f t="shared" si="0"/>
        <v>165978.2</v>
      </c>
      <c r="P17" s="261"/>
      <c r="Q17" s="105">
        <f t="shared" si="1"/>
        <v>35282.16</v>
      </c>
      <c r="R17" s="105">
        <v>114665.07</v>
      </c>
      <c r="S17" s="102" t="s">
        <v>155</v>
      </c>
    </row>
    <row r="18" spans="1:19" ht="15.75" thickBot="1">
      <c r="A18" s="80" t="s">
        <v>99</v>
      </c>
      <c r="B18" s="113"/>
      <c r="C18" s="59">
        <v>913.92</v>
      </c>
      <c r="D18" s="60">
        <v>0</v>
      </c>
      <c r="E18" s="61"/>
      <c r="F18" s="59">
        <v>990.08</v>
      </c>
      <c r="G18" s="62">
        <v>344.78</v>
      </c>
      <c r="H18" s="63"/>
      <c r="I18" s="59">
        <v>979.2</v>
      </c>
      <c r="J18" s="62">
        <v>536.41</v>
      </c>
      <c r="K18" s="63"/>
      <c r="L18" s="59">
        <v>2546.28</v>
      </c>
      <c r="M18" s="62">
        <v>656.4</v>
      </c>
      <c r="N18" s="63"/>
      <c r="O18" s="102">
        <f>C18+F18+I18+L18+O19</f>
        <v>11312.39</v>
      </c>
      <c r="P18" s="260"/>
      <c r="Q18" s="102">
        <f>D18+G18+J18+M18+Q19</f>
        <v>4436.93</v>
      </c>
      <c r="R18" s="102">
        <f>O18</f>
        <v>11312.39</v>
      </c>
      <c r="S18" s="105" t="s">
        <v>157</v>
      </c>
    </row>
    <row r="19" spans="1:19" ht="15.75" hidden="1" thickBot="1">
      <c r="A19" s="81" t="s">
        <v>101</v>
      </c>
      <c r="B19" s="113"/>
      <c r="C19" s="67">
        <v>1578.84</v>
      </c>
      <c r="D19" s="68">
        <v>0</v>
      </c>
      <c r="E19" s="69"/>
      <c r="F19" s="67">
        <v>1206.59</v>
      </c>
      <c r="G19" s="70">
        <v>902.8</v>
      </c>
      <c r="H19" s="71"/>
      <c r="I19" s="67">
        <v>956.39</v>
      </c>
      <c r="J19" s="70">
        <v>590.47</v>
      </c>
      <c r="K19" s="71"/>
      <c r="L19" s="67">
        <v>2141.09</v>
      </c>
      <c r="M19" s="70">
        <v>1406.07</v>
      </c>
      <c r="N19" s="71"/>
      <c r="O19" s="106">
        <f t="shared" si="0"/>
        <v>5882.91</v>
      </c>
      <c r="P19" s="131"/>
      <c r="Q19" s="106">
        <f t="shared" si="1"/>
        <v>2899.34</v>
      </c>
      <c r="R19" s="106"/>
      <c r="S19" s="106"/>
    </row>
    <row r="20" spans="1:19" ht="15.75" thickBot="1">
      <c r="A20" s="72" t="s">
        <v>100</v>
      </c>
      <c r="B20" s="249"/>
      <c r="C20" s="73">
        <v>1756.44</v>
      </c>
      <c r="D20" s="74">
        <v>0</v>
      </c>
      <c r="E20" s="75"/>
      <c r="F20" s="73">
        <v>1881.9</v>
      </c>
      <c r="G20" s="76">
        <v>654.58</v>
      </c>
      <c r="H20" s="77"/>
      <c r="I20" s="73">
        <v>1881.9</v>
      </c>
      <c r="J20" s="76">
        <v>1028.64</v>
      </c>
      <c r="K20" s="77"/>
      <c r="L20" s="73">
        <v>6182.5</v>
      </c>
      <c r="M20" s="76">
        <v>1261.56</v>
      </c>
      <c r="N20" s="77"/>
      <c r="O20" s="105">
        <f>C20+F20+I20+L20+O21</f>
        <v>23637.839999999997</v>
      </c>
      <c r="P20" s="261"/>
      <c r="Q20" s="105">
        <f>D20+G20+J20+M20+Q21</f>
        <v>8302.880000000001</v>
      </c>
      <c r="R20" s="105">
        <f>O20</f>
        <v>23637.839999999997</v>
      </c>
      <c r="S20" s="105" t="s">
        <v>157</v>
      </c>
    </row>
    <row r="21" spans="1:19" ht="15.75" hidden="1" thickBot="1">
      <c r="A21" s="284" t="s">
        <v>102</v>
      </c>
      <c r="B21" s="127"/>
      <c r="C21" s="277">
        <v>2997.06</v>
      </c>
      <c r="D21" s="278">
        <v>0</v>
      </c>
      <c r="E21" s="279"/>
      <c r="F21" s="277">
        <v>2167.26</v>
      </c>
      <c r="G21" s="280">
        <v>1660.56</v>
      </c>
      <c r="H21" s="281"/>
      <c r="I21" s="277">
        <v>1820.65</v>
      </c>
      <c r="J21" s="280">
        <v>1103.73</v>
      </c>
      <c r="K21" s="281"/>
      <c r="L21" s="277">
        <v>4950.13</v>
      </c>
      <c r="M21" s="280">
        <v>2593.81</v>
      </c>
      <c r="N21" s="281"/>
      <c r="O21" s="134">
        <f t="shared" si="0"/>
        <v>11935.099999999999</v>
      </c>
      <c r="P21" s="300"/>
      <c r="Q21" s="134">
        <f t="shared" si="1"/>
        <v>5358.1</v>
      </c>
      <c r="R21" s="134"/>
      <c r="S21" s="134"/>
    </row>
    <row r="22" spans="1:19" ht="15.75" thickBot="1">
      <c r="A22" s="84"/>
      <c r="B22" s="87"/>
      <c r="C22" s="54"/>
      <c r="D22" s="55"/>
      <c r="E22" s="56"/>
      <c r="F22" s="54"/>
      <c r="G22" s="57"/>
      <c r="H22" s="58"/>
      <c r="I22" s="85"/>
      <c r="J22" s="86"/>
      <c r="K22" s="58"/>
      <c r="L22" s="85"/>
      <c r="M22" s="86"/>
      <c r="N22" s="58"/>
      <c r="O22" s="134">
        <f>SUM(O9:O21)-O19-O21</f>
        <v>336454.72000000003</v>
      </c>
      <c r="P22" s="134">
        <f>SUM(P9:P21)-P19-P21</f>
        <v>1</v>
      </c>
      <c r="Q22" s="134">
        <f>SUM(Q9:Q21)-Q19-Q21</f>
        <v>98008.32999999999</v>
      </c>
      <c r="R22" s="134">
        <f>SUM(R9:R21)-R19-R21</f>
        <v>294798.99</v>
      </c>
      <c r="S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5.28125" style="34" customWidth="1"/>
    <col min="22" max="22" width="9.140625" style="32" customWidth="1"/>
    <col min="23" max="23" width="9.140625" style="13" customWidth="1"/>
  </cols>
  <sheetData>
    <row r="1" ht="15">
      <c r="A1" s="32" t="s">
        <v>115</v>
      </c>
    </row>
    <row r="3" ht="15">
      <c r="A3" s="32" t="s">
        <v>126</v>
      </c>
    </row>
    <row r="4" ht="15">
      <c r="A4" s="32" t="s">
        <v>116</v>
      </c>
    </row>
    <row r="5" spans="2:4" ht="15">
      <c r="B5" s="32">
        <v>1383.05</v>
      </c>
      <c r="C5" s="33">
        <f>C8/B8</f>
        <v>1372.183738796415</v>
      </c>
      <c r="D5" s="33">
        <f>F8/B8</f>
        <v>1304.8834827144685</v>
      </c>
    </row>
    <row r="6" ht="15.75" thickBot="1"/>
    <row r="7" spans="1:23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251" t="s">
        <v>137</v>
      </c>
      <c r="T7" s="251" t="s">
        <v>138</v>
      </c>
      <c r="U7" s="251"/>
      <c r="V7" s="43"/>
      <c r="W7" s="21"/>
    </row>
    <row r="8" spans="1:21" ht="15">
      <c r="A8" s="93" t="s">
        <v>139</v>
      </c>
      <c r="B8" s="116">
        <v>15.62</v>
      </c>
      <c r="C8" s="59">
        <v>21433.51</v>
      </c>
      <c r="D8" s="60">
        <v>0</v>
      </c>
      <c r="E8" s="61"/>
      <c r="F8" s="59">
        <v>20382.28</v>
      </c>
      <c r="G8" s="120">
        <v>1</v>
      </c>
      <c r="H8" s="62">
        <v>14847.9</v>
      </c>
      <c r="I8" s="63"/>
      <c r="J8" s="59">
        <v>21433.51</v>
      </c>
      <c r="K8" s="120">
        <v>1</v>
      </c>
      <c r="L8" s="62">
        <v>9417.22</v>
      </c>
      <c r="M8" s="63"/>
      <c r="N8" s="59">
        <v>21433.51</v>
      </c>
      <c r="O8" s="120">
        <v>1</v>
      </c>
      <c r="P8" s="62">
        <v>27368.95</v>
      </c>
      <c r="Q8" s="63"/>
      <c r="R8" s="102">
        <f aca="true" t="shared" si="0" ref="R8:R21">C8+F8+J8+N8</f>
        <v>84682.80999999998</v>
      </c>
      <c r="S8" s="102">
        <f aca="true" t="shared" si="1" ref="S8:S17">D8+H8+L8+P8</f>
        <v>51634.07</v>
      </c>
      <c r="T8" s="102">
        <f>SUM(T9:T13)</f>
        <v>75735.96</v>
      </c>
      <c r="U8" s="102"/>
    </row>
    <row r="9" spans="1:23" s="11" customFormat="1" ht="15">
      <c r="A9" s="208" t="s">
        <v>105</v>
      </c>
      <c r="B9" s="117">
        <v>4.77</v>
      </c>
      <c r="C9" s="44">
        <f>B9*C5</f>
        <v>6545.316434058898</v>
      </c>
      <c r="D9" s="45"/>
      <c r="E9" s="46"/>
      <c r="F9" s="44">
        <f>B9*D5</f>
        <v>6224.294212548014</v>
      </c>
      <c r="G9" s="121">
        <f>F9/F8</f>
        <v>0.30537772087067855</v>
      </c>
      <c r="H9" s="47">
        <f>G9*H8</f>
        <v>4534.217861715748</v>
      </c>
      <c r="I9" s="48"/>
      <c r="J9" s="44">
        <v>6545.316434058898</v>
      </c>
      <c r="K9" s="121">
        <f>J9/J8</f>
        <v>0.3053777208706786</v>
      </c>
      <c r="L9" s="47">
        <f>K9*L8</f>
        <v>2875.8091805377717</v>
      </c>
      <c r="M9" s="48"/>
      <c r="N9" s="44">
        <v>6545.316434058898</v>
      </c>
      <c r="O9" s="121">
        <f>N9/N8</f>
        <v>0.3053777208706786</v>
      </c>
      <c r="P9" s="47">
        <f>O9*P8</f>
        <v>8357.86757362356</v>
      </c>
      <c r="Q9" s="48"/>
      <c r="R9" s="103">
        <f t="shared" si="0"/>
        <v>25860.24351472471</v>
      </c>
      <c r="S9" s="103">
        <f t="shared" si="1"/>
        <v>15767.89461587708</v>
      </c>
      <c r="T9" s="103">
        <v>37688.8</v>
      </c>
      <c r="U9" s="266" t="s">
        <v>156</v>
      </c>
      <c r="V9" s="50"/>
      <c r="W9" s="26"/>
    </row>
    <row r="10" spans="1:23" s="11" customFormat="1" ht="22.5">
      <c r="A10" s="213" t="s">
        <v>146</v>
      </c>
      <c r="B10" s="118">
        <v>3.2</v>
      </c>
      <c r="C10" s="44">
        <f>B10*C5</f>
        <v>4390.987964148528</v>
      </c>
      <c r="D10" s="45"/>
      <c r="E10" s="46"/>
      <c r="F10" s="44">
        <f>B10*D5</f>
        <v>4175.627144686299</v>
      </c>
      <c r="G10" s="121">
        <f>F10/F8</f>
        <v>0.20486555697823303</v>
      </c>
      <c r="H10" s="47">
        <f>G10*H8</f>
        <v>3041.8233034571062</v>
      </c>
      <c r="I10" s="48"/>
      <c r="J10" s="44">
        <v>4390.987964148528</v>
      </c>
      <c r="K10" s="121">
        <f>J10/J8</f>
        <v>0.20486555697823305</v>
      </c>
      <c r="L10" s="47">
        <f>K10*L8</f>
        <v>1929.2640204865556</v>
      </c>
      <c r="M10" s="48"/>
      <c r="N10" s="44">
        <v>4390.987964148528</v>
      </c>
      <c r="O10" s="121">
        <f>N10/N8</f>
        <v>0.20486555697823305</v>
      </c>
      <c r="P10" s="47">
        <f>O10*P8</f>
        <v>5606.955185659412</v>
      </c>
      <c r="Q10" s="48"/>
      <c r="R10" s="103">
        <f t="shared" si="0"/>
        <v>17348.591037131882</v>
      </c>
      <c r="S10" s="103">
        <f t="shared" si="1"/>
        <v>10578.042509603074</v>
      </c>
      <c r="T10" s="103">
        <f>23772.05*70%</f>
        <v>16640.434999999998</v>
      </c>
      <c r="U10" s="266" t="s">
        <v>156</v>
      </c>
      <c r="V10" s="50"/>
      <c r="W10" s="26"/>
    </row>
    <row r="11" spans="1:23" s="11" customFormat="1" ht="15">
      <c r="A11" s="213" t="s">
        <v>107</v>
      </c>
      <c r="B11" s="118">
        <v>1.83</v>
      </c>
      <c r="C11" s="44">
        <f>B11*C5</f>
        <v>2511.0962419974394</v>
      </c>
      <c r="D11" s="45"/>
      <c r="E11" s="46"/>
      <c r="F11" s="44">
        <f>B11*D5</f>
        <v>2387.9367733674776</v>
      </c>
      <c r="G11" s="121">
        <f>F11/F8</f>
        <v>0.11715749039692702</v>
      </c>
      <c r="H11" s="47">
        <f>G11*H8</f>
        <v>1739.5427016645326</v>
      </c>
      <c r="I11" s="48"/>
      <c r="J11" s="44">
        <v>2511.0962419974394</v>
      </c>
      <c r="K11" s="121">
        <f>J11/J8</f>
        <v>0.11715749039692704</v>
      </c>
      <c r="L11" s="47">
        <f>K11*L8</f>
        <v>1103.2978617157491</v>
      </c>
      <c r="M11" s="48"/>
      <c r="N11" s="44">
        <v>2511.0962419974394</v>
      </c>
      <c r="O11" s="121">
        <f>N11/N8</f>
        <v>0.11715749039692704</v>
      </c>
      <c r="P11" s="47">
        <f>O11*P8</f>
        <v>3206.477496798976</v>
      </c>
      <c r="Q11" s="48"/>
      <c r="R11" s="103">
        <f t="shared" si="0"/>
        <v>9921.225499359796</v>
      </c>
      <c r="S11" s="103">
        <f t="shared" si="1"/>
        <v>6049.318060179257</v>
      </c>
      <c r="T11" s="103">
        <f>23772.05-T10</f>
        <v>7131.615000000002</v>
      </c>
      <c r="U11" s="266" t="s">
        <v>156</v>
      </c>
      <c r="V11" s="50"/>
      <c r="W11" s="26"/>
    </row>
    <row r="12" spans="1:23" s="11" customFormat="1" ht="15">
      <c r="A12" s="213" t="s">
        <v>108</v>
      </c>
      <c r="B12" s="118" t="s">
        <v>145</v>
      </c>
      <c r="C12" s="44">
        <f>B12*C5</f>
        <v>3279.5191357234316</v>
      </c>
      <c r="D12" s="45"/>
      <c r="E12" s="46"/>
      <c r="F12" s="44">
        <f>B12*D5</f>
        <v>3118.67152368758</v>
      </c>
      <c r="G12" s="121">
        <f>F12/F8</f>
        <v>0.1530089628681178</v>
      </c>
      <c r="H12" s="47">
        <f>G12*H8</f>
        <v>2271.861779769526</v>
      </c>
      <c r="I12" s="48"/>
      <c r="J12" s="44">
        <v>3279.5191357234316</v>
      </c>
      <c r="K12" s="121">
        <f>J12/J8</f>
        <v>0.15300896286811783</v>
      </c>
      <c r="L12" s="47">
        <f>K12*L8</f>
        <v>1440.9190653008964</v>
      </c>
      <c r="M12" s="48"/>
      <c r="N12" s="44">
        <v>3279.5191357234316</v>
      </c>
      <c r="O12" s="121">
        <f>N12/N8</f>
        <v>0.15300896286811783</v>
      </c>
      <c r="P12" s="47">
        <f>O12*P8</f>
        <v>4187.694654289374</v>
      </c>
      <c r="Q12" s="48"/>
      <c r="R12" s="103">
        <f t="shared" si="0"/>
        <v>12957.228930857877</v>
      </c>
      <c r="S12" s="103">
        <f t="shared" si="1"/>
        <v>7900.475499359796</v>
      </c>
      <c r="T12" s="103">
        <v>14275.11</v>
      </c>
      <c r="U12" s="266" t="s">
        <v>154</v>
      </c>
      <c r="V12" s="50"/>
      <c r="W12" s="26"/>
    </row>
    <row r="13" spans="1:23" s="11" customFormat="1" ht="15.75" thickBot="1">
      <c r="A13" s="214" t="s">
        <v>110</v>
      </c>
      <c r="B13" s="119">
        <f>1.82+1.61</f>
        <v>3.43</v>
      </c>
      <c r="C13" s="67">
        <f>B13*C5</f>
        <v>4706.590224071703</v>
      </c>
      <c r="D13" s="68"/>
      <c r="E13" s="69"/>
      <c r="F13" s="67">
        <f>B13*D5</f>
        <v>4475.750345710628</v>
      </c>
      <c r="G13" s="122">
        <f>F13/F8</f>
        <v>0.21959026888604355</v>
      </c>
      <c r="H13" s="70">
        <f>G13*H8</f>
        <v>3260.454353393086</v>
      </c>
      <c r="I13" s="71"/>
      <c r="J13" s="67">
        <v>4706.590224071703</v>
      </c>
      <c r="K13" s="122">
        <f>J13/J8</f>
        <v>0.21959026888604358</v>
      </c>
      <c r="L13" s="70">
        <f>K13*L8</f>
        <v>2067.929871959027</v>
      </c>
      <c r="M13" s="71"/>
      <c r="N13" s="67">
        <v>4706.590224071703</v>
      </c>
      <c r="O13" s="122">
        <f>N13/N8</f>
        <v>0.21959026888604358</v>
      </c>
      <c r="P13" s="70">
        <f>O13*P8</f>
        <v>6009.955089628683</v>
      </c>
      <c r="Q13" s="71"/>
      <c r="R13" s="104">
        <f t="shared" si="0"/>
        <v>18595.521017925737</v>
      </c>
      <c r="S13" s="104">
        <f t="shared" si="1"/>
        <v>11338.339314980796</v>
      </c>
      <c r="T13" s="104">
        <v>0</v>
      </c>
      <c r="U13" s="106"/>
      <c r="V13" s="50"/>
      <c r="W13" s="26"/>
    </row>
    <row r="14" spans="1:21" ht="15.75" thickBot="1">
      <c r="A14" s="92" t="s">
        <v>96</v>
      </c>
      <c r="B14" s="113"/>
      <c r="C14" s="73">
        <v>265.8</v>
      </c>
      <c r="D14" s="74">
        <v>0</v>
      </c>
      <c r="E14" s="75"/>
      <c r="F14" s="73">
        <v>265.8</v>
      </c>
      <c r="G14" s="75"/>
      <c r="H14" s="76">
        <v>157.06</v>
      </c>
      <c r="I14" s="77"/>
      <c r="J14" s="73">
        <v>265.8</v>
      </c>
      <c r="K14" s="75"/>
      <c r="L14" s="76">
        <v>97.73</v>
      </c>
      <c r="M14" s="77"/>
      <c r="N14" s="73">
        <v>265.8</v>
      </c>
      <c r="O14" s="75"/>
      <c r="P14" s="76">
        <v>268.57</v>
      </c>
      <c r="Q14" s="77"/>
      <c r="R14" s="105">
        <f t="shared" si="0"/>
        <v>1063.2</v>
      </c>
      <c r="S14" s="105">
        <f t="shared" si="1"/>
        <v>523.36</v>
      </c>
      <c r="T14" s="105">
        <v>0</v>
      </c>
      <c r="U14" s="105"/>
    </row>
    <row r="15" spans="1:21" ht="15">
      <c r="A15" s="93" t="s">
        <v>97</v>
      </c>
      <c r="B15" s="114"/>
      <c r="C15" s="59">
        <v>0</v>
      </c>
      <c r="D15" s="60">
        <v>0</v>
      </c>
      <c r="E15" s="61"/>
      <c r="F15" s="59">
        <v>0</v>
      </c>
      <c r="G15" s="61"/>
      <c r="H15" s="62">
        <v>0</v>
      </c>
      <c r="I15" s="63"/>
      <c r="J15" s="59">
        <v>4524.82</v>
      </c>
      <c r="K15" s="61"/>
      <c r="L15" s="62">
        <v>774.03</v>
      </c>
      <c r="M15" s="63"/>
      <c r="N15" s="59">
        <v>13880.08</v>
      </c>
      <c r="O15" s="61"/>
      <c r="P15" s="62">
        <v>2706.8</v>
      </c>
      <c r="Q15" s="63"/>
      <c r="R15" s="102">
        <f t="shared" si="0"/>
        <v>18404.9</v>
      </c>
      <c r="S15" s="102">
        <f t="shared" si="1"/>
        <v>3480.83</v>
      </c>
      <c r="T15" s="102">
        <v>24370.93</v>
      </c>
      <c r="U15" s="267" t="s">
        <v>155</v>
      </c>
    </row>
    <row r="16" spans="1:21" ht="15.75" thickBot="1">
      <c r="A16" s="94" t="s">
        <v>98</v>
      </c>
      <c r="B16" s="115"/>
      <c r="C16" s="67">
        <v>0</v>
      </c>
      <c r="D16" s="68">
        <v>0</v>
      </c>
      <c r="E16" s="69"/>
      <c r="F16" s="67">
        <v>0</v>
      </c>
      <c r="G16" s="69"/>
      <c r="H16" s="70">
        <v>0</v>
      </c>
      <c r="I16" s="71"/>
      <c r="J16" s="67">
        <v>11065.22</v>
      </c>
      <c r="K16" s="69"/>
      <c r="L16" s="70">
        <v>1892.87</v>
      </c>
      <c r="M16" s="71"/>
      <c r="N16" s="67">
        <v>33942.99</v>
      </c>
      <c r="O16" s="69"/>
      <c r="P16" s="70">
        <v>6619.37</v>
      </c>
      <c r="Q16" s="71"/>
      <c r="R16" s="106">
        <f t="shared" si="0"/>
        <v>45008.21</v>
      </c>
      <c r="S16" s="106">
        <f t="shared" si="1"/>
        <v>8512.24</v>
      </c>
      <c r="T16" s="106">
        <v>59425.89</v>
      </c>
      <c r="U16" s="106" t="s">
        <v>155</v>
      </c>
    </row>
    <row r="17" spans="1:21" ht="15.75" thickBot="1">
      <c r="A17" s="92" t="s">
        <v>6</v>
      </c>
      <c r="B17" s="113"/>
      <c r="C17" s="73">
        <v>0</v>
      </c>
      <c r="D17" s="74">
        <v>0</v>
      </c>
      <c r="E17" s="75"/>
      <c r="F17" s="73">
        <v>0</v>
      </c>
      <c r="G17" s="75"/>
      <c r="H17" s="76">
        <v>0</v>
      </c>
      <c r="I17" s="77"/>
      <c r="J17" s="73">
        <v>48006.11</v>
      </c>
      <c r="K17" s="75"/>
      <c r="L17" s="76">
        <v>9855.17</v>
      </c>
      <c r="M17" s="77"/>
      <c r="N17" s="73">
        <v>113614.47</v>
      </c>
      <c r="O17" s="75"/>
      <c r="P17" s="76">
        <v>30065.39</v>
      </c>
      <c r="Q17" s="77"/>
      <c r="R17" s="105">
        <f t="shared" si="0"/>
        <v>161620.58000000002</v>
      </c>
      <c r="S17" s="105">
        <f t="shared" si="1"/>
        <v>39920.56</v>
      </c>
      <c r="T17" s="105">
        <v>111654.63</v>
      </c>
      <c r="U17" s="102" t="s">
        <v>155</v>
      </c>
    </row>
    <row r="18" spans="1:21" ht="15.75" thickBot="1">
      <c r="A18" s="93" t="s">
        <v>99</v>
      </c>
      <c r="B18" s="113"/>
      <c r="C18" s="59">
        <v>1925.76</v>
      </c>
      <c r="D18" s="60">
        <v>0</v>
      </c>
      <c r="E18" s="61"/>
      <c r="F18" s="59">
        <v>1925.76</v>
      </c>
      <c r="G18" s="61"/>
      <c r="H18" s="62">
        <v>1248.15</v>
      </c>
      <c r="I18" s="63"/>
      <c r="J18" s="59">
        <v>1906.36</v>
      </c>
      <c r="K18" s="61"/>
      <c r="L18" s="62">
        <v>690.71</v>
      </c>
      <c r="M18" s="63"/>
      <c r="N18" s="59">
        <v>5020.75</v>
      </c>
      <c r="O18" s="61"/>
      <c r="P18" s="62">
        <v>2188.97</v>
      </c>
      <c r="Q18" s="63"/>
      <c r="R18" s="102">
        <f>C18+F18+J18+N18+R19</f>
        <v>12012.75</v>
      </c>
      <c r="S18" s="102">
        <f>D18+H18+L18+P18+S19</f>
        <v>4886.58</v>
      </c>
      <c r="T18" s="102">
        <f>R18</f>
        <v>12012.75</v>
      </c>
      <c r="U18" s="105" t="s">
        <v>157</v>
      </c>
    </row>
    <row r="19" spans="1:21" ht="15.75" hidden="1" thickBot="1">
      <c r="A19" s="94" t="s">
        <v>101</v>
      </c>
      <c r="B19" s="113"/>
      <c r="C19" s="67">
        <v>188.44</v>
      </c>
      <c r="D19" s="68">
        <v>0</v>
      </c>
      <c r="E19" s="69"/>
      <c r="F19" s="67">
        <v>429.21</v>
      </c>
      <c r="G19" s="69"/>
      <c r="H19" s="70">
        <v>273.8</v>
      </c>
      <c r="I19" s="71"/>
      <c r="J19" s="67">
        <v>158.12</v>
      </c>
      <c r="K19" s="69"/>
      <c r="L19" s="70">
        <v>207.68</v>
      </c>
      <c r="M19" s="71"/>
      <c r="N19" s="67">
        <v>458.35</v>
      </c>
      <c r="O19" s="69"/>
      <c r="P19" s="70">
        <v>277.27</v>
      </c>
      <c r="Q19" s="71"/>
      <c r="R19" s="106">
        <f t="shared" si="0"/>
        <v>1234.12</v>
      </c>
      <c r="S19" s="106">
        <f>D19+H19+L19+P19</f>
        <v>758.75</v>
      </c>
      <c r="T19" s="106"/>
      <c r="U19" s="106"/>
    </row>
    <row r="20" spans="1:21" ht="15.75" thickBot="1">
      <c r="A20" s="92" t="s">
        <v>100</v>
      </c>
      <c r="B20" s="249"/>
      <c r="C20" s="73">
        <v>3701.04</v>
      </c>
      <c r="D20" s="74">
        <v>0</v>
      </c>
      <c r="E20" s="75"/>
      <c r="F20" s="73">
        <v>3701.04</v>
      </c>
      <c r="G20" s="75"/>
      <c r="H20" s="76">
        <v>2398.78</v>
      </c>
      <c r="I20" s="77"/>
      <c r="J20" s="73">
        <v>3663.74</v>
      </c>
      <c r="K20" s="75"/>
      <c r="L20" s="76">
        <v>1327.47</v>
      </c>
      <c r="M20" s="77"/>
      <c r="N20" s="73">
        <v>12141.02</v>
      </c>
      <c r="O20" s="75"/>
      <c r="P20" s="76">
        <v>4307.33</v>
      </c>
      <c r="Q20" s="77"/>
      <c r="R20" s="105">
        <f>C20+F20+J20+N20+R21</f>
        <v>24996.33</v>
      </c>
      <c r="S20" s="105">
        <f>D20+H20+L20+P20+S21</f>
        <v>9011.85</v>
      </c>
      <c r="T20" s="105">
        <f>R20</f>
        <v>24996.33</v>
      </c>
      <c r="U20" s="105" t="s">
        <v>157</v>
      </c>
    </row>
    <row r="21" spans="1:21" ht="15.75" hidden="1" thickBot="1">
      <c r="A21" s="276" t="s">
        <v>102</v>
      </c>
      <c r="B21" s="127"/>
      <c r="C21" s="277">
        <v>247.8</v>
      </c>
      <c r="D21" s="278">
        <v>0</v>
      </c>
      <c r="E21" s="279"/>
      <c r="F21" s="277">
        <v>540.71</v>
      </c>
      <c r="G21" s="279"/>
      <c r="H21" s="280">
        <v>329.8</v>
      </c>
      <c r="I21" s="281"/>
      <c r="J21" s="277">
        <v>207.62</v>
      </c>
      <c r="K21" s="279"/>
      <c r="L21" s="280">
        <v>267.02</v>
      </c>
      <c r="M21" s="281"/>
      <c r="N21" s="277">
        <v>793.36</v>
      </c>
      <c r="O21" s="279"/>
      <c r="P21" s="280">
        <v>381.45</v>
      </c>
      <c r="Q21" s="281"/>
      <c r="R21" s="134">
        <f t="shared" si="0"/>
        <v>1789.49</v>
      </c>
      <c r="S21" s="134">
        <f>D21+H21+L21+P21</f>
        <v>978.27</v>
      </c>
      <c r="T21" s="134"/>
      <c r="U21" s="106"/>
    </row>
    <row r="22" spans="1:21" ht="15.75" thickBot="1">
      <c r="A22" s="84"/>
      <c r="B22" s="87"/>
      <c r="C22" s="54"/>
      <c r="D22" s="55"/>
      <c r="E22" s="56"/>
      <c r="F22" s="54"/>
      <c r="G22" s="56"/>
      <c r="H22" s="57"/>
      <c r="I22" s="58"/>
      <c r="J22" s="85"/>
      <c r="K22" s="56"/>
      <c r="L22" s="86"/>
      <c r="M22" s="58"/>
      <c r="N22" s="85"/>
      <c r="O22" s="56"/>
      <c r="P22" s="86"/>
      <c r="Q22" s="58"/>
      <c r="R22" s="134">
        <f>SUM(R9:R21)-R19-R21</f>
        <v>347788.78</v>
      </c>
      <c r="S22" s="134">
        <f>SUM(S9:S21)-S19-S21</f>
        <v>117969.49</v>
      </c>
      <c r="T22" s="134">
        <f>SUM(T9:T21)-T19-T21</f>
        <v>308196.49000000005</v>
      </c>
      <c r="U22" s="1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2">
      <selection activeCell="R25" sqref="R25"/>
    </sheetView>
  </sheetViews>
  <sheetFormatPr defaultColWidth="9.140625" defaultRowHeight="15"/>
  <cols>
    <col min="1" max="1" width="34.8515625" style="13" customWidth="1"/>
    <col min="2" max="2" width="9.140625" style="32" hidden="1" customWidth="1"/>
    <col min="3" max="5" width="10.140625" style="14" hidden="1" customWidth="1"/>
    <col min="6" max="8" width="10.140625" style="13" hidden="1" customWidth="1"/>
    <col min="9" max="9" width="10.140625" style="14" hidden="1" customWidth="1"/>
    <col min="10" max="12" width="10.140625" style="13" hidden="1" customWidth="1"/>
    <col min="13" max="13" width="10.140625" style="14" hidden="1" customWidth="1"/>
    <col min="14" max="16" width="10.140625" style="13" hidden="1" customWidth="1"/>
    <col min="17" max="17" width="10.140625" style="14" hidden="1" customWidth="1"/>
    <col min="18" max="19" width="16.00390625" style="12" customWidth="1"/>
    <col min="20" max="20" width="16.00390625" style="14" customWidth="1"/>
    <col min="21" max="21" width="24.57421875" style="12" customWidth="1"/>
    <col min="22" max="23" width="9.140625" style="13" customWidth="1"/>
  </cols>
  <sheetData>
    <row r="1" ht="15">
      <c r="A1" s="13" t="s">
        <v>115</v>
      </c>
    </row>
    <row r="3" ht="15">
      <c r="A3" s="32" t="s">
        <v>127</v>
      </c>
    </row>
    <row r="4" ht="15">
      <c r="A4" s="13" t="s">
        <v>116</v>
      </c>
    </row>
    <row r="5" spans="2:4" ht="15">
      <c r="B5" s="32">
        <v>873.99</v>
      </c>
      <c r="C5" s="14">
        <f>C8/B8</f>
        <v>466.128681177977</v>
      </c>
      <c r="D5" s="14">
        <f>F8/B8</f>
        <v>819.8284250960307</v>
      </c>
    </row>
    <row r="6" ht="15.75" thickBot="1"/>
    <row r="7" spans="1:23" s="9" customFormat="1" ht="37.5" customHeight="1" thickBot="1">
      <c r="A7" s="18" t="s">
        <v>87</v>
      </c>
      <c r="B7" s="112" t="s">
        <v>140</v>
      </c>
      <c r="C7" s="15" t="s">
        <v>88</v>
      </c>
      <c r="D7" s="16" t="s">
        <v>89</v>
      </c>
      <c r="E7" s="19" t="s">
        <v>112</v>
      </c>
      <c r="F7" s="15" t="s">
        <v>90</v>
      </c>
      <c r="G7" s="19"/>
      <c r="H7" s="20" t="s">
        <v>91</v>
      </c>
      <c r="I7" s="17" t="s">
        <v>111</v>
      </c>
      <c r="J7" s="15" t="s">
        <v>92</v>
      </c>
      <c r="K7" s="19"/>
      <c r="L7" s="20" t="s">
        <v>93</v>
      </c>
      <c r="M7" s="17" t="s">
        <v>113</v>
      </c>
      <c r="N7" s="15" t="s">
        <v>94</v>
      </c>
      <c r="O7" s="19"/>
      <c r="P7" s="20" t="s">
        <v>95</v>
      </c>
      <c r="Q7" s="17" t="s">
        <v>114</v>
      </c>
      <c r="R7" s="37" t="s">
        <v>159</v>
      </c>
      <c r="S7" s="251" t="s">
        <v>137</v>
      </c>
      <c r="T7" s="251" t="s">
        <v>138</v>
      </c>
      <c r="U7" s="251"/>
      <c r="V7" s="21"/>
      <c r="W7" s="21"/>
    </row>
    <row r="8" spans="1:21" ht="15">
      <c r="A8" s="93" t="s">
        <v>139</v>
      </c>
      <c r="B8" s="116">
        <v>15.62</v>
      </c>
      <c r="C8" s="143">
        <v>7280.93</v>
      </c>
      <c r="D8" s="144">
        <v>0</v>
      </c>
      <c r="E8" s="145"/>
      <c r="F8" s="143">
        <v>12805.72</v>
      </c>
      <c r="G8" s="120">
        <v>1</v>
      </c>
      <c r="H8" s="146">
        <v>5729.92</v>
      </c>
      <c r="I8" s="147"/>
      <c r="J8" s="143">
        <v>13651.7</v>
      </c>
      <c r="K8" s="120">
        <v>1</v>
      </c>
      <c r="L8" s="146">
        <v>4140.01</v>
      </c>
      <c r="M8" s="147"/>
      <c r="N8" s="143">
        <v>13651.7</v>
      </c>
      <c r="O8" s="120">
        <v>1</v>
      </c>
      <c r="P8" s="146">
        <v>19821.73</v>
      </c>
      <c r="Q8" s="147"/>
      <c r="R8" s="162">
        <f aca="true" t="shared" si="0" ref="R8:R21">C8+F8+J8+N8</f>
        <v>47390.05</v>
      </c>
      <c r="S8" s="162">
        <f aca="true" t="shared" si="1" ref="S8:S17">D8+H8+L8+P8</f>
        <v>29691.66</v>
      </c>
      <c r="T8" s="162">
        <f>SUM(T9:T13)</f>
        <v>42811.16</v>
      </c>
      <c r="U8" s="162"/>
    </row>
    <row r="9" spans="1:23" s="11" customFormat="1" ht="15">
      <c r="A9" s="208" t="s">
        <v>105</v>
      </c>
      <c r="B9" s="117">
        <v>4.77</v>
      </c>
      <c r="C9" s="22">
        <f>B9*C5</f>
        <v>2223.43380921895</v>
      </c>
      <c r="D9" s="23"/>
      <c r="E9" s="24"/>
      <c r="F9" s="22">
        <f>B9*D5</f>
        <v>3910.5815877080663</v>
      </c>
      <c r="G9" s="121">
        <f>F9/F8</f>
        <v>0.3053777208706786</v>
      </c>
      <c r="H9" s="47">
        <f>G9*H8</f>
        <v>1749.7899103713187</v>
      </c>
      <c r="I9" s="25"/>
      <c r="J9" s="22">
        <v>4168.93</v>
      </c>
      <c r="K9" s="121">
        <f>J9/J8</f>
        <v>0.30537808478065004</v>
      </c>
      <c r="L9" s="47">
        <f>K9*L8</f>
        <v>1264.268324772739</v>
      </c>
      <c r="M9" s="25"/>
      <c r="N9" s="22">
        <v>4168.93</v>
      </c>
      <c r="O9" s="121">
        <f>N9/N8</f>
        <v>0.30537808478065004</v>
      </c>
      <c r="P9" s="47">
        <f>O9*P8</f>
        <v>6053.1219444391545</v>
      </c>
      <c r="Q9" s="25"/>
      <c r="R9" s="163">
        <f t="shared" si="0"/>
        <v>14471.875396927016</v>
      </c>
      <c r="S9" s="163">
        <f t="shared" si="1"/>
        <v>9067.180179583213</v>
      </c>
      <c r="T9" s="163">
        <v>20312.43</v>
      </c>
      <c r="U9" s="266" t="s">
        <v>156</v>
      </c>
      <c r="V9" s="26"/>
      <c r="W9" s="26"/>
    </row>
    <row r="10" spans="1:23" s="11" customFormat="1" ht="22.5">
      <c r="A10" s="213" t="s">
        <v>146</v>
      </c>
      <c r="B10" s="118">
        <v>3.2</v>
      </c>
      <c r="C10" s="22">
        <f>B10*C5</f>
        <v>1491.6117797695265</v>
      </c>
      <c r="D10" s="23"/>
      <c r="E10" s="24"/>
      <c r="F10" s="22">
        <f>B10*D5</f>
        <v>2623.4509603072984</v>
      </c>
      <c r="G10" s="121">
        <f>F10/F8</f>
        <v>0.20486555697823305</v>
      </c>
      <c r="H10" s="47">
        <f>G10*H8</f>
        <v>1173.8632522407172</v>
      </c>
      <c r="I10" s="25"/>
      <c r="J10" s="22">
        <v>2796.76</v>
      </c>
      <c r="K10" s="121">
        <f>J10/J8</f>
        <v>0.20486532812763247</v>
      </c>
      <c r="L10" s="47">
        <f>K10*L8</f>
        <v>848.1445071016798</v>
      </c>
      <c r="M10" s="25"/>
      <c r="N10" s="22">
        <v>2796.76</v>
      </c>
      <c r="O10" s="121">
        <f>N10/N8</f>
        <v>0.20486532812763247</v>
      </c>
      <c r="P10" s="47">
        <f>O10*P8</f>
        <v>4060.7852205073364</v>
      </c>
      <c r="Q10" s="25"/>
      <c r="R10" s="163">
        <f t="shared" si="0"/>
        <v>9708.582740076825</v>
      </c>
      <c r="S10" s="163">
        <f t="shared" si="1"/>
        <v>6082.7929798497335</v>
      </c>
      <c r="T10" s="163">
        <f>14627.43*60%</f>
        <v>8776.458</v>
      </c>
      <c r="U10" s="266" t="s">
        <v>156</v>
      </c>
      <c r="V10" s="26"/>
      <c r="W10" s="26"/>
    </row>
    <row r="11" spans="1:23" s="11" customFormat="1" ht="15">
      <c r="A11" s="213" t="s">
        <v>107</v>
      </c>
      <c r="B11" s="118">
        <v>1.83</v>
      </c>
      <c r="C11" s="22">
        <f>B11*C5</f>
        <v>853.015486555698</v>
      </c>
      <c r="D11" s="23"/>
      <c r="E11" s="24"/>
      <c r="F11" s="22">
        <f>B11*D5</f>
        <v>1500.2860179257364</v>
      </c>
      <c r="G11" s="121">
        <f>F11/F8</f>
        <v>0.11715749039692704</v>
      </c>
      <c r="H11" s="47">
        <f>G11*H8</f>
        <v>671.3030473751602</v>
      </c>
      <c r="I11" s="25"/>
      <c r="J11" s="22">
        <v>1599.4</v>
      </c>
      <c r="K11" s="121">
        <f>J11/J8</f>
        <v>0.1171575701194723</v>
      </c>
      <c r="L11" s="47">
        <f>K11*L8</f>
        <v>485.03351187031654</v>
      </c>
      <c r="M11" s="25"/>
      <c r="N11" s="22">
        <v>1599.4</v>
      </c>
      <c r="O11" s="121">
        <f>N11/N8</f>
        <v>0.1171575701194723</v>
      </c>
      <c r="P11" s="47">
        <f>O11*P8</f>
        <v>2322.2657223642477</v>
      </c>
      <c r="Q11" s="25"/>
      <c r="R11" s="163">
        <f t="shared" si="0"/>
        <v>5552.101504481434</v>
      </c>
      <c r="S11" s="163">
        <f t="shared" si="1"/>
        <v>3478.6022816097247</v>
      </c>
      <c r="T11" s="163">
        <f>14627.43-T10</f>
        <v>5850.972</v>
      </c>
      <c r="U11" s="266" t="s">
        <v>156</v>
      </c>
      <c r="V11" s="26"/>
      <c r="W11" s="26"/>
    </row>
    <row r="12" spans="1:23" s="11" customFormat="1" ht="15">
      <c r="A12" s="213" t="s">
        <v>108</v>
      </c>
      <c r="B12" s="118" t="s">
        <v>145</v>
      </c>
      <c r="C12" s="22">
        <f>B12*C5</f>
        <v>1114.047548015365</v>
      </c>
      <c r="D12" s="23"/>
      <c r="E12" s="24"/>
      <c r="F12" s="22">
        <f>B12*D5</f>
        <v>1959.3899359795137</v>
      </c>
      <c r="G12" s="121">
        <f>F12/F8</f>
        <v>0.15300896286811783</v>
      </c>
      <c r="H12" s="47">
        <f>G12*H8</f>
        <v>876.7291165172857</v>
      </c>
      <c r="I12" s="25"/>
      <c r="J12" s="22">
        <v>2088.83</v>
      </c>
      <c r="K12" s="121">
        <f>J12/J8</f>
        <v>0.15300878278895666</v>
      </c>
      <c r="L12" s="47">
        <f>K12*L8</f>
        <v>633.4578908341085</v>
      </c>
      <c r="M12" s="25"/>
      <c r="N12" s="22">
        <v>2088.83</v>
      </c>
      <c r="O12" s="121">
        <f>N12/N8</f>
        <v>0.15300878278895666</v>
      </c>
      <c r="P12" s="47">
        <f>O12*P8</f>
        <v>3032.8987800713458</v>
      </c>
      <c r="Q12" s="25"/>
      <c r="R12" s="163">
        <f t="shared" si="0"/>
        <v>7251.0974839948785</v>
      </c>
      <c r="S12" s="163">
        <f t="shared" si="1"/>
        <v>4543.08578742274</v>
      </c>
      <c r="T12" s="163">
        <v>7871.3</v>
      </c>
      <c r="U12" s="266" t="s">
        <v>154</v>
      </c>
      <c r="V12" s="26"/>
      <c r="W12" s="26"/>
    </row>
    <row r="13" spans="1:23" s="11" customFormat="1" ht="15.75" thickBot="1">
      <c r="A13" s="214" t="s">
        <v>110</v>
      </c>
      <c r="B13" s="119">
        <f>1.82+1.61</f>
        <v>3.43</v>
      </c>
      <c r="C13" s="148">
        <f>B13*C5</f>
        <v>1598.821376440461</v>
      </c>
      <c r="D13" s="155"/>
      <c r="E13" s="149"/>
      <c r="F13" s="148">
        <f>B13*D5</f>
        <v>2812.0114980793855</v>
      </c>
      <c r="G13" s="122">
        <f>F13/F8</f>
        <v>0.21959026888604355</v>
      </c>
      <c r="H13" s="70">
        <f>G13*H8</f>
        <v>1258.2346734955186</v>
      </c>
      <c r="I13" s="150"/>
      <c r="J13" s="148">
        <v>2997.78</v>
      </c>
      <c r="K13" s="122">
        <f>J13/J8</f>
        <v>0.21959023418328852</v>
      </c>
      <c r="L13" s="70">
        <f>K13*L8</f>
        <v>909.1057654211563</v>
      </c>
      <c r="M13" s="150"/>
      <c r="N13" s="148">
        <v>2997.78</v>
      </c>
      <c r="O13" s="122">
        <f>N13/N8</f>
        <v>0.21959023418328852</v>
      </c>
      <c r="P13" s="70">
        <f>O13*P8</f>
        <v>4352.658332617915</v>
      </c>
      <c r="Q13" s="150"/>
      <c r="R13" s="164">
        <f t="shared" si="0"/>
        <v>10406.392874519848</v>
      </c>
      <c r="S13" s="164">
        <f t="shared" si="1"/>
        <v>6519.998771534591</v>
      </c>
      <c r="T13" s="164">
        <v>0</v>
      </c>
      <c r="U13" s="166"/>
      <c r="V13" s="26"/>
      <c r="W13" s="26"/>
    </row>
    <row r="14" spans="1:21" ht="15.75" thickBot="1">
      <c r="A14" s="92" t="s">
        <v>96</v>
      </c>
      <c r="B14" s="113"/>
      <c r="C14" s="156">
        <v>33.02</v>
      </c>
      <c r="D14" s="157">
        <v>0</v>
      </c>
      <c r="E14" s="158"/>
      <c r="F14" s="156">
        <v>33.02</v>
      </c>
      <c r="G14" s="158"/>
      <c r="H14" s="159">
        <v>28.63</v>
      </c>
      <c r="I14" s="160"/>
      <c r="J14" s="156">
        <v>33.02</v>
      </c>
      <c r="K14" s="158"/>
      <c r="L14" s="159">
        <v>16.76</v>
      </c>
      <c r="M14" s="160"/>
      <c r="N14" s="156">
        <v>-99.06</v>
      </c>
      <c r="O14" s="158"/>
      <c r="P14" s="159">
        <v>54.17</v>
      </c>
      <c r="Q14" s="160"/>
      <c r="R14" s="165">
        <f t="shared" si="0"/>
        <v>0</v>
      </c>
      <c r="S14" s="165">
        <f t="shared" si="1"/>
        <v>99.56</v>
      </c>
      <c r="T14" s="165"/>
      <c r="U14" s="165"/>
    </row>
    <row r="15" spans="1:21" ht="15">
      <c r="A15" s="93" t="s">
        <v>97</v>
      </c>
      <c r="B15" s="114"/>
      <c r="C15" s="143">
        <v>0</v>
      </c>
      <c r="D15" s="144">
        <v>0</v>
      </c>
      <c r="E15" s="145"/>
      <c r="F15" s="143">
        <v>0</v>
      </c>
      <c r="G15" s="145"/>
      <c r="H15" s="146">
        <v>0</v>
      </c>
      <c r="I15" s="147"/>
      <c r="J15" s="143">
        <v>2361.89</v>
      </c>
      <c r="K15" s="145"/>
      <c r="L15" s="146">
        <v>325.67</v>
      </c>
      <c r="M15" s="147"/>
      <c r="N15" s="143">
        <v>6878.82</v>
      </c>
      <c r="O15" s="145"/>
      <c r="P15" s="146">
        <v>1619.89</v>
      </c>
      <c r="Q15" s="147"/>
      <c r="R15" s="162">
        <f t="shared" si="0"/>
        <v>9240.71</v>
      </c>
      <c r="S15" s="162">
        <f t="shared" si="1"/>
        <v>1945.5600000000002</v>
      </c>
      <c r="T15" s="275">
        <v>12236.13</v>
      </c>
      <c r="U15" s="267" t="s">
        <v>155</v>
      </c>
    </row>
    <row r="16" spans="1:21" ht="15.75" thickBot="1">
      <c r="A16" s="252" t="s">
        <v>98</v>
      </c>
      <c r="B16" s="253"/>
      <c r="C16" s="254">
        <v>0</v>
      </c>
      <c r="D16" s="255">
        <v>0</v>
      </c>
      <c r="E16" s="256"/>
      <c r="F16" s="254">
        <v>0</v>
      </c>
      <c r="G16" s="256"/>
      <c r="H16" s="257">
        <v>0</v>
      </c>
      <c r="I16" s="258"/>
      <c r="J16" s="254">
        <v>5775.83</v>
      </c>
      <c r="K16" s="256"/>
      <c r="L16" s="257">
        <v>796.33</v>
      </c>
      <c r="M16" s="258"/>
      <c r="N16" s="254">
        <v>16821.72</v>
      </c>
      <c r="O16" s="256"/>
      <c r="P16" s="257">
        <v>3961.33</v>
      </c>
      <c r="Q16" s="258"/>
      <c r="R16" s="259">
        <f t="shared" si="0"/>
        <v>22597.550000000003</v>
      </c>
      <c r="S16" s="259">
        <f t="shared" si="1"/>
        <v>4757.66</v>
      </c>
      <c r="T16" s="259">
        <v>29836.33</v>
      </c>
      <c r="U16" s="106" t="s">
        <v>155</v>
      </c>
    </row>
    <row r="17" spans="1:21" ht="15.75" thickBot="1">
      <c r="A17" s="92" t="s">
        <v>6</v>
      </c>
      <c r="B17" s="113"/>
      <c r="C17" s="156">
        <v>0</v>
      </c>
      <c r="D17" s="157">
        <v>0</v>
      </c>
      <c r="E17" s="158"/>
      <c r="F17" s="156">
        <v>0</v>
      </c>
      <c r="G17" s="158"/>
      <c r="H17" s="159">
        <v>0</v>
      </c>
      <c r="I17" s="160"/>
      <c r="J17" s="156">
        <v>30576.74</v>
      </c>
      <c r="K17" s="158"/>
      <c r="L17" s="159">
        <v>4570.23</v>
      </c>
      <c r="M17" s="160"/>
      <c r="N17" s="156">
        <v>72364.92</v>
      </c>
      <c r="O17" s="158"/>
      <c r="P17" s="159">
        <v>21968.09</v>
      </c>
      <c r="Q17" s="160"/>
      <c r="R17" s="165">
        <f t="shared" si="0"/>
        <v>102941.66</v>
      </c>
      <c r="S17" s="165">
        <f t="shared" si="1"/>
        <v>26538.32</v>
      </c>
      <c r="T17" s="165">
        <v>71116.64</v>
      </c>
      <c r="U17" s="102" t="s">
        <v>155</v>
      </c>
    </row>
    <row r="18" spans="1:21" ht="15.75" thickBot="1">
      <c r="A18" s="93" t="s">
        <v>99</v>
      </c>
      <c r="B18" s="113"/>
      <c r="C18" s="143">
        <v>913.92</v>
      </c>
      <c r="D18" s="144">
        <v>0</v>
      </c>
      <c r="E18" s="145"/>
      <c r="F18" s="143">
        <v>913.92</v>
      </c>
      <c r="G18" s="145"/>
      <c r="H18" s="146">
        <v>479.71</v>
      </c>
      <c r="I18" s="147"/>
      <c r="J18" s="143">
        <v>913.92</v>
      </c>
      <c r="K18" s="145"/>
      <c r="L18" s="146">
        <v>309.15</v>
      </c>
      <c r="M18" s="147"/>
      <c r="N18" s="143">
        <v>2376.54</v>
      </c>
      <c r="O18" s="145"/>
      <c r="P18" s="146">
        <v>1538.57</v>
      </c>
      <c r="Q18" s="147"/>
      <c r="R18" s="162">
        <f>C18+F18+J18+N18+R19</f>
        <v>5753.179999999999</v>
      </c>
      <c r="S18" s="162">
        <f>D18+H18+L18+P18+S19</f>
        <v>2980.29</v>
      </c>
      <c r="T18" s="162">
        <f>R18</f>
        <v>5753.179999999999</v>
      </c>
      <c r="U18" s="105" t="s">
        <v>157</v>
      </c>
    </row>
    <row r="19" spans="1:21" ht="15.75" hidden="1" thickBot="1">
      <c r="A19" s="94" t="s">
        <v>101</v>
      </c>
      <c r="B19" s="113"/>
      <c r="C19" s="148">
        <v>236.22</v>
      </c>
      <c r="D19" s="155">
        <v>0</v>
      </c>
      <c r="E19" s="149"/>
      <c r="F19" s="148">
        <v>281.31</v>
      </c>
      <c r="G19" s="149"/>
      <c r="H19" s="151">
        <v>198.22</v>
      </c>
      <c r="I19" s="150"/>
      <c r="J19" s="148">
        <v>219.4</v>
      </c>
      <c r="K19" s="149"/>
      <c r="L19" s="151">
        <v>86.22</v>
      </c>
      <c r="M19" s="150"/>
      <c r="N19" s="148">
        <v>-102.05</v>
      </c>
      <c r="O19" s="149"/>
      <c r="P19" s="151">
        <v>368.42</v>
      </c>
      <c r="Q19" s="150"/>
      <c r="R19" s="166">
        <f t="shared" si="0"/>
        <v>634.88</v>
      </c>
      <c r="S19" s="166">
        <f>D19+H19+L19+P19</f>
        <v>652.86</v>
      </c>
      <c r="T19" s="166"/>
      <c r="U19" s="166"/>
    </row>
    <row r="20" spans="1:21" ht="15.75" thickBot="1">
      <c r="A20" s="92" t="s">
        <v>100</v>
      </c>
      <c r="B20" s="249"/>
      <c r="C20" s="156">
        <v>1756.43</v>
      </c>
      <c r="D20" s="157">
        <v>0</v>
      </c>
      <c r="E20" s="158"/>
      <c r="F20" s="156">
        <v>1756.43</v>
      </c>
      <c r="G20" s="158"/>
      <c r="H20" s="159">
        <v>921.93</v>
      </c>
      <c r="I20" s="160"/>
      <c r="J20" s="156">
        <v>1756.43</v>
      </c>
      <c r="K20" s="158"/>
      <c r="L20" s="159">
        <v>594.12</v>
      </c>
      <c r="M20" s="160"/>
      <c r="N20" s="156">
        <v>5770.32</v>
      </c>
      <c r="O20" s="158"/>
      <c r="P20" s="159">
        <v>2956.95</v>
      </c>
      <c r="Q20" s="160"/>
      <c r="R20" s="165">
        <f>C20+F20+J20+N20+R21</f>
        <v>11879.37</v>
      </c>
      <c r="S20" s="165">
        <f>D20+H20+L20+P20+S21</f>
        <v>4967.3</v>
      </c>
      <c r="T20" s="165">
        <f>R20</f>
        <v>11879.37</v>
      </c>
      <c r="U20" s="105" t="s">
        <v>157</v>
      </c>
    </row>
    <row r="21" spans="1:21" ht="15.75" hidden="1" thickBot="1">
      <c r="A21" s="276" t="s">
        <v>102</v>
      </c>
      <c r="B21" s="127"/>
      <c r="C21" s="295">
        <v>189.18</v>
      </c>
      <c r="D21" s="296">
        <v>0</v>
      </c>
      <c r="E21" s="297"/>
      <c r="F21" s="295">
        <v>286.32</v>
      </c>
      <c r="G21" s="297"/>
      <c r="H21" s="298">
        <v>162.31</v>
      </c>
      <c r="I21" s="299"/>
      <c r="J21" s="295">
        <v>185.64</v>
      </c>
      <c r="K21" s="297"/>
      <c r="L21" s="298">
        <v>37.55</v>
      </c>
      <c r="M21" s="299"/>
      <c r="N21" s="295">
        <v>178.62</v>
      </c>
      <c r="O21" s="297"/>
      <c r="P21" s="298">
        <v>294.44</v>
      </c>
      <c r="Q21" s="299"/>
      <c r="R21" s="167">
        <f t="shared" si="0"/>
        <v>839.76</v>
      </c>
      <c r="S21" s="167">
        <f>D21+H21+L21+P21</f>
        <v>494.3</v>
      </c>
      <c r="T21" s="167"/>
      <c r="U21" s="167"/>
    </row>
    <row r="22" spans="1:21" ht="15.75" thickBot="1">
      <c r="A22" s="142"/>
      <c r="B22" s="87"/>
      <c r="C22" s="27"/>
      <c r="D22" s="28"/>
      <c r="E22" s="29"/>
      <c r="F22" s="27"/>
      <c r="G22" s="29"/>
      <c r="H22" s="30"/>
      <c r="I22" s="31"/>
      <c r="J22" s="183"/>
      <c r="K22" s="29"/>
      <c r="L22" s="184"/>
      <c r="M22" s="31"/>
      <c r="N22" s="183"/>
      <c r="O22" s="29"/>
      <c r="P22" s="184"/>
      <c r="Q22" s="31"/>
      <c r="R22" s="167">
        <f>SUM(R9:R21)-R19-R21</f>
        <v>199802.52</v>
      </c>
      <c r="S22" s="167">
        <f>SUM(S9:S21)-S19-S21</f>
        <v>70980.35</v>
      </c>
      <c r="T22" s="167">
        <f>SUM(T9:T21)-T19-T21</f>
        <v>173632.81</v>
      </c>
      <c r="U22" s="16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S4" sqref="S4"/>
    </sheetView>
  </sheetViews>
  <sheetFormatPr defaultColWidth="9.140625" defaultRowHeight="15"/>
  <cols>
    <col min="1" max="1" width="35.140625" style="32" customWidth="1"/>
    <col min="2" max="2" width="9.140625" style="32" hidden="1" customWidth="1"/>
    <col min="3" max="5" width="10.140625" style="33" hidden="1" customWidth="1"/>
    <col min="6" max="8" width="10.140625" style="32" hidden="1" customWidth="1"/>
    <col min="9" max="9" width="10.140625" style="33" hidden="1" customWidth="1"/>
    <col min="10" max="12" width="10.140625" style="32" hidden="1" customWidth="1"/>
    <col min="13" max="13" width="10.140625" style="33" hidden="1" customWidth="1"/>
    <col min="14" max="16" width="10.140625" style="32" hidden="1" customWidth="1"/>
    <col min="17" max="17" width="10.140625" style="33" hidden="1" customWidth="1"/>
    <col min="18" max="19" width="16.00390625" style="34" customWidth="1"/>
    <col min="20" max="20" width="16.00390625" style="33" customWidth="1"/>
    <col min="21" max="21" width="26.140625" style="34" customWidth="1"/>
    <col min="22" max="23" width="9.140625" style="32" customWidth="1"/>
    <col min="24" max="24" width="9.140625" style="1" customWidth="1"/>
  </cols>
  <sheetData>
    <row r="1" ht="15">
      <c r="A1" s="32" t="s">
        <v>115</v>
      </c>
    </row>
    <row r="3" ht="15">
      <c r="A3" s="32" t="s">
        <v>128</v>
      </c>
    </row>
    <row r="4" ht="15">
      <c r="A4" s="32" t="s">
        <v>116</v>
      </c>
    </row>
    <row r="5" spans="2:3" ht="15">
      <c r="B5" s="32">
        <v>858.97</v>
      </c>
      <c r="C5" s="33">
        <f>C8/B8</f>
        <v>458.11651728553136</v>
      </c>
    </row>
    <row r="6" ht="15.75" thickBot="1"/>
    <row r="7" spans="1:24" s="9" customFormat="1" ht="37.5" customHeight="1" thickBot="1">
      <c r="A7" s="37" t="s">
        <v>87</v>
      </c>
      <c r="B7" s="112" t="s">
        <v>140</v>
      </c>
      <c r="C7" s="38" t="s">
        <v>88</v>
      </c>
      <c r="D7" s="39" t="s">
        <v>89</v>
      </c>
      <c r="E7" s="40" t="s">
        <v>112</v>
      </c>
      <c r="F7" s="38" t="s">
        <v>90</v>
      </c>
      <c r="G7" s="40"/>
      <c r="H7" s="41" t="s">
        <v>91</v>
      </c>
      <c r="I7" s="42" t="s">
        <v>111</v>
      </c>
      <c r="J7" s="38" t="s">
        <v>92</v>
      </c>
      <c r="K7" s="40"/>
      <c r="L7" s="41" t="s">
        <v>93</v>
      </c>
      <c r="M7" s="42" t="s">
        <v>113</v>
      </c>
      <c r="N7" s="38" t="s">
        <v>94</v>
      </c>
      <c r="O7" s="40"/>
      <c r="P7" s="41" t="s">
        <v>95</v>
      </c>
      <c r="Q7" s="42" t="s">
        <v>114</v>
      </c>
      <c r="R7" s="37" t="s">
        <v>159</v>
      </c>
      <c r="S7" s="251" t="s">
        <v>137</v>
      </c>
      <c r="T7" s="251" t="s">
        <v>138</v>
      </c>
      <c r="U7" s="251"/>
      <c r="V7" s="43"/>
      <c r="W7" s="43"/>
      <c r="X7" s="152"/>
    </row>
    <row r="8" spans="1:21" ht="15">
      <c r="A8" s="80" t="s">
        <v>139</v>
      </c>
      <c r="B8" s="116">
        <v>15.62</v>
      </c>
      <c r="C8" s="59">
        <v>7155.78</v>
      </c>
      <c r="D8" s="60">
        <v>0</v>
      </c>
      <c r="E8" s="61"/>
      <c r="F8" s="59">
        <v>13417.11</v>
      </c>
      <c r="G8" s="120">
        <v>1</v>
      </c>
      <c r="H8" s="62">
        <v>6159.52</v>
      </c>
      <c r="I8" s="63"/>
      <c r="J8" s="59">
        <v>13417.11</v>
      </c>
      <c r="K8" s="120">
        <v>1</v>
      </c>
      <c r="L8" s="62">
        <v>9932.89</v>
      </c>
      <c r="M8" s="63"/>
      <c r="N8" s="59">
        <v>13417.11</v>
      </c>
      <c r="O8" s="120">
        <v>1</v>
      </c>
      <c r="P8" s="62">
        <v>16963.74</v>
      </c>
      <c r="Q8" s="63"/>
      <c r="R8" s="102">
        <f aca="true" t="shared" si="0" ref="R8:R21">C8+F8+J8+N8</f>
        <v>47407.11</v>
      </c>
      <c r="S8" s="102">
        <f aca="true" t="shared" si="1" ref="S8:S17">D8+H8+L8+P8</f>
        <v>33056.15</v>
      </c>
      <c r="T8" s="102">
        <f>SUM(T9:T13)</f>
        <v>40820.979999999996</v>
      </c>
      <c r="U8" s="102"/>
    </row>
    <row r="9" spans="1:24" s="11" customFormat="1" ht="15">
      <c r="A9" s="49" t="s">
        <v>105</v>
      </c>
      <c r="B9" s="117">
        <v>4.77</v>
      </c>
      <c r="C9" s="44">
        <f>B9*C5</f>
        <v>2185.2157874519844</v>
      </c>
      <c r="D9" s="45"/>
      <c r="E9" s="46"/>
      <c r="F9" s="44">
        <f>B9*B5</f>
        <v>4097.2869</v>
      </c>
      <c r="G9" s="121">
        <f>F9/F8</f>
        <v>0.305377752735127</v>
      </c>
      <c r="H9" s="47">
        <f>G9*H8</f>
        <v>1880.9803755270698</v>
      </c>
      <c r="I9" s="48"/>
      <c r="J9" s="44">
        <v>4097.2869</v>
      </c>
      <c r="K9" s="121">
        <f>J9/J8</f>
        <v>0.305377752735127</v>
      </c>
      <c r="L9" s="47">
        <f>K9*L8</f>
        <v>3033.2836263652157</v>
      </c>
      <c r="M9" s="48"/>
      <c r="N9" s="44">
        <v>4097.2869</v>
      </c>
      <c r="O9" s="121">
        <f>N9/N8</f>
        <v>0.305377752735127</v>
      </c>
      <c r="P9" s="47">
        <f>O9*P8</f>
        <v>5180.348799182984</v>
      </c>
      <c r="Q9" s="48"/>
      <c r="R9" s="103">
        <f t="shared" si="0"/>
        <v>14477.076487451985</v>
      </c>
      <c r="S9" s="103">
        <f t="shared" si="1"/>
        <v>10094.612801075269</v>
      </c>
      <c r="T9" s="103">
        <v>20414.3</v>
      </c>
      <c r="U9" s="266" t="s">
        <v>156</v>
      </c>
      <c r="V9" s="50"/>
      <c r="W9" s="50"/>
      <c r="X9" s="153"/>
    </row>
    <row r="10" spans="1:24" s="11" customFormat="1" ht="23.25">
      <c r="A10" s="51" t="s">
        <v>146</v>
      </c>
      <c r="B10" s="118">
        <v>3.2</v>
      </c>
      <c r="C10" s="44">
        <f>B10*C5</f>
        <v>1465.9728553137004</v>
      </c>
      <c r="D10" s="45"/>
      <c r="E10" s="46"/>
      <c r="F10" s="44">
        <f>B10*B5</f>
        <v>2748.704</v>
      </c>
      <c r="G10" s="121">
        <f>F10/F8</f>
        <v>0.20486557835480218</v>
      </c>
      <c r="H10" s="47">
        <f>G10*H8</f>
        <v>1261.8736271879711</v>
      </c>
      <c r="I10" s="48"/>
      <c r="J10" s="44">
        <v>2748.704</v>
      </c>
      <c r="K10" s="121">
        <f>J10/J8</f>
        <v>0.20486557835480218</v>
      </c>
      <c r="L10" s="47">
        <f>K10*L8</f>
        <v>2034.907254584631</v>
      </c>
      <c r="M10" s="48"/>
      <c r="N10" s="44">
        <v>2748.704</v>
      </c>
      <c r="O10" s="121">
        <f>N10/N8</f>
        <v>0.20486557835480218</v>
      </c>
      <c r="P10" s="47">
        <f>O10*P8</f>
        <v>3475.2864061604923</v>
      </c>
      <c r="Q10" s="48"/>
      <c r="R10" s="103">
        <f t="shared" si="0"/>
        <v>9712.0848553137</v>
      </c>
      <c r="S10" s="103">
        <f t="shared" si="1"/>
        <v>6772.067287933094</v>
      </c>
      <c r="T10" s="103">
        <f>12670.66*60%</f>
        <v>7602.396</v>
      </c>
      <c r="U10" s="266" t="s">
        <v>156</v>
      </c>
      <c r="V10" s="50"/>
      <c r="W10" s="50"/>
      <c r="X10" s="153"/>
    </row>
    <row r="11" spans="1:24" s="11" customFormat="1" ht="15">
      <c r="A11" s="51" t="s">
        <v>107</v>
      </c>
      <c r="B11" s="118">
        <v>1.83</v>
      </c>
      <c r="C11" s="44">
        <f>B11*C5</f>
        <v>838.3532266325224</v>
      </c>
      <c r="D11" s="45"/>
      <c r="E11" s="46"/>
      <c r="F11" s="44">
        <f>B11*B5</f>
        <v>1571.9151000000002</v>
      </c>
      <c r="G11" s="121">
        <f>F11/F8</f>
        <v>0.1171575026216525</v>
      </c>
      <c r="H11" s="47">
        <f>G11*H8</f>
        <v>721.633980548121</v>
      </c>
      <c r="I11" s="48"/>
      <c r="J11" s="44">
        <v>1571.9151000000002</v>
      </c>
      <c r="K11" s="121">
        <f>J11/J8</f>
        <v>0.1171575026216525</v>
      </c>
      <c r="L11" s="47">
        <f>K11*L8</f>
        <v>1163.7125862155858</v>
      </c>
      <c r="M11" s="48"/>
      <c r="N11" s="44">
        <v>1571.9151000000002</v>
      </c>
      <c r="O11" s="121">
        <f>N11/N8</f>
        <v>0.1171575026216525</v>
      </c>
      <c r="P11" s="47">
        <f>O11*P8</f>
        <v>1987.4294135230316</v>
      </c>
      <c r="Q11" s="48"/>
      <c r="R11" s="103">
        <f t="shared" si="0"/>
        <v>5554.098526632522</v>
      </c>
      <c r="S11" s="103">
        <f t="shared" si="1"/>
        <v>3872.7759802867386</v>
      </c>
      <c r="T11" s="103">
        <f>12670.66-T10</f>
        <v>5068.264</v>
      </c>
      <c r="U11" s="266" t="s">
        <v>156</v>
      </c>
      <c r="V11" s="50"/>
      <c r="W11" s="50"/>
      <c r="X11" s="153"/>
    </row>
    <row r="12" spans="1:24" s="11" customFormat="1" ht="15">
      <c r="A12" s="51" t="s">
        <v>108</v>
      </c>
      <c r="B12" s="118" t="s">
        <v>145</v>
      </c>
      <c r="C12" s="44">
        <f>B12*C5</f>
        <v>1094.89847631242</v>
      </c>
      <c r="D12" s="45"/>
      <c r="E12" s="46"/>
      <c r="F12" s="44">
        <f>B12*B5</f>
        <v>2052.9383000000003</v>
      </c>
      <c r="G12" s="121">
        <f>F12/F8</f>
        <v>0.1530089788337429</v>
      </c>
      <c r="H12" s="47">
        <f>G12*H8</f>
        <v>942.4618653060161</v>
      </c>
      <c r="I12" s="48"/>
      <c r="J12" s="44">
        <v>2052.9383000000003</v>
      </c>
      <c r="K12" s="121">
        <f>J12/J8</f>
        <v>0.1530089788337429</v>
      </c>
      <c r="L12" s="47">
        <f>K12*L8</f>
        <v>1519.8213557678964</v>
      </c>
      <c r="M12" s="48"/>
      <c r="N12" s="44">
        <v>2052.9383000000003</v>
      </c>
      <c r="O12" s="121">
        <f>N12/N8</f>
        <v>0.1530089788337429</v>
      </c>
      <c r="P12" s="47">
        <f>O12*P8</f>
        <v>2595.604534601118</v>
      </c>
      <c r="Q12" s="48"/>
      <c r="R12" s="103">
        <f t="shared" si="0"/>
        <v>7253.71337631242</v>
      </c>
      <c r="S12" s="103">
        <f t="shared" si="1"/>
        <v>5057.88775567503</v>
      </c>
      <c r="T12" s="103">
        <v>7736.02</v>
      </c>
      <c r="U12" s="266" t="s">
        <v>154</v>
      </c>
      <c r="V12" s="50"/>
      <c r="W12" s="50"/>
      <c r="X12" s="153"/>
    </row>
    <row r="13" spans="1:24" s="11" customFormat="1" ht="15.75" thickBot="1">
      <c r="A13" s="66" t="s">
        <v>110</v>
      </c>
      <c r="B13" s="119">
        <f>1.82+1.61</f>
        <v>3.43</v>
      </c>
      <c r="C13" s="67">
        <f>B13*C5</f>
        <v>1571.3396542893727</v>
      </c>
      <c r="D13" s="68"/>
      <c r="E13" s="69"/>
      <c r="F13" s="67">
        <f>B13*B5</f>
        <v>2946.2671</v>
      </c>
      <c r="G13" s="122">
        <f>F13/F8</f>
        <v>0.2195902917990536</v>
      </c>
      <c r="H13" s="70">
        <f>G13*H8</f>
        <v>1352.5707941421067</v>
      </c>
      <c r="I13" s="71"/>
      <c r="J13" s="67">
        <v>2946.2671</v>
      </c>
      <c r="K13" s="122">
        <f>J13/J8</f>
        <v>0.2195902917990536</v>
      </c>
      <c r="L13" s="70">
        <f>K13*L8</f>
        <v>2181.1662135079014</v>
      </c>
      <c r="M13" s="71"/>
      <c r="N13" s="67">
        <v>2946.2671</v>
      </c>
      <c r="O13" s="122">
        <f>N13/N8</f>
        <v>0.2195902917990536</v>
      </c>
      <c r="P13" s="70">
        <f>O13*P8</f>
        <v>3725.0726166032778</v>
      </c>
      <c r="Q13" s="71"/>
      <c r="R13" s="104">
        <f t="shared" si="0"/>
        <v>10410.140954289373</v>
      </c>
      <c r="S13" s="104">
        <f t="shared" si="1"/>
        <v>7258.8096242532865</v>
      </c>
      <c r="T13" s="104">
        <v>0</v>
      </c>
      <c r="U13" s="106"/>
      <c r="V13" s="50"/>
      <c r="W13" s="50"/>
      <c r="X13" s="153"/>
    </row>
    <row r="14" spans="1:21" ht="15.75" thickBot="1">
      <c r="A14" s="72" t="s">
        <v>96</v>
      </c>
      <c r="B14" s="113"/>
      <c r="C14" s="73">
        <v>99.39</v>
      </c>
      <c r="D14" s="74">
        <v>0</v>
      </c>
      <c r="E14" s="75"/>
      <c r="F14" s="73">
        <v>99.39</v>
      </c>
      <c r="G14" s="75"/>
      <c r="H14" s="76">
        <v>77.63</v>
      </c>
      <c r="I14" s="77"/>
      <c r="J14" s="73">
        <v>70.66</v>
      </c>
      <c r="K14" s="75"/>
      <c r="L14" s="76">
        <v>45.04</v>
      </c>
      <c r="M14" s="77"/>
      <c r="N14" s="73">
        <v>70.66</v>
      </c>
      <c r="O14" s="75"/>
      <c r="P14" s="76">
        <v>146.77</v>
      </c>
      <c r="Q14" s="77"/>
      <c r="R14" s="105">
        <f t="shared" si="0"/>
        <v>340.1</v>
      </c>
      <c r="S14" s="105">
        <f t="shared" si="1"/>
        <v>269.44</v>
      </c>
      <c r="T14" s="105">
        <v>0</v>
      </c>
      <c r="U14" s="105"/>
    </row>
    <row r="15" spans="1:21" ht="15">
      <c r="A15" s="80" t="s">
        <v>97</v>
      </c>
      <c r="B15" s="114"/>
      <c r="C15" s="59">
        <v>0</v>
      </c>
      <c r="D15" s="60">
        <v>0</v>
      </c>
      <c r="E15" s="61"/>
      <c r="F15" s="59">
        <v>0</v>
      </c>
      <c r="G15" s="61"/>
      <c r="H15" s="62">
        <v>0</v>
      </c>
      <c r="I15" s="63"/>
      <c r="J15" s="59">
        <v>1724.57</v>
      </c>
      <c r="K15" s="61"/>
      <c r="L15" s="62">
        <v>617.28</v>
      </c>
      <c r="M15" s="63"/>
      <c r="N15" s="59">
        <v>4603.54</v>
      </c>
      <c r="O15" s="61"/>
      <c r="P15" s="62">
        <v>909.95</v>
      </c>
      <c r="Q15" s="63"/>
      <c r="R15" s="102">
        <f t="shared" si="0"/>
        <v>6328.11</v>
      </c>
      <c r="S15" s="102">
        <f t="shared" si="1"/>
        <v>1527.23</v>
      </c>
      <c r="T15" s="102">
        <v>8379.39</v>
      </c>
      <c r="U15" s="267" t="s">
        <v>155</v>
      </c>
    </row>
    <row r="16" spans="1:21" ht="15.75" thickBot="1">
      <c r="A16" s="81" t="s">
        <v>98</v>
      </c>
      <c r="B16" s="115"/>
      <c r="C16" s="67">
        <v>0</v>
      </c>
      <c r="D16" s="68">
        <v>0</v>
      </c>
      <c r="E16" s="69"/>
      <c r="F16" s="67">
        <v>0</v>
      </c>
      <c r="G16" s="69"/>
      <c r="H16" s="70">
        <v>0</v>
      </c>
      <c r="I16" s="71"/>
      <c r="J16" s="67">
        <v>4217.35</v>
      </c>
      <c r="K16" s="69"/>
      <c r="L16" s="70">
        <v>1509.44</v>
      </c>
      <c r="M16" s="71"/>
      <c r="N16" s="67">
        <v>11412.5</v>
      </c>
      <c r="O16" s="69"/>
      <c r="P16" s="70">
        <v>2225.27</v>
      </c>
      <c r="Q16" s="71"/>
      <c r="R16" s="106">
        <f t="shared" si="0"/>
        <v>15629.85</v>
      </c>
      <c r="S16" s="106">
        <f t="shared" si="1"/>
        <v>3734.71</v>
      </c>
      <c r="T16" s="106">
        <v>20636.63</v>
      </c>
      <c r="U16" s="106" t="s">
        <v>155</v>
      </c>
    </row>
    <row r="17" spans="1:21" ht="15.75" thickBot="1">
      <c r="A17" s="72" t="s">
        <v>6</v>
      </c>
      <c r="B17" s="113"/>
      <c r="C17" s="73">
        <v>0</v>
      </c>
      <c r="D17" s="74">
        <v>0</v>
      </c>
      <c r="E17" s="75"/>
      <c r="F17" s="73">
        <v>0</v>
      </c>
      <c r="G17" s="75"/>
      <c r="H17" s="76">
        <v>0</v>
      </c>
      <c r="I17" s="77"/>
      <c r="J17" s="73">
        <v>30051.26</v>
      </c>
      <c r="K17" s="75"/>
      <c r="L17" s="76">
        <v>10529.61</v>
      </c>
      <c r="M17" s="77"/>
      <c r="N17" s="73">
        <v>71121.32</v>
      </c>
      <c r="O17" s="75"/>
      <c r="P17" s="76">
        <v>19018.65</v>
      </c>
      <c r="Q17" s="77"/>
      <c r="R17" s="105">
        <f t="shared" si="0"/>
        <v>101172.58</v>
      </c>
      <c r="S17" s="105">
        <f t="shared" si="1"/>
        <v>29548.260000000002</v>
      </c>
      <c r="T17" s="105">
        <v>69894.48</v>
      </c>
      <c r="U17" s="102" t="s">
        <v>155</v>
      </c>
    </row>
    <row r="18" spans="1:21" ht="15.75" thickBot="1">
      <c r="A18" s="80" t="s">
        <v>99</v>
      </c>
      <c r="B18" s="113"/>
      <c r="C18" s="59">
        <v>456.96</v>
      </c>
      <c r="D18" s="60">
        <v>0</v>
      </c>
      <c r="E18" s="61"/>
      <c r="F18" s="59">
        <v>456.96</v>
      </c>
      <c r="G18" s="61"/>
      <c r="H18" s="62">
        <v>314.61</v>
      </c>
      <c r="I18" s="63"/>
      <c r="J18" s="59">
        <v>424.32</v>
      </c>
      <c r="K18" s="61"/>
      <c r="L18" s="62">
        <v>412.38</v>
      </c>
      <c r="M18" s="63"/>
      <c r="N18" s="59">
        <v>1071.21</v>
      </c>
      <c r="O18" s="61"/>
      <c r="P18" s="62">
        <v>632.75</v>
      </c>
      <c r="Q18" s="63"/>
      <c r="R18" s="102">
        <f>C18+F18+J18+N18+R19</f>
        <v>3630.24</v>
      </c>
      <c r="S18" s="102">
        <f>D18+H18+L18+P18+S19</f>
        <v>2104.7</v>
      </c>
      <c r="T18" s="102">
        <f>R18</f>
        <v>3630.24</v>
      </c>
      <c r="U18" s="105" t="s">
        <v>157</v>
      </c>
    </row>
    <row r="19" spans="1:21" ht="15.75" hidden="1" thickBot="1">
      <c r="A19" s="81" t="s">
        <v>101</v>
      </c>
      <c r="B19" s="113"/>
      <c r="C19" s="67">
        <v>372.01</v>
      </c>
      <c r="D19" s="68">
        <v>0</v>
      </c>
      <c r="E19" s="69"/>
      <c r="F19" s="67">
        <v>344.3</v>
      </c>
      <c r="G19" s="69"/>
      <c r="H19" s="70">
        <v>143.87</v>
      </c>
      <c r="I19" s="71"/>
      <c r="J19" s="67">
        <v>348.41</v>
      </c>
      <c r="K19" s="69"/>
      <c r="L19" s="70">
        <v>281.94</v>
      </c>
      <c r="M19" s="71"/>
      <c r="N19" s="67">
        <v>156.07</v>
      </c>
      <c r="O19" s="69"/>
      <c r="P19" s="70">
        <v>319.15</v>
      </c>
      <c r="Q19" s="71"/>
      <c r="R19" s="106">
        <f t="shared" si="0"/>
        <v>1220.79</v>
      </c>
      <c r="S19" s="106">
        <f>D19+H19+L19+P19</f>
        <v>744.96</v>
      </c>
      <c r="T19" s="106"/>
      <c r="U19" s="106"/>
    </row>
    <row r="20" spans="1:21" ht="15.75" thickBot="1">
      <c r="A20" s="72" t="s">
        <v>100</v>
      </c>
      <c r="B20" s="249"/>
      <c r="C20" s="73">
        <v>878.22</v>
      </c>
      <c r="D20" s="74">
        <v>0</v>
      </c>
      <c r="E20" s="75"/>
      <c r="F20" s="73">
        <v>878.22</v>
      </c>
      <c r="G20" s="75"/>
      <c r="H20" s="76">
        <v>604.65</v>
      </c>
      <c r="I20" s="77"/>
      <c r="J20" s="73">
        <v>815.49</v>
      </c>
      <c r="K20" s="75"/>
      <c r="L20" s="76">
        <v>792.55</v>
      </c>
      <c r="M20" s="77"/>
      <c r="N20" s="73">
        <v>2610.29</v>
      </c>
      <c r="O20" s="75"/>
      <c r="P20" s="76">
        <v>1216.06</v>
      </c>
      <c r="Q20" s="77"/>
      <c r="R20" s="105">
        <f>C20+F20+J20+N20+R21</f>
        <v>8102.42</v>
      </c>
      <c r="S20" s="105">
        <f>D20+H20+L20+P20+S21</f>
        <v>4236.3099999999995</v>
      </c>
      <c r="T20" s="105">
        <f>R20</f>
        <v>8102.42</v>
      </c>
      <c r="U20" s="105" t="s">
        <v>157</v>
      </c>
    </row>
    <row r="21" spans="1:21" ht="15.75" hidden="1" thickBot="1">
      <c r="A21" s="284" t="s">
        <v>102</v>
      </c>
      <c r="B21" s="127"/>
      <c r="C21" s="277">
        <v>707.14</v>
      </c>
      <c r="D21" s="278">
        <v>0</v>
      </c>
      <c r="E21" s="279"/>
      <c r="F21" s="277">
        <v>876.93</v>
      </c>
      <c r="G21" s="279"/>
      <c r="H21" s="280">
        <v>346.27</v>
      </c>
      <c r="I21" s="281"/>
      <c r="J21" s="277">
        <v>646.92</v>
      </c>
      <c r="K21" s="279"/>
      <c r="L21" s="280">
        <v>576.03</v>
      </c>
      <c r="M21" s="281"/>
      <c r="N21" s="277">
        <v>689.21</v>
      </c>
      <c r="O21" s="279"/>
      <c r="P21" s="280">
        <v>700.75</v>
      </c>
      <c r="Q21" s="281"/>
      <c r="R21" s="134">
        <f t="shared" si="0"/>
        <v>2920.2</v>
      </c>
      <c r="S21" s="134">
        <f>D21+H21+L21+P21</f>
        <v>1623.05</v>
      </c>
      <c r="T21" s="134"/>
      <c r="U21" s="134"/>
    </row>
    <row r="22" spans="1:21" ht="15.75" thickBot="1">
      <c r="A22" s="84"/>
      <c r="B22" s="87"/>
      <c r="C22" s="54"/>
      <c r="D22" s="55"/>
      <c r="E22" s="56"/>
      <c r="F22" s="54"/>
      <c r="G22" s="56"/>
      <c r="H22" s="57"/>
      <c r="I22" s="58"/>
      <c r="J22" s="54"/>
      <c r="K22" s="56"/>
      <c r="L22" s="57"/>
      <c r="M22" s="58"/>
      <c r="N22" s="54"/>
      <c r="O22" s="56"/>
      <c r="P22" s="57"/>
      <c r="Q22" s="58"/>
      <c r="R22" s="134">
        <f>SUM(R9:R21)-R19-R21</f>
        <v>182610.41420000003</v>
      </c>
      <c r="S22" s="134">
        <f>SUM(S9:S21)-S19-S21</f>
        <v>74476.80344922341</v>
      </c>
      <c r="T22" s="134">
        <f>SUM(T9:T21)-T19-T21</f>
        <v>151464.13999999998</v>
      </c>
      <c r="U22" s="134"/>
    </row>
    <row r="23" ht="15">
      <c r="A23" s="5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</dc:creator>
  <cp:keywords/>
  <dc:description/>
  <cp:lastModifiedBy>BUCH</cp:lastModifiedBy>
  <cp:lastPrinted>2015-04-03T09:37:01Z</cp:lastPrinted>
  <dcterms:created xsi:type="dcterms:W3CDTF">2015-01-14T03:37:42Z</dcterms:created>
  <dcterms:modified xsi:type="dcterms:W3CDTF">2015-04-03T09:43:06Z</dcterms:modified>
  <cp:category/>
  <cp:version/>
  <cp:contentType/>
  <cp:contentStatus/>
</cp:coreProperties>
</file>