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троит д23" sheetId="1" r:id="rId1"/>
    <sheet name="Строит д9" sheetId="2" r:id="rId2"/>
    <sheet name="Новая д20" sheetId="3" r:id="rId3"/>
    <sheet name="Новая д19" sheetId="4" r:id="rId4"/>
    <sheet name="Санат д7" sheetId="5" r:id="rId5"/>
  </sheets>
  <definedNames/>
  <calcPr fullCalcOnLoad="1"/>
</workbook>
</file>

<file path=xl/sharedStrings.xml><?xml version="1.0" encoding="utf-8"?>
<sst xmlns="http://schemas.openxmlformats.org/spreadsheetml/2006/main" count="781" uniqueCount="144">
  <si>
    <t>Отчет МУП ГО Заречный "Единый город" о выполненных за отчетный период 2015 год работах (услугах) по договору управления МКД</t>
  </si>
  <si>
    <t>Дата составления отчета - 04 марта 2016 г</t>
  </si>
  <si>
    <r>
      <t xml:space="preserve">Адрес: </t>
    </r>
    <r>
      <rPr>
        <b/>
        <sz val="11"/>
        <color indexed="8"/>
        <rFont val="Arial"/>
        <family val="2"/>
      </rPr>
      <t>г.Заречный, с.Мезенское, ул. Строителей дом 23</t>
    </r>
  </si>
  <si>
    <t>Договора на управление от 01.09.2014 года</t>
  </si>
  <si>
    <t>Период отчета с 01.01.2015 г по 31.12.2015 г.</t>
  </si>
  <si>
    <t>Общая площадь - 335,20 м2</t>
  </si>
  <si>
    <t>Количество квартир - 8</t>
  </si>
  <si>
    <t xml:space="preserve"> Вид жилищной услуги</t>
  </si>
  <si>
    <t>Авансовые платежи потребителей (на начало периода), руб</t>
  </si>
  <si>
    <t>Переходящие остатки денежных средств (на начало периода), руб</t>
  </si>
  <si>
    <t>Задолженность потребителей (на начало периода), руб</t>
  </si>
  <si>
    <t xml:space="preserve">Начислено за работы (услуги) за 2015 год, руб                           </t>
  </si>
  <si>
    <t>Получено денежных средств за 2015 год, в том числе</t>
  </si>
  <si>
    <t>РАСХОДЫ за 2015 год, руб</t>
  </si>
  <si>
    <t>Авансовые платежи потребителей (на конец периода), руб</t>
  </si>
  <si>
    <t>Переходящие остатки денежных средств (на конец периода), руб</t>
  </si>
  <si>
    <t>Задолженность потребителей (на конец периода), руб</t>
  </si>
  <si>
    <t>Процент собираемости, %</t>
  </si>
  <si>
    <t>денежных средств от собственников / нанимателей помещений, руб</t>
  </si>
  <si>
    <t>целевых взносов от собственников / нанимателей помещений, руб</t>
  </si>
  <si>
    <t>субсидий, руб</t>
  </si>
  <si>
    <t>денежных средств от использования общего имущества, руб</t>
  </si>
  <si>
    <t>прочие поступления, руб</t>
  </si>
  <si>
    <t>ВСЕГО денежных средств с учетом остатков, руб</t>
  </si>
  <si>
    <t>Содержание жилья, в том числе:</t>
  </si>
  <si>
    <t>- содержание земельного участка с элементами озеленения и благоустройства (придомовая территория), входящая в состав общего имущества</t>
  </si>
  <si>
    <t>- подготовка многоквартирного дома к сезонной эксплуатации</t>
  </si>
  <si>
    <t>- обслуживание и устранение незначительных неисправностей, проведение технических осмотров, услуги АДС</t>
  </si>
  <si>
    <t>- услуга вывоза и обезвреживания твердых бытовых отходов</t>
  </si>
  <si>
    <t>- услуга вывоза жидких бытовых отходов</t>
  </si>
  <si>
    <t>- управление многоквартирным домом</t>
  </si>
  <si>
    <t>- текущий ремонт общего имущества</t>
  </si>
  <si>
    <t>Итого за жилищные услуги:</t>
  </si>
  <si>
    <t xml:space="preserve"> Вид коммунальной услуги</t>
  </si>
  <si>
    <t>Единица измерения</t>
  </si>
  <si>
    <t>Общий объем потребления</t>
  </si>
  <si>
    <t xml:space="preserve">Начислено потребителям за 2015 год, руб                           </t>
  </si>
  <si>
    <t>Оплачено потребителями за 2015 год, руб</t>
  </si>
  <si>
    <t xml:space="preserve">Поставщик коммунальных услуг </t>
  </si>
  <si>
    <t>Начислено поставщиком (поставщиками) коммунального ресурса 2015 год, руб</t>
  </si>
  <si>
    <t>Оплачено поставщику (поставщикам) коммунального ресурса 2015 год, руб</t>
  </si>
  <si>
    <t>Задолженность перед поставщиком (поставщиками) коммунального ресурса 2015 год, руб</t>
  </si>
  <si>
    <t>Размер пени и штрафов, уплаченные поставщику (поставщикам) коммунального ресурса, руб</t>
  </si>
  <si>
    <t>Отопление</t>
  </si>
  <si>
    <t>Гкал</t>
  </si>
  <si>
    <t>МУП ГОЗ "Теплоцентраль"</t>
  </si>
  <si>
    <t>ХВС</t>
  </si>
  <si>
    <t>м3</t>
  </si>
  <si>
    <t>МУП ГОЗ "Теплоснабжение"</t>
  </si>
  <si>
    <t>Водоотведение</t>
  </si>
  <si>
    <t>Итого за коммунальные услуги:</t>
  </si>
  <si>
    <t>Перечень фактически выполненных работ и оказанных услуг</t>
  </si>
  <si>
    <t>Наименование работы (услуги), выполняемой в рамках указанного раздела работ (услуг) в отчетном периоде</t>
  </si>
  <si>
    <t>Стоимость за единицу измерения</t>
  </si>
  <si>
    <t>Годовая фактическая стоимость работ (услуг)</t>
  </si>
  <si>
    <t>Периодичность выполнения работ (оказания услуг)</t>
  </si>
  <si>
    <t>Поставщик услуг</t>
  </si>
  <si>
    <t>Примечание</t>
  </si>
  <si>
    <t>Фонд содержания общего имущества:</t>
  </si>
  <si>
    <t>Содержание земельного участка с элементами озеленения и благоустройства (придомовая территория), входящая в состав общего имущества, в том числе:</t>
  </si>
  <si>
    <t>МУП ГОЗ "Единый город"</t>
  </si>
  <si>
    <t>Подметание  территории с усовершенствованным и неусовершенствованным покрытием в летний и зимний период (ежедневно в рабочие дни); Сезонное выкашивание газонов (1 раз в год); Уборка мусора с газона в летний период (1 раз в двое суток в рабочие дни); Очистка урн (ежедневно в рабочие дни); Уборка площадки перед входом в подъезд (ежедневно в рабочие дни); Очистка участка территории после механизированной уборки в холодный период (по мере необходимости); Очистка территории от уплотненного снега и наледи (по мере необходимости); Посыпка территории песком (тротуар перед подъездом), с учетом доставки и стоимости песка (1 раз в сутки в дни гололеда); Вывоз мусора от дворников (смёт), крупногабаритный мусор с погрузкой (валка деревьев, кустарников, отдельных ветвей с вывозом, строительный мусор и т.д.) (по мере необходимости).</t>
  </si>
  <si>
    <t>- уборка мусора с газонов</t>
  </si>
  <si>
    <t>усл</t>
  </si>
  <si>
    <t>1 раз в двое суток в рабочие дни</t>
  </si>
  <si>
    <t>- уборка крупногабаритного мусора (погрузка, вывоз)</t>
  </si>
  <si>
    <t>по мере необходимости</t>
  </si>
  <si>
    <t>- сезонное выкашивание газонов</t>
  </si>
  <si>
    <t>1 раз в год</t>
  </si>
  <si>
    <t>- очистка территории от уплотненного снега и наледи</t>
  </si>
  <si>
    <t>- посыпка песком тротуаров</t>
  </si>
  <si>
    <t>1 раз в сутки в дни гололеда</t>
  </si>
  <si>
    <t>Подготовка многоквартирного дома к сезонной эксплуатации, в том числе:</t>
  </si>
  <si>
    <t>Техническое обслуживание внутридомовых систем водоснабжения, теплоснабжения и канализации (1 раз в год); Подготовка объектов внешнего благоустройства к сезонной эксплуатации (1 раз в год); Ремонт и укрепление входных дверей в помещениях общего пользования (не более 5 % от общего количества) (1 раз в год, по мере необходимости)</t>
  </si>
  <si>
    <t>- подключение отопления, спуск воздуха, осмотр</t>
  </si>
  <si>
    <t>- техническое обслуживание систем отопления, ХВС и канализации</t>
  </si>
  <si>
    <t>- составление паспорта готовности МКД к зиме</t>
  </si>
  <si>
    <t>Обслуживание и устранение незначительных неисправностей, проведение технических осмотров, услуги АДС, в том числе:</t>
  </si>
  <si>
    <t>Устранение незначительных неисправностей (по мере необходимости); Проведение технических осмотров на внутриквартирных и внутридомовых системах водоснабжения, теплоснабжения и канализации, с целью контроля работы оборудования, правильности эксплуатации помещения, предупредительного ремонта, консультации собственников по правильному пользованию внутридомовым оборудованием (1 раз в год); Аварийно-диспетчерское обслуживание (ежедневно)</t>
  </si>
  <si>
    <t>- аварийно-диспетчерское обслуживание</t>
  </si>
  <si>
    <t>- прочистка (промывка) канализации</t>
  </si>
  <si>
    <t>- устранение неисправностей в системах отопления, ХВС и канализации</t>
  </si>
  <si>
    <t xml:space="preserve">Вывоз, размещение и обезвреживание мусора </t>
  </si>
  <si>
    <t>2 раза в неделю</t>
  </si>
  <si>
    <t>ИП Калабурдин, ИП Костенко</t>
  </si>
  <si>
    <t>Вывоз жидких бытовых отходов</t>
  </si>
  <si>
    <t>ежедневно</t>
  </si>
  <si>
    <t>ООО "Регион-Спектр", ОАО "Акватех"</t>
  </si>
  <si>
    <t>Вывоз жидких бытовых отходов и размещение на очистных ОАО "Акватех"</t>
  </si>
  <si>
    <t>Управление многоквартирным домом</t>
  </si>
  <si>
    <t>Текущий ремонт общего имущества, в том числе:</t>
  </si>
  <si>
    <t>- установка общедомового узла учета</t>
  </si>
  <si>
    <t>июль 2015</t>
  </si>
  <si>
    <t>- ремонт систем отопления, ХВС</t>
  </si>
  <si>
    <t>Информация о наличии претензий по качеству выполненных работ (оказанных услуг)</t>
  </si>
  <si>
    <t>Жилищные</t>
  </si>
  <si>
    <t>Коммунальные</t>
  </si>
  <si>
    <t>Дополнительная информация:</t>
  </si>
  <si>
    <t>Количество поступивших претензий</t>
  </si>
  <si>
    <t>ед</t>
  </si>
  <si>
    <t xml:space="preserve">1) Договоры об использовании общего имущества собственников помещений, от имени собственников помещений в МКД не заключались. </t>
  </si>
  <si>
    <t>Количество удовлетворенных претензий</t>
  </si>
  <si>
    <t>2) Взысканий, штрафах, и иных санкциях к МУП ГО Заречный "Единый город" со стороны органов государственного жилищного контроля и надзора, а также судебных исках, в которых истцом или ответчиком выступает МУП ГО Заречный "Единый город" не было.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</si>
  <si>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</si>
  <si>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</si>
  <si>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</si>
  <si>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</si>
  <si>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</si>
  <si>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</si>
  <si>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</si>
  <si>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И.о. директора ___________________</t>
  </si>
  <si>
    <t>Изгагин О.М.</t>
  </si>
  <si>
    <r>
      <t xml:space="preserve">Адрес: </t>
    </r>
    <r>
      <rPr>
        <b/>
        <sz val="11"/>
        <color indexed="8"/>
        <rFont val="Arial"/>
        <family val="2"/>
      </rPr>
      <t>г.Заречный, с.Мезенское, ул. Строителей дом 9</t>
    </r>
  </si>
  <si>
    <t>Договора на управление от 17.09.2014 года</t>
  </si>
  <si>
    <t>Общая площадь - 474,40 м2</t>
  </si>
  <si>
    <t>Количество квартир - 12</t>
  </si>
  <si>
    <t>Найм жилья</t>
  </si>
  <si>
    <t>- откачка стоков с придомовой территории</t>
  </si>
  <si>
    <r>
      <t xml:space="preserve">Адрес: </t>
    </r>
    <r>
      <rPr>
        <b/>
        <sz val="11"/>
        <color indexed="8"/>
        <rFont val="Arial"/>
        <family val="2"/>
      </rPr>
      <t>г.Заречный, с.Мезенское, ул. Новая дом 20</t>
    </r>
  </si>
  <si>
    <t>Общая площадь - 1301,00 м2</t>
  </si>
  <si>
    <t>Количество квартир - 27</t>
  </si>
  <si>
    <t>- устранение протечек кровли</t>
  </si>
  <si>
    <t>- устранение протечек в системах отопления, ХВС и канализации</t>
  </si>
  <si>
    <t>июнь 2015</t>
  </si>
  <si>
    <t>- ремонт канализации в подвале</t>
  </si>
  <si>
    <t>сентябрь 2015</t>
  </si>
  <si>
    <t>- ремонт подъездного освещения</t>
  </si>
  <si>
    <t>октябрь 2015</t>
  </si>
  <si>
    <t xml:space="preserve">3) Договоры об использовании общего имущества собственников помещений, от имени собственников помещений в МКД не заключались. </t>
  </si>
  <si>
    <t>4) Взысканий, штрафах, и иных санкциях к МУП ГО Заречный "Единый город" со стороны органов государственного жилищного контроля и надзора, а также судебных исках, в которых истцом или ответчиком выступает МУП ГО Заречный "Единый город" не было.</t>
  </si>
  <si>
    <r>
      <t xml:space="preserve">Адрес: </t>
    </r>
    <r>
      <rPr>
        <b/>
        <sz val="11"/>
        <color indexed="8"/>
        <rFont val="Arial"/>
        <family val="2"/>
      </rPr>
      <t>г.Заречный, с.Мезенское, ул. Новая дом 19</t>
    </r>
  </si>
  <si>
    <t>Договора на управление от 16.03.2015 года</t>
  </si>
  <si>
    <t>Общая площадь - 1288,40 м2</t>
  </si>
  <si>
    <t>Количество квартир - 26</t>
  </si>
  <si>
    <t>- очистка подвала от фекальных затоплений</t>
  </si>
  <si>
    <t>- ремонт премыканий подъездных козырьков</t>
  </si>
  <si>
    <t>август 2015</t>
  </si>
  <si>
    <r>
      <t xml:space="preserve">Адрес: </t>
    </r>
    <r>
      <rPr>
        <b/>
        <sz val="11"/>
        <color indexed="8"/>
        <rFont val="Arial"/>
        <family val="2"/>
      </rPr>
      <t>г.Заречный, с.Мезенское, ул. Санаторная дом 7</t>
    </r>
  </si>
  <si>
    <t>Общая площадь - 639,60 м2</t>
  </si>
  <si>
    <t>- техническое обслуживание систем ХВС и канализации</t>
  </si>
  <si>
    <t>- устранение неисправностей в системах ХВС и канализации</t>
  </si>
  <si>
    <t>- ремонт систем ХВС и канализации</t>
  </si>
  <si>
    <t>1) Случаев нарушения периодичности и качества предоставления коммунальных услуг, в том числе по вине МУП ГО Заречный "Единый город" не выявлено.</t>
  </si>
  <si>
    <t>2) Изменений перечня работ, услуг по надлежащему содержанию и ремонту общего имущества в многоквартирном доме, перечня работ (услуг) по управлению МКД в соответствии с порядком, установленным условиями договора управления не проводилось.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</si>
</sst>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  <numFmt numFmtId="166" formatCode="#\ ###\ ###\ ###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Arial"/>
      <family val="2"/>
    </font>
    <font>
      <sz val="10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Arial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left" vertical="center" wrapText="1"/>
    </xf>
    <xf numFmtId="164" fontId="51" fillId="0" borderId="12" xfId="0" applyNumberFormat="1" applyFont="1" applyFill="1" applyBorder="1" applyAlignment="1">
      <alignment horizontal="center" vertical="center"/>
    </xf>
    <xf numFmtId="164" fontId="51" fillId="0" borderId="13" xfId="0" applyNumberFormat="1" applyFont="1" applyFill="1" applyBorder="1" applyAlignment="1">
      <alignment horizontal="center" vertical="center"/>
    </xf>
    <xf numFmtId="165" fontId="51" fillId="0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center" wrapText="1"/>
    </xf>
    <xf numFmtId="164" fontId="50" fillId="0" borderId="15" xfId="0" applyNumberFormat="1" applyFont="1" applyFill="1" applyBorder="1" applyAlignment="1">
      <alignment horizontal="center" vertical="center"/>
    </xf>
    <xf numFmtId="164" fontId="50" fillId="0" borderId="16" xfId="0" applyNumberFormat="1" applyFont="1" applyFill="1" applyBorder="1" applyAlignment="1">
      <alignment horizontal="center" vertical="center"/>
    </xf>
    <xf numFmtId="164" fontId="50" fillId="0" borderId="17" xfId="0" applyNumberFormat="1" applyFont="1" applyFill="1" applyBorder="1" applyAlignment="1">
      <alignment horizontal="center" vertical="center"/>
    </xf>
    <xf numFmtId="165" fontId="50" fillId="0" borderId="1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1" fillId="0" borderId="18" xfId="0" applyNumberFormat="1" applyFont="1" applyFill="1" applyBorder="1" applyAlignment="1">
      <alignment horizontal="center" vertical="center"/>
    </xf>
    <xf numFmtId="164" fontId="51" fillId="0" borderId="19" xfId="0" applyNumberFormat="1" applyFont="1" applyFill="1" applyBorder="1" applyAlignment="1">
      <alignment horizontal="center" vertical="center"/>
    </xf>
    <xf numFmtId="165" fontId="51" fillId="0" borderId="18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49" fontId="50" fillId="0" borderId="23" xfId="0" applyNumberFormat="1" applyFont="1" applyFill="1" applyBorder="1" applyAlignment="1">
      <alignment horizontal="left" vertical="center"/>
    </xf>
    <xf numFmtId="49" fontId="50" fillId="0" borderId="24" xfId="0" applyNumberFormat="1" applyFont="1" applyFill="1" applyBorder="1" applyAlignment="1">
      <alignment horizontal="center" vertical="center"/>
    </xf>
    <xf numFmtId="4" fontId="50" fillId="0" borderId="16" xfId="0" applyNumberFormat="1" applyFont="1" applyFill="1" applyBorder="1" applyAlignment="1">
      <alignment horizontal="center" vertical="center"/>
    </xf>
    <xf numFmtId="164" fontId="52" fillId="0" borderId="16" xfId="0" applyNumberFormat="1" applyFont="1" applyFill="1" applyBorder="1" applyAlignment="1">
      <alignment horizontal="center" vertical="center" wrapText="1"/>
    </xf>
    <xf numFmtId="164" fontId="50" fillId="0" borderId="13" xfId="0" applyNumberFormat="1" applyFont="1" applyFill="1" applyBorder="1" applyAlignment="1">
      <alignment horizontal="center" vertical="center"/>
    </xf>
    <xf numFmtId="164" fontId="50" fillId="0" borderId="25" xfId="0" applyNumberFormat="1" applyFont="1" applyFill="1" applyBorder="1" applyAlignment="1">
      <alignment horizontal="center" vertical="center"/>
    </xf>
    <xf numFmtId="165" fontId="50" fillId="0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50" fillId="0" borderId="26" xfId="0" applyNumberFormat="1" applyFont="1" applyFill="1" applyBorder="1" applyAlignment="1">
      <alignment horizontal="left" vertical="center"/>
    </xf>
    <xf numFmtId="49" fontId="50" fillId="0" borderId="27" xfId="0" applyNumberFormat="1" applyFont="1" applyFill="1" applyBorder="1" applyAlignment="1">
      <alignment horizontal="center" vertical="center"/>
    </xf>
    <xf numFmtId="4" fontId="50" fillId="0" borderId="28" xfId="0" applyNumberFormat="1" applyFont="1" applyFill="1" applyBorder="1" applyAlignment="1">
      <alignment horizontal="center" vertical="center"/>
    </xf>
    <xf numFmtId="164" fontId="50" fillId="0" borderId="28" xfId="0" applyNumberFormat="1" applyFont="1" applyFill="1" applyBorder="1" applyAlignment="1">
      <alignment horizontal="center" vertical="center"/>
    </xf>
    <xf numFmtId="165" fontId="50" fillId="0" borderId="29" xfId="0" applyNumberFormat="1" applyFont="1" applyFill="1" applyBorder="1" applyAlignment="1">
      <alignment horizontal="center" vertical="center"/>
    </xf>
    <xf numFmtId="49" fontId="51" fillId="0" borderId="20" xfId="0" applyNumberFormat="1" applyFont="1" applyFill="1" applyBorder="1" applyAlignment="1">
      <alignment horizontal="center" vertical="center"/>
    </xf>
    <xf numFmtId="49" fontId="51" fillId="0" borderId="21" xfId="0" applyNumberFormat="1" applyFont="1" applyFill="1" applyBorder="1" applyAlignment="1">
      <alignment horizontal="center" vertical="center"/>
    </xf>
    <xf numFmtId="166" fontId="51" fillId="0" borderId="19" xfId="0" applyNumberFormat="1" applyFont="1" applyFill="1" applyBorder="1" applyAlignment="1">
      <alignment horizontal="center" vertical="center"/>
    </xf>
    <xf numFmtId="164" fontId="51" fillId="0" borderId="22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64" fontId="55" fillId="0" borderId="0" xfId="0" applyNumberFormat="1" applyFont="1" applyFill="1" applyAlignment="1">
      <alignment horizontal="center"/>
    </xf>
    <xf numFmtId="164" fontId="56" fillId="0" borderId="0" xfId="0" applyNumberFormat="1" applyFont="1" applyFill="1" applyAlignment="1">
      <alignment horizontal="center"/>
    </xf>
    <xf numFmtId="164" fontId="55" fillId="0" borderId="0" xfId="0" applyNumberFormat="1" applyFont="1" applyFill="1" applyAlignment="1">
      <alignment/>
    </xf>
    <xf numFmtId="0" fontId="58" fillId="0" borderId="0" xfId="0" applyFont="1" applyFill="1" applyAlignment="1">
      <alignment vertical="center"/>
    </xf>
    <xf numFmtId="164" fontId="51" fillId="0" borderId="0" xfId="0" applyNumberFormat="1" applyFont="1" applyFill="1" applyAlignment="1">
      <alignment horizontal="center"/>
    </xf>
    <xf numFmtId="0" fontId="55" fillId="0" borderId="0" xfId="0" applyFont="1" applyAlignment="1">
      <alignment/>
    </xf>
    <xf numFmtId="0" fontId="59" fillId="0" borderId="0" xfId="0" applyFont="1" applyAlignment="1">
      <alignment/>
    </xf>
    <xf numFmtId="0" fontId="54" fillId="0" borderId="1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164" fontId="51" fillId="0" borderId="16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164" fontId="60" fillId="0" borderId="16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/>
    </xf>
    <xf numFmtId="49" fontId="50" fillId="0" borderId="16" xfId="0" applyNumberFormat="1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6" fillId="0" borderId="16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50" fillId="0" borderId="17" xfId="0" applyFont="1" applyFill="1" applyBorder="1" applyAlignment="1">
      <alignment horizontal="center" vertical="center"/>
    </xf>
    <xf numFmtId="49" fontId="51" fillId="0" borderId="30" xfId="0" applyNumberFormat="1" applyFont="1" applyFill="1" applyBorder="1" applyAlignment="1">
      <alignment horizontal="left" vertical="center"/>
    </xf>
    <xf numFmtId="164" fontId="51" fillId="0" borderId="31" xfId="0" applyNumberFormat="1" applyFont="1" applyFill="1" applyBorder="1" applyAlignment="1">
      <alignment horizontal="center" vertical="center"/>
    </xf>
    <xf numFmtId="164" fontId="51" fillId="0" borderId="28" xfId="0" applyNumberFormat="1" applyFont="1" applyFill="1" applyBorder="1" applyAlignment="1">
      <alignment horizontal="center" vertical="center"/>
    </xf>
    <xf numFmtId="164" fontId="51" fillId="0" borderId="32" xfId="0" applyNumberFormat="1" applyFont="1" applyFill="1" applyBorder="1" applyAlignment="1">
      <alignment horizontal="center" vertical="center"/>
    </xf>
    <xf numFmtId="165" fontId="51" fillId="0" borderId="3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/>
    </xf>
    <xf numFmtId="164" fontId="4" fillId="0" borderId="16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/>
    </xf>
    <xf numFmtId="0" fontId="60" fillId="0" borderId="17" xfId="0" applyFont="1" applyFill="1" applyBorder="1" applyAlignment="1">
      <alignment horizontal="left" vertical="center" wrapText="1"/>
    </xf>
    <xf numFmtId="0" fontId="60" fillId="0" borderId="34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35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6" fillId="0" borderId="33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36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left" vertical="center" wrapText="1"/>
    </xf>
    <xf numFmtId="0" fontId="56" fillId="0" borderId="37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top" wrapText="1"/>
    </xf>
    <xf numFmtId="0" fontId="60" fillId="0" borderId="34" xfId="0" applyFont="1" applyFill="1" applyBorder="1" applyAlignment="1">
      <alignment horizontal="left" vertical="top" wrapText="1"/>
    </xf>
    <xf numFmtId="0" fontId="60" fillId="0" borderId="15" xfId="0" applyFont="1" applyFill="1" applyBorder="1" applyAlignment="1">
      <alignment horizontal="left" vertical="top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left" vertical="center"/>
    </xf>
    <xf numFmtId="0" fontId="49" fillId="0" borderId="34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49" fontId="51" fillId="0" borderId="16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164" fontId="52" fillId="0" borderId="16" xfId="0" applyNumberFormat="1" applyFont="1" applyFill="1" applyBorder="1" applyAlignment="1">
      <alignment horizontal="center" vertical="center" wrapText="1"/>
    </xf>
    <xf numFmtId="164" fontId="52" fillId="0" borderId="28" xfId="0" applyNumberFormat="1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left" wrapText="1"/>
    </xf>
    <xf numFmtId="0" fontId="51" fillId="0" borderId="0" xfId="0" applyFont="1" applyFill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86" zoomScaleNormal="86" zoomScalePageLayoutView="0" workbookViewId="0" topLeftCell="A1">
      <selection activeCell="C47" sqref="C47"/>
    </sheetView>
  </sheetViews>
  <sheetFormatPr defaultColWidth="9.140625" defaultRowHeight="15"/>
  <cols>
    <col min="1" max="1" width="47.421875" style="4" customWidth="1"/>
    <col min="2" max="2" width="12.7109375" style="2" customWidth="1"/>
    <col min="3" max="3" width="14.00390625" style="2" customWidth="1"/>
    <col min="4" max="4" width="14.140625" style="2" customWidth="1"/>
    <col min="5" max="5" width="13.7109375" style="2" customWidth="1"/>
    <col min="6" max="6" width="14.28125" style="3" customWidth="1"/>
    <col min="7" max="7" width="15.28125" style="3" customWidth="1"/>
    <col min="8" max="8" width="15.57421875" style="3" customWidth="1"/>
    <col min="9" max="9" width="16.28125" style="3" customWidth="1"/>
    <col min="10" max="10" width="14.421875" style="3" customWidth="1"/>
    <col min="11" max="11" width="13.57421875" style="3" customWidth="1"/>
    <col min="12" max="12" width="14.140625" style="3" customWidth="1"/>
    <col min="13" max="13" width="14.57421875" style="2" customWidth="1"/>
    <col min="14" max="14" width="14.28125" style="2" customWidth="1"/>
    <col min="15" max="15" width="14.421875" style="2" customWidth="1"/>
    <col min="16" max="16" width="13.8515625" style="4" customWidth="1"/>
    <col min="17" max="17" width="8.00390625" style="4" customWidth="1"/>
    <col min="18" max="22" width="9.140625" style="5" customWidth="1"/>
  </cols>
  <sheetData>
    <row r="1" ht="15.75">
      <c r="A1" s="1" t="s">
        <v>0</v>
      </c>
    </row>
    <row r="3" ht="15">
      <c r="A3" s="6" t="s">
        <v>1</v>
      </c>
    </row>
    <row r="4" ht="15">
      <c r="A4" s="4" t="s">
        <v>2</v>
      </c>
    </row>
    <row r="5" ht="15">
      <c r="A5" s="4" t="s">
        <v>3</v>
      </c>
    </row>
    <row r="6" ht="15">
      <c r="A6" s="4" t="s">
        <v>4</v>
      </c>
    </row>
    <row r="7" ht="15">
      <c r="A7" s="4" t="s">
        <v>5</v>
      </c>
    </row>
    <row r="8" ht="15">
      <c r="A8" s="4" t="s">
        <v>6</v>
      </c>
    </row>
    <row r="9" ht="15.75" thickBot="1"/>
    <row r="10" spans="1:22" s="8" customFormat="1" ht="15.75" customHeight="1">
      <c r="A10" s="136" t="s">
        <v>7</v>
      </c>
      <c r="B10" s="140" t="s">
        <v>8</v>
      </c>
      <c r="C10" s="132" t="s">
        <v>9</v>
      </c>
      <c r="D10" s="132" t="s">
        <v>10</v>
      </c>
      <c r="E10" s="132" t="s">
        <v>11</v>
      </c>
      <c r="F10" s="132" t="s">
        <v>12</v>
      </c>
      <c r="G10" s="132"/>
      <c r="H10" s="132"/>
      <c r="I10" s="132"/>
      <c r="J10" s="132"/>
      <c r="K10" s="132"/>
      <c r="L10" s="132" t="s">
        <v>13</v>
      </c>
      <c r="M10" s="132" t="s">
        <v>14</v>
      </c>
      <c r="N10" s="132" t="s">
        <v>15</v>
      </c>
      <c r="O10" s="134" t="s">
        <v>16</v>
      </c>
      <c r="P10" s="136" t="s">
        <v>17</v>
      </c>
      <c r="Q10" s="7"/>
      <c r="R10" s="7"/>
      <c r="S10" s="7"/>
      <c r="T10" s="7"/>
      <c r="U10" s="7"/>
      <c r="V10" s="7"/>
    </row>
    <row r="11" spans="1:22" s="8" customFormat="1" ht="63" customHeight="1" thickBot="1">
      <c r="A11" s="137"/>
      <c r="B11" s="141"/>
      <c r="C11" s="133"/>
      <c r="D11" s="133"/>
      <c r="E11" s="133"/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33"/>
      <c r="M11" s="133"/>
      <c r="N11" s="133"/>
      <c r="O11" s="135"/>
      <c r="P11" s="137"/>
      <c r="Q11" s="7"/>
      <c r="R11" s="7"/>
      <c r="S11" s="7"/>
      <c r="T11" s="7"/>
      <c r="U11" s="7"/>
      <c r="V11" s="7"/>
    </row>
    <row r="12" spans="1:22" s="15" customFormat="1" ht="15.75" customHeight="1">
      <c r="A12" s="10" t="s">
        <v>24</v>
      </c>
      <c r="B12" s="11">
        <f>SUM(B13:B19)</f>
        <v>0</v>
      </c>
      <c r="C12" s="12">
        <f>SUM(C13:C19)</f>
        <v>-816.8699999999995</v>
      </c>
      <c r="D12" s="12">
        <f>SUM(D13:D19)</f>
        <v>16951.76</v>
      </c>
      <c r="E12" s="12">
        <f>SUM(E13:E19)</f>
        <v>139254.59999999998</v>
      </c>
      <c r="F12" s="12">
        <f aca="true" t="shared" si="0" ref="F12:O12">SUM(F13:F19)</f>
        <v>130538.29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129721.41999999998</v>
      </c>
      <c r="L12" s="12">
        <f t="shared" si="0"/>
        <v>142617.40000000002</v>
      </c>
      <c r="M12" s="12">
        <f t="shared" si="0"/>
        <v>0</v>
      </c>
      <c r="N12" s="12">
        <f t="shared" si="0"/>
        <v>-12895.98000000001</v>
      </c>
      <c r="O12" s="12">
        <f t="shared" si="0"/>
        <v>25668.07</v>
      </c>
      <c r="P12" s="13">
        <f aca="true" t="shared" si="1" ref="P12:P20">F12/(D12+E12)</f>
        <v>0.835678457650508</v>
      </c>
      <c r="Q12" s="14"/>
      <c r="R12" s="14"/>
      <c r="S12" s="14"/>
      <c r="T12" s="14"/>
      <c r="U12" s="14"/>
      <c r="V12" s="14"/>
    </row>
    <row r="13" spans="1:22" s="22" customFormat="1" ht="60.75" customHeight="1">
      <c r="A13" s="16" t="s">
        <v>25</v>
      </c>
      <c r="B13" s="17">
        <v>0</v>
      </c>
      <c r="C13" s="18">
        <v>2440.26</v>
      </c>
      <c r="D13" s="18">
        <v>976.43</v>
      </c>
      <c r="E13" s="18">
        <v>7823.58</v>
      </c>
      <c r="F13" s="18">
        <v>7322.74</v>
      </c>
      <c r="G13" s="18">
        <v>0</v>
      </c>
      <c r="H13" s="18">
        <v>0</v>
      </c>
      <c r="I13" s="18">
        <v>0</v>
      </c>
      <c r="J13" s="18">
        <v>0</v>
      </c>
      <c r="K13" s="18">
        <f aca="true" t="shared" si="2" ref="K13:K19">F13+G13+H13+I13+J13+C13</f>
        <v>9763</v>
      </c>
      <c r="L13" s="18">
        <f>D31</f>
        <v>7809</v>
      </c>
      <c r="M13" s="18">
        <v>0</v>
      </c>
      <c r="N13" s="18">
        <f>K13-L13</f>
        <v>1954</v>
      </c>
      <c r="O13" s="19">
        <f aca="true" t="shared" si="3" ref="O13:O19">D13+E13-F13</f>
        <v>1477.2700000000004</v>
      </c>
      <c r="P13" s="20">
        <f t="shared" si="1"/>
        <v>0.8321285998538638</v>
      </c>
      <c r="Q13" s="21"/>
      <c r="R13" s="21"/>
      <c r="S13" s="21"/>
      <c r="T13" s="21"/>
      <c r="U13" s="21"/>
      <c r="V13" s="21"/>
    </row>
    <row r="14" spans="1:22" s="22" customFormat="1" ht="29.25" customHeight="1">
      <c r="A14" s="16" t="s">
        <v>26</v>
      </c>
      <c r="B14" s="17">
        <v>0</v>
      </c>
      <c r="C14" s="18">
        <v>2158.69</v>
      </c>
      <c r="D14" s="18">
        <v>863.77</v>
      </c>
      <c r="E14" s="18">
        <v>6938.65</v>
      </c>
      <c r="F14" s="18">
        <v>6493.8</v>
      </c>
      <c r="G14" s="18">
        <v>0</v>
      </c>
      <c r="H14" s="18">
        <v>0</v>
      </c>
      <c r="I14" s="18">
        <v>0</v>
      </c>
      <c r="J14" s="18">
        <v>0</v>
      </c>
      <c r="K14" s="18">
        <f t="shared" si="2"/>
        <v>8652.49</v>
      </c>
      <c r="L14" s="18">
        <f>D37</f>
        <v>6850</v>
      </c>
      <c r="M14" s="18">
        <v>0</v>
      </c>
      <c r="N14" s="18">
        <f aca="true" t="shared" si="4" ref="N14:N19">K14-L14</f>
        <v>1802.4899999999998</v>
      </c>
      <c r="O14" s="19">
        <f t="shared" si="3"/>
        <v>1308.62</v>
      </c>
      <c r="P14" s="20">
        <f t="shared" si="1"/>
        <v>0.8322802412584813</v>
      </c>
      <c r="Q14" s="21"/>
      <c r="R14" s="21"/>
      <c r="S14" s="21"/>
      <c r="T14" s="21"/>
      <c r="U14" s="21"/>
      <c r="V14" s="21"/>
    </row>
    <row r="15" spans="1:22" s="22" customFormat="1" ht="45" customHeight="1">
      <c r="A15" s="16" t="s">
        <v>27</v>
      </c>
      <c r="B15" s="17">
        <v>0</v>
      </c>
      <c r="C15" s="18">
        <v>-650.64</v>
      </c>
      <c r="D15" s="18">
        <v>1213.02</v>
      </c>
      <c r="E15" s="18">
        <v>13497.72</v>
      </c>
      <c r="F15" s="18">
        <v>12621.19</v>
      </c>
      <c r="G15" s="18">
        <v>0</v>
      </c>
      <c r="H15" s="18">
        <v>0</v>
      </c>
      <c r="I15" s="18">
        <v>0</v>
      </c>
      <c r="J15" s="18">
        <v>0</v>
      </c>
      <c r="K15" s="18">
        <f t="shared" si="2"/>
        <v>11970.550000000001</v>
      </c>
      <c r="L15" s="18">
        <f>D41</f>
        <v>13426</v>
      </c>
      <c r="M15" s="18">
        <v>0</v>
      </c>
      <c r="N15" s="18">
        <f t="shared" si="4"/>
        <v>-1455.449999999999</v>
      </c>
      <c r="O15" s="19">
        <f t="shared" si="3"/>
        <v>2089.5499999999993</v>
      </c>
      <c r="P15" s="20">
        <f t="shared" si="1"/>
        <v>0.857957519472168</v>
      </c>
      <c r="Q15" s="21"/>
      <c r="R15" s="21"/>
      <c r="S15" s="21"/>
      <c r="T15" s="21"/>
      <c r="U15" s="21"/>
      <c r="V15" s="21"/>
    </row>
    <row r="16" spans="1:22" s="22" customFormat="1" ht="28.5" customHeight="1">
      <c r="A16" s="16" t="s">
        <v>28</v>
      </c>
      <c r="B16" s="17">
        <v>0</v>
      </c>
      <c r="C16" s="18">
        <v>-155.15</v>
      </c>
      <c r="D16" s="18">
        <v>1282.24</v>
      </c>
      <c r="E16" s="18">
        <v>10337.6</v>
      </c>
      <c r="F16" s="18">
        <v>9673.47</v>
      </c>
      <c r="G16" s="18">
        <v>0</v>
      </c>
      <c r="H16" s="18">
        <v>0</v>
      </c>
      <c r="I16" s="18">
        <v>0</v>
      </c>
      <c r="J16" s="18">
        <v>0</v>
      </c>
      <c r="K16" s="18">
        <f t="shared" si="2"/>
        <v>9518.32</v>
      </c>
      <c r="L16" s="18">
        <f>D45</f>
        <v>10337.6</v>
      </c>
      <c r="M16" s="18">
        <v>0</v>
      </c>
      <c r="N16" s="18">
        <f t="shared" si="4"/>
        <v>-819.2800000000007</v>
      </c>
      <c r="O16" s="19">
        <f t="shared" si="3"/>
        <v>1946.3700000000008</v>
      </c>
      <c r="P16" s="20">
        <f t="shared" si="1"/>
        <v>0.8324959724058162</v>
      </c>
      <c r="Q16" s="21"/>
      <c r="R16" s="21"/>
      <c r="S16" s="21"/>
      <c r="T16" s="21"/>
      <c r="U16" s="21"/>
      <c r="V16" s="21"/>
    </row>
    <row r="17" spans="1:22" s="22" customFormat="1" ht="18" customHeight="1">
      <c r="A17" s="16" t="s">
        <v>29</v>
      </c>
      <c r="B17" s="17">
        <v>0</v>
      </c>
      <c r="C17" s="18">
        <f>-2100.59+184.6</f>
        <v>-1915.9900000000002</v>
      </c>
      <c r="D17" s="18">
        <f>9029.32+46.07</f>
        <v>9075.39</v>
      </c>
      <c r="E17" s="18">
        <f>72443.47-184.6</f>
        <v>72258.87</v>
      </c>
      <c r="F17" s="18">
        <f>67802.29+45.56</f>
        <v>67847.84999999999</v>
      </c>
      <c r="G17" s="18">
        <v>0</v>
      </c>
      <c r="H17" s="18">
        <v>0</v>
      </c>
      <c r="I17" s="18">
        <v>0</v>
      </c>
      <c r="J17" s="18">
        <v>0</v>
      </c>
      <c r="K17" s="18">
        <f t="shared" si="2"/>
        <v>65931.85999999999</v>
      </c>
      <c r="L17" s="18">
        <f>D46</f>
        <v>72350</v>
      </c>
      <c r="M17" s="18">
        <v>0</v>
      </c>
      <c r="N17" s="18">
        <f t="shared" si="4"/>
        <v>-6418.140000000014</v>
      </c>
      <c r="O17" s="19">
        <f t="shared" si="3"/>
        <v>13486.410000000003</v>
      </c>
      <c r="P17" s="20">
        <f t="shared" si="1"/>
        <v>0.8341853728059984</v>
      </c>
      <c r="Q17" s="21"/>
      <c r="R17" s="21"/>
      <c r="S17" s="21"/>
      <c r="T17" s="21"/>
      <c r="U17" s="21"/>
      <c r="V17" s="21"/>
    </row>
    <row r="18" spans="1:22" s="22" customFormat="1" ht="16.5" customHeight="1">
      <c r="A18" s="16" t="s">
        <v>30</v>
      </c>
      <c r="B18" s="17">
        <v>0</v>
      </c>
      <c r="C18" s="18">
        <v>-2692.92</v>
      </c>
      <c r="D18" s="18">
        <v>2559.11</v>
      </c>
      <c r="E18" s="18">
        <v>20534.35</v>
      </c>
      <c r="F18" s="18">
        <v>19218.72</v>
      </c>
      <c r="G18" s="18">
        <v>0</v>
      </c>
      <c r="H18" s="18">
        <v>0</v>
      </c>
      <c r="I18" s="18">
        <v>0</v>
      </c>
      <c r="J18" s="18">
        <v>0</v>
      </c>
      <c r="K18" s="18">
        <f t="shared" si="2"/>
        <v>16525.800000000003</v>
      </c>
      <c r="L18" s="18">
        <f>D47</f>
        <v>20534.35</v>
      </c>
      <c r="M18" s="18">
        <v>0</v>
      </c>
      <c r="N18" s="18">
        <f t="shared" si="4"/>
        <v>-4008.5499999999956</v>
      </c>
      <c r="O18" s="19">
        <f t="shared" si="3"/>
        <v>3874.739999999998</v>
      </c>
      <c r="P18" s="20">
        <f t="shared" si="1"/>
        <v>0.832214834849347</v>
      </c>
      <c r="Q18" s="21"/>
      <c r="R18" s="21"/>
      <c r="S18" s="21"/>
      <c r="T18" s="21"/>
      <c r="U18" s="21"/>
      <c r="V18" s="21"/>
    </row>
    <row r="19" spans="1:22" s="22" customFormat="1" ht="18" customHeight="1" thickBot="1">
      <c r="A19" s="16" t="s">
        <v>31</v>
      </c>
      <c r="B19" s="17">
        <v>0</v>
      </c>
      <c r="C19" s="18">
        <v>-1.12</v>
      </c>
      <c r="D19" s="18">
        <v>981.8</v>
      </c>
      <c r="E19" s="18">
        <v>7863.83</v>
      </c>
      <c r="F19" s="18">
        <v>7360.52</v>
      </c>
      <c r="G19" s="18">
        <v>0</v>
      </c>
      <c r="H19" s="18">
        <v>0</v>
      </c>
      <c r="I19" s="18">
        <v>0</v>
      </c>
      <c r="J19" s="18">
        <v>0</v>
      </c>
      <c r="K19" s="18">
        <f t="shared" si="2"/>
        <v>7359.400000000001</v>
      </c>
      <c r="L19" s="18">
        <f>D48</f>
        <v>11310.45</v>
      </c>
      <c r="M19" s="18">
        <v>0</v>
      </c>
      <c r="N19" s="18">
        <f t="shared" si="4"/>
        <v>-3951.05</v>
      </c>
      <c r="O19" s="19">
        <f t="shared" si="3"/>
        <v>1485.1099999999988</v>
      </c>
      <c r="P19" s="20">
        <f t="shared" si="1"/>
        <v>0.8321080578771666</v>
      </c>
      <c r="Q19" s="21"/>
      <c r="R19" s="21"/>
      <c r="S19" s="21"/>
      <c r="T19" s="21"/>
      <c r="U19" s="21"/>
      <c r="V19" s="21"/>
    </row>
    <row r="20" spans="1:22" s="15" customFormat="1" ht="17.25" customHeight="1" thickBot="1">
      <c r="A20" s="23" t="s">
        <v>32</v>
      </c>
      <c r="B20" s="24">
        <f aca="true" t="shared" si="5" ref="B20:O20">SUM(B13:B19)</f>
        <v>0</v>
      </c>
      <c r="C20" s="24">
        <f t="shared" si="5"/>
        <v>-816.8699999999995</v>
      </c>
      <c r="D20" s="24">
        <f t="shared" si="5"/>
        <v>16951.76</v>
      </c>
      <c r="E20" s="24">
        <f t="shared" si="5"/>
        <v>139254.59999999998</v>
      </c>
      <c r="F20" s="24">
        <f t="shared" si="5"/>
        <v>130538.29</v>
      </c>
      <c r="G20" s="24">
        <f t="shared" si="5"/>
        <v>0</v>
      </c>
      <c r="H20" s="24">
        <f t="shared" si="5"/>
        <v>0</v>
      </c>
      <c r="I20" s="24">
        <f t="shared" si="5"/>
        <v>0</v>
      </c>
      <c r="J20" s="24">
        <f t="shared" si="5"/>
        <v>0</v>
      </c>
      <c r="K20" s="24">
        <f t="shared" si="5"/>
        <v>129721.41999999998</v>
      </c>
      <c r="L20" s="24">
        <f t="shared" si="5"/>
        <v>142617.40000000002</v>
      </c>
      <c r="M20" s="24">
        <f t="shared" si="5"/>
        <v>0</v>
      </c>
      <c r="N20" s="24">
        <f t="shared" si="5"/>
        <v>-12895.98000000001</v>
      </c>
      <c r="O20" s="24">
        <f t="shared" si="5"/>
        <v>25668.07</v>
      </c>
      <c r="P20" s="25">
        <f t="shared" si="1"/>
        <v>0.835678457650508</v>
      </c>
      <c r="Q20" s="14"/>
      <c r="R20" s="14"/>
      <c r="S20" s="14"/>
      <c r="T20" s="14"/>
      <c r="U20" s="14"/>
      <c r="V20" s="14"/>
    </row>
    <row r="21" spans="1:17" ht="15.75" thickBot="1">
      <c r="A21" s="26"/>
      <c r="B21" s="27"/>
      <c r="C21" s="27"/>
      <c r="D21" s="27"/>
      <c r="E21" s="27"/>
      <c r="F21" s="28"/>
      <c r="G21" s="28"/>
      <c r="H21" s="28"/>
      <c r="I21" s="28"/>
      <c r="J21" s="28"/>
      <c r="K21" s="28"/>
      <c r="L21" s="28"/>
      <c r="M21" s="27"/>
      <c r="N21" s="27"/>
      <c r="O21" s="27"/>
      <c r="P21" s="26"/>
      <c r="Q21" s="26"/>
    </row>
    <row r="22" spans="1:22" s="8" customFormat="1" ht="86.25" customHeight="1" thickBot="1">
      <c r="A22" s="29" t="s">
        <v>33</v>
      </c>
      <c r="B22" s="30" t="s">
        <v>34</v>
      </c>
      <c r="C22" s="31" t="s">
        <v>35</v>
      </c>
      <c r="D22" s="31" t="s">
        <v>8</v>
      </c>
      <c r="E22" s="31" t="s">
        <v>9</v>
      </c>
      <c r="F22" s="31" t="s">
        <v>10</v>
      </c>
      <c r="G22" s="31" t="s">
        <v>36</v>
      </c>
      <c r="H22" s="31" t="s">
        <v>37</v>
      </c>
      <c r="I22" s="31" t="s">
        <v>38</v>
      </c>
      <c r="J22" s="31" t="s">
        <v>39</v>
      </c>
      <c r="K22" s="31" t="s">
        <v>40</v>
      </c>
      <c r="L22" s="31" t="s">
        <v>41</v>
      </c>
      <c r="M22" s="31" t="s">
        <v>42</v>
      </c>
      <c r="N22" s="31" t="s">
        <v>14</v>
      </c>
      <c r="O22" s="31" t="s">
        <v>15</v>
      </c>
      <c r="P22" s="32" t="s">
        <v>16</v>
      </c>
      <c r="Q22" s="33" t="s">
        <v>17</v>
      </c>
      <c r="R22" s="7"/>
      <c r="S22" s="7"/>
      <c r="T22" s="7"/>
      <c r="U22" s="7"/>
      <c r="V22" s="7"/>
    </row>
    <row r="23" spans="1:22" s="42" customFormat="1" ht="27" customHeight="1">
      <c r="A23" s="34" t="s">
        <v>43</v>
      </c>
      <c r="B23" s="35" t="s">
        <v>44</v>
      </c>
      <c r="C23" s="36">
        <v>105.518</v>
      </c>
      <c r="D23" s="18">
        <v>0</v>
      </c>
      <c r="E23" s="18">
        <v>20683.32</v>
      </c>
      <c r="F23" s="18">
        <v>37056.23</v>
      </c>
      <c r="G23" s="18">
        <v>127385.12</v>
      </c>
      <c r="H23" s="18">
        <v>135965.8</v>
      </c>
      <c r="I23" s="37" t="s">
        <v>45</v>
      </c>
      <c r="J23" s="18">
        <v>127385.12</v>
      </c>
      <c r="K23" s="18">
        <v>82406.81</v>
      </c>
      <c r="L23" s="38">
        <f>J23-K23</f>
        <v>44978.31</v>
      </c>
      <c r="M23" s="18">
        <v>0</v>
      </c>
      <c r="N23" s="18">
        <v>0</v>
      </c>
      <c r="O23" s="38">
        <f>E23+H23-J23</f>
        <v>29264</v>
      </c>
      <c r="P23" s="39">
        <f>F23+G23-H23</f>
        <v>28475.550000000017</v>
      </c>
      <c r="Q23" s="40">
        <f>H23/(F23+G23)</f>
        <v>0.8268346130702526</v>
      </c>
      <c r="R23" s="41"/>
      <c r="S23" s="41"/>
      <c r="T23" s="41"/>
      <c r="U23" s="41"/>
      <c r="V23" s="41"/>
    </row>
    <row r="24" spans="1:22" s="42" customFormat="1" ht="17.25" customHeight="1">
      <c r="A24" s="34" t="s">
        <v>46</v>
      </c>
      <c r="B24" s="35" t="s">
        <v>47</v>
      </c>
      <c r="C24" s="36">
        <f>622.256+40</f>
        <v>662.256</v>
      </c>
      <c r="D24" s="18">
        <v>0</v>
      </c>
      <c r="E24" s="18">
        <v>0</v>
      </c>
      <c r="F24" s="18">
        <v>851.76</v>
      </c>
      <c r="G24" s="18">
        <v>12275.82</v>
      </c>
      <c r="H24" s="18">
        <v>11921.560000000001</v>
      </c>
      <c r="I24" s="138" t="s">
        <v>48</v>
      </c>
      <c r="J24" s="18">
        <v>12275.82</v>
      </c>
      <c r="K24" s="18">
        <v>11676.84</v>
      </c>
      <c r="L24" s="38">
        <f>J24-K24</f>
        <v>598.9799999999996</v>
      </c>
      <c r="M24" s="18">
        <v>0</v>
      </c>
      <c r="N24" s="18">
        <v>0</v>
      </c>
      <c r="O24" s="38">
        <f>E24+H24-J24</f>
        <v>-354.2599999999984</v>
      </c>
      <c r="P24" s="39">
        <f>F24+G24-H24</f>
        <v>1206.0199999999986</v>
      </c>
      <c r="Q24" s="40">
        <f>H24/(F24+G24)</f>
        <v>0.9081308207605668</v>
      </c>
      <c r="R24" s="41"/>
      <c r="S24" s="41"/>
      <c r="T24" s="41"/>
      <c r="U24" s="41"/>
      <c r="V24" s="41"/>
    </row>
    <row r="25" spans="1:22" s="42" customFormat="1" ht="17.25" customHeight="1" thickBot="1">
      <c r="A25" s="43" t="s">
        <v>49</v>
      </c>
      <c r="B25" s="44" t="s">
        <v>47</v>
      </c>
      <c r="C25" s="45">
        <f>622.253+40</f>
        <v>662.253</v>
      </c>
      <c r="D25" s="46">
        <v>0</v>
      </c>
      <c r="E25" s="46">
        <v>0</v>
      </c>
      <c r="F25" s="46">
        <v>1132.15</v>
      </c>
      <c r="G25" s="46">
        <v>16455.49</v>
      </c>
      <c r="H25" s="46">
        <v>15959.189999999999</v>
      </c>
      <c r="I25" s="139"/>
      <c r="J25" s="46">
        <v>16455.49</v>
      </c>
      <c r="K25" s="46">
        <v>15631.59</v>
      </c>
      <c r="L25" s="38">
        <f>J25-K25</f>
        <v>823.9000000000015</v>
      </c>
      <c r="M25" s="46">
        <v>0</v>
      </c>
      <c r="N25" s="46">
        <v>0</v>
      </c>
      <c r="O25" s="38">
        <f>E25+H25-J25</f>
        <v>-496.3000000000029</v>
      </c>
      <c r="P25" s="39">
        <f>F25+G25-H25</f>
        <v>1628.4500000000044</v>
      </c>
      <c r="Q25" s="47">
        <f>H25/(F25+G25)</f>
        <v>0.9074094079705973</v>
      </c>
      <c r="R25" s="41"/>
      <c r="S25" s="41"/>
      <c r="T25" s="41"/>
      <c r="U25" s="41"/>
      <c r="V25" s="41"/>
    </row>
    <row r="26" spans="1:22" s="53" customFormat="1" ht="17.25" customHeight="1" thickBot="1">
      <c r="A26" s="48" t="s">
        <v>50</v>
      </c>
      <c r="B26" s="49"/>
      <c r="C26" s="50"/>
      <c r="D26" s="24">
        <f>SUM(D23:D25)</f>
        <v>0</v>
      </c>
      <c r="E26" s="24">
        <f>SUM(E23:E25)</f>
        <v>20683.32</v>
      </c>
      <c r="F26" s="24">
        <f>SUM(F23:F25)</f>
        <v>39040.14000000001</v>
      </c>
      <c r="G26" s="24">
        <f>SUM(G23:G25)</f>
        <v>156116.43</v>
      </c>
      <c r="H26" s="24">
        <f>SUM(H23:H25)</f>
        <v>163846.55</v>
      </c>
      <c r="I26" s="24"/>
      <c r="J26" s="24">
        <f aca="true" t="shared" si="6" ref="J26:P26">SUM(J23:J25)</f>
        <v>156116.43</v>
      </c>
      <c r="K26" s="24">
        <f t="shared" si="6"/>
        <v>109715.23999999999</v>
      </c>
      <c r="L26" s="24">
        <f t="shared" si="6"/>
        <v>46401.189999999995</v>
      </c>
      <c r="M26" s="24">
        <f t="shared" si="6"/>
        <v>0</v>
      </c>
      <c r="N26" s="24">
        <f t="shared" si="6"/>
        <v>0</v>
      </c>
      <c r="O26" s="24">
        <f t="shared" si="6"/>
        <v>28413.44</v>
      </c>
      <c r="P26" s="51">
        <f t="shared" si="6"/>
        <v>31310.02000000002</v>
      </c>
      <c r="Q26" s="25">
        <f>H26/(F26+G26)</f>
        <v>0.839564612147057</v>
      </c>
      <c r="R26" s="52"/>
      <c r="S26" s="52"/>
      <c r="T26" s="52"/>
      <c r="U26" s="52"/>
      <c r="V26" s="52"/>
    </row>
    <row r="27" spans="1:17" ht="15">
      <c r="A27" s="26"/>
      <c r="B27" s="27"/>
      <c r="C27" s="27"/>
      <c r="D27" s="27"/>
      <c r="E27" s="54"/>
      <c r="F27" s="55"/>
      <c r="G27" s="55"/>
      <c r="H27" s="55"/>
      <c r="I27" s="28"/>
      <c r="J27" s="28"/>
      <c r="K27" s="28"/>
      <c r="L27" s="28"/>
      <c r="M27" s="27"/>
      <c r="N27" s="27"/>
      <c r="O27" s="27"/>
      <c r="P27" s="56"/>
      <c r="Q27" s="26"/>
    </row>
    <row r="28" spans="1:22" s="60" customFormat="1" ht="15">
      <c r="A28" s="57" t="s">
        <v>51</v>
      </c>
      <c r="B28" s="2"/>
      <c r="C28" s="2"/>
      <c r="D28" s="2"/>
      <c r="E28" s="2"/>
      <c r="F28" s="58"/>
      <c r="G28" s="55"/>
      <c r="H28" s="28"/>
      <c r="I28" s="55"/>
      <c r="J28" s="28"/>
      <c r="K28" s="28"/>
      <c r="L28" s="28"/>
      <c r="M28" s="2"/>
      <c r="N28" s="2"/>
      <c r="O28" s="2"/>
      <c r="P28" s="26"/>
      <c r="Q28" s="26"/>
      <c r="R28" s="26"/>
      <c r="S28" s="26"/>
      <c r="T28" s="59"/>
      <c r="U28" s="59"/>
      <c r="V28" s="59"/>
    </row>
    <row r="29" spans="1:22" s="60" customFormat="1" ht="49.5" customHeight="1">
      <c r="A29" s="61" t="s">
        <v>52</v>
      </c>
      <c r="B29" s="61" t="s">
        <v>34</v>
      </c>
      <c r="C29" s="61" t="s">
        <v>53</v>
      </c>
      <c r="D29" s="61" t="s">
        <v>54</v>
      </c>
      <c r="E29" s="124" t="s">
        <v>55</v>
      </c>
      <c r="F29" s="124"/>
      <c r="G29" s="124" t="s">
        <v>56</v>
      </c>
      <c r="H29" s="124"/>
      <c r="I29" s="125" t="s">
        <v>57</v>
      </c>
      <c r="J29" s="125"/>
      <c r="K29" s="125"/>
      <c r="L29" s="125"/>
      <c r="M29" s="125"/>
      <c r="N29" s="125"/>
      <c r="O29" s="62"/>
      <c r="P29" s="62"/>
      <c r="Q29" s="62"/>
      <c r="R29" s="62"/>
      <c r="S29" s="26"/>
      <c r="T29" s="59"/>
      <c r="U29" s="59"/>
      <c r="V29" s="59"/>
    </row>
    <row r="30" spans="1:22" s="60" customFormat="1" ht="15.75">
      <c r="A30" s="126" t="s">
        <v>58</v>
      </c>
      <c r="B30" s="127"/>
      <c r="C30" s="128"/>
      <c r="D30" s="63">
        <f>D31+D37+D41+D45+D47+D48+D46</f>
        <v>142617.4</v>
      </c>
      <c r="E30" s="129"/>
      <c r="F30" s="129"/>
      <c r="G30" s="130"/>
      <c r="H30" s="130"/>
      <c r="I30" s="131"/>
      <c r="J30" s="131"/>
      <c r="K30" s="131"/>
      <c r="L30" s="131"/>
      <c r="M30" s="131"/>
      <c r="N30" s="131"/>
      <c r="O30" s="64"/>
      <c r="P30" s="64"/>
      <c r="Q30" s="64"/>
      <c r="R30" s="64"/>
      <c r="S30" s="26"/>
      <c r="T30" s="59"/>
      <c r="U30" s="59"/>
      <c r="V30" s="59"/>
    </row>
    <row r="31" spans="1:22" s="67" customFormat="1" ht="45" customHeight="1">
      <c r="A31" s="115" t="s">
        <v>59</v>
      </c>
      <c r="B31" s="116"/>
      <c r="C31" s="117"/>
      <c r="D31" s="65">
        <f>SUM(D32:D36)</f>
        <v>7809</v>
      </c>
      <c r="E31" s="96"/>
      <c r="F31" s="96"/>
      <c r="G31" s="118" t="s">
        <v>60</v>
      </c>
      <c r="H31" s="119"/>
      <c r="I31" s="106" t="s">
        <v>61</v>
      </c>
      <c r="J31" s="107"/>
      <c r="K31" s="107"/>
      <c r="L31" s="107"/>
      <c r="M31" s="107"/>
      <c r="N31" s="108"/>
      <c r="O31" s="66"/>
      <c r="P31" s="66"/>
      <c r="Q31" s="66"/>
      <c r="R31" s="66"/>
      <c r="S31" s="26"/>
      <c r="T31" s="26"/>
      <c r="U31" s="26"/>
      <c r="V31" s="26"/>
    </row>
    <row r="32" spans="1:22" s="67" customFormat="1" ht="28.5" customHeight="1">
      <c r="A32" s="68" t="s">
        <v>62</v>
      </c>
      <c r="B32" s="69" t="s">
        <v>63</v>
      </c>
      <c r="C32" s="18">
        <f>8*137</f>
        <v>1096</v>
      </c>
      <c r="D32" s="18">
        <f>C32</f>
        <v>1096</v>
      </c>
      <c r="E32" s="96" t="s">
        <v>64</v>
      </c>
      <c r="F32" s="96"/>
      <c r="G32" s="120"/>
      <c r="H32" s="121"/>
      <c r="I32" s="109"/>
      <c r="J32" s="110"/>
      <c r="K32" s="110"/>
      <c r="L32" s="110"/>
      <c r="M32" s="110"/>
      <c r="N32" s="111"/>
      <c r="O32" s="66"/>
      <c r="P32" s="66"/>
      <c r="Q32" s="66"/>
      <c r="R32" s="66"/>
      <c r="S32" s="26"/>
      <c r="T32" s="26"/>
      <c r="U32" s="26"/>
      <c r="V32" s="26"/>
    </row>
    <row r="33" spans="1:22" s="67" customFormat="1" ht="30.75" customHeight="1">
      <c r="A33" s="68" t="s">
        <v>65</v>
      </c>
      <c r="B33" s="69" t="s">
        <v>63</v>
      </c>
      <c r="C33" s="18">
        <f>21*137</f>
        <v>2877</v>
      </c>
      <c r="D33" s="18">
        <f>C33</f>
        <v>2877</v>
      </c>
      <c r="E33" s="96" t="s">
        <v>66</v>
      </c>
      <c r="F33" s="96"/>
      <c r="G33" s="120"/>
      <c r="H33" s="121"/>
      <c r="I33" s="109"/>
      <c r="J33" s="110"/>
      <c r="K33" s="110"/>
      <c r="L33" s="110"/>
      <c r="M33" s="110"/>
      <c r="N33" s="111"/>
      <c r="O33" s="66"/>
      <c r="P33" s="66"/>
      <c r="Q33" s="66"/>
      <c r="R33" s="66"/>
      <c r="S33" s="26"/>
      <c r="T33" s="26"/>
      <c r="U33" s="26"/>
      <c r="V33" s="26"/>
    </row>
    <row r="34" spans="1:22" s="67" customFormat="1" ht="15.75" customHeight="1">
      <c r="A34" s="68" t="s">
        <v>67</v>
      </c>
      <c r="B34" s="69" t="s">
        <v>63</v>
      </c>
      <c r="C34" s="18">
        <f>8*137</f>
        <v>1096</v>
      </c>
      <c r="D34" s="18">
        <f>C34</f>
        <v>1096</v>
      </c>
      <c r="E34" s="96" t="s">
        <v>68</v>
      </c>
      <c r="F34" s="96"/>
      <c r="G34" s="120"/>
      <c r="H34" s="121"/>
      <c r="I34" s="109"/>
      <c r="J34" s="110"/>
      <c r="K34" s="110"/>
      <c r="L34" s="110"/>
      <c r="M34" s="110"/>
      <c r="N34" s="111"/>
      <c r="O34" s="66"/>
      <c r="P34" s="66"/>
      <c r="Q34" s="66"/>
      <c r="R34" s="66"/>
      <c r="S34" s="26"/>
      <c r="T34" s="26"/>
      <c r="U34" s="26"/>
      <c r="V34" s="26"/>
    </row>
    <row r="35" spans="1:22" s="67" customFormat="1" ht="31.5" customHeight="1">
      <c r="A35" s="68" t="s">
        <v>69</v>
      </c>
      <c r="B35" s="69" t="s">
        <v>63</v>
      </c>
      <c r="C35" s="18">
        <f>12*137</f>
        <v>1644</v>
      </c>
      <c r="D35" s="18">
        <f>C35</f>
        <v>1644</v>
      </c>
      <c r="E35" s="96" t="s">
        <v>66</v>
      </c>
      <c r="F35" s="96"/>
      <c r="G35" s="120"/>
      <c r="H35" s="121"/>
      <c r="I35" s="109"/>
      <c r="J35" s="110"/>
      <c r="K35" s="110"/>
      <c r="L35" s="110"/>
      <c r="M35" s="110"/>
      <c r="N35" s="111"/>
      <c r="O35" s="66"/>
      <c r="P35" s="66"/>
      <c r="Q35" s="66"/>
      <c r="R35" s="66"/>
      <c r="S35" s="26"/>
      <c r="T35" s="26"/>
      <c r="U35" s="26"/>
      <c r="V35" s="26"/>
    </row>
    <row r="36" spans="1:22" s="67" customFormat="1" ht="29.25" customHeight="1">
      <c r="A36" s="68" t="s">
        <v>70</v>
      </c>
      <c r="B36" s="69" t="s">
        <v>63</v>
      </c>
      <c r="C36" s="18">
        <f>8*137</f>
        <v>1096</v>
      </c>
      <c r="D36" s="18">
        <f>C36</f>
        <v>1096</v>
      </c>
      <c r="E36" s="96" t="s">
        <v>71</v>
      </c>
      <c r="F36" s="96"/>
      <c r="G36" s="122"/>
      <c r="H36" s="123"/>
      <c r="I36" s="112"/>
      <c r="J36" s="113"/>
      <c r="K36" s="113"/>
      <c r="L36" s="113"/>
      <c r="M36" s="113"/>
      <c r="N36" s="114"/>
      <c r="O36" s="66"/>
      <c r="P36" s="66"/>
      <c r="Q36" s="66"/>
      <c r="R36" s="66"/>
      <c r="S36" s="26"/>
      <c r="T36" s="26"/>
      <c r="U36" s="26"/>
      <c r="V36" s="26"/>
    </row>
    <row r="37" spans="1:22" s="67" customFormat="1" ht="28.5" customHeight="1">
      <c r="A37" s="101" t="s">
        <v>72</v>
      </c>
      <c r="B37" s="102"/>
      <c r="C37" s="103"/>
      <c r="D37" s="65">
        <f>SUM(D38:D40)</f>
        <v>6850</v>
      </c>
      <c r="E37" s="96"/>
      <c r="F37" s="96"/>
      <c r="G37" s="98" t="s">
        <v>60</v>
      </c>
      <c r="H37" s="98"/>
      <c r="I37" s="106" t="s">
        <v>73</v>
      </c>
      <c r="J37" s="107"/>
      <c r="K37" s="107"/>
      <c r="L37" s="107"/>
      <c r="M37" s="107"/>
      <c r="N37" s="108"/>
      <c r="O37" s="70"/>
      <c r="P37" s="70"/>
      <c r="Q37" s="70"/>
      <c r="R37" s="70"/>
      <c r="S37" s="26"/>
      <c r="T37" s="26"/>
      <c r="U37" s="26"/>
      <c r="V37" s="26"/>
    </row>
    <row r="38" spans="1:22" s="60" customFormat="1" ht="30.75" customHeight="1">
      <c r="A38" s="68" t="s">
        <v>74</v>
      </c>
      <c r="B38" s="69" t="s">
        <v>63</v>
      </c>
      <c r="C38" s="18">
        <f>18*137</f>
        <v>2466</v>
      </c>
      <c r="D38" s="18">
        <f>C38</f>
        <v>2466</v>
      </c>
      <c r="E38" s="96" t="s">
        <v>68</v>
      </c>
      <c r="F38" s="96"/>
      <c r="G38" s="98"/>
      <c r="H38" s="98"/>
      <c r="I38" s="109"/>
      <c r="J38" s="110"/>
      <c r="K38" s="110"/>
      <c r="L38" s="110"/>
      <c r="M38" s="110"/>
      <c r="N38" s="111"/>
      <c r="O38" s="71"/>
      <c r="P38" s="71"/>
      <c r="Q38" s="71"/>
      <c r="R38" s="71"/>
      <c r="S38" s="26"/>
      <c r="T38" s="59"/>
      <c r="U38" s="59"/>
      <c r="V38" s="59"/>
    </row>
    <row r="39" spans="1:22" s="67" customFormat="1" ht="30.75" customHeight="1">
      <c r="A39" s="68" t="s">
        <v>75</v>
      </c>
      <c r="B39" s="69" t="s">
        <v>63</v>
      </c>
      <c r="C39" s="18">
        <f>24*137</f>
        <v>3288</v>
      </c>
      <c r="D39" s="18">
        <f>C39</f>
        <v>3288</v>
      </c>
      <c r="E39" s="96" t="s">
        <v>68</v>
      </c>
      <c r="F39" s="96"/>
      <c r="G39" s="98"/>
      <c r="H39" s="98"/>
      <c r="I39" s="109"/>
      <c r="J39" s="110"/>
      <c r="K39" s="110"/>
      <c r="L39" s="110"/>
      <c r="M39" s="110"/>
      <c r="N39" s="111"/>
      <c r="O39" s="71"/>
      <c r="P39" s="71"/>
      <c r="Q39" s="71"/>
      <c r="R39" s="71"/>
      <c r="S39" s="26"/>
      <c r="T39" s="26"/>
      <c r="U39" s="26"/>
      <c r="V39" s="26"/>
    </row>
    <row r="40" spans="1:22" s="67" customFormat="1" ht="31.5" customHeight="1">
      <c r="A40" s="68" t="s">
        <v>76</v>
      </c>
      <c r="B40" s="69" t="s">
        <v>63</v>
      </c>
      <c r="C40" s="18">
        <f>8*137</f>
        <v>1096</v>
      </c>
      <c r="D40" s="18">
        <f>C40</f>
        <v>1096</v>
      </c>
      <c r="E40" s="96" t="s">
        <v>68</v>
      </c>
      <c r="F40" s="96"/>
      <c r="G40" s="98"/>
      <c r="H40" s="98"/>
      <c r="I40" s="112"/>
      <c r="J40" s="113"/>
      <c r="K40" s="113"/>
      <c r="L40" s="113"/>
      <c r="M40" s="113"/>
      <c r="N40" s="114"/>
      <c r="O40" s="71"/>
      <c r="P40" s="71"/>
      <c r="Q40" s="71"/>
      <c r="R40" s="71"/>
      <c r="S40" s="26"/>
      <c r="T40" s="26"/>
      <c r="U40" s="26"/>
      <c r="V40" s="26"/>
    </row>
    <row r="41" spans="1:22" s="67" customFormat="1" ht="35.25" customHeight="1">
      <c r="A41" s="101" t="s">
        <v>77</v>
      </c>
      <c r="B41" s="102"/>
      <c r="C41" s="103"/>
      <c r="D41" s="65">
        <f>SUM(D42:D44)</f>
        <v>13426</v>
      </c>
      <c r="E41" s="104"/>
      <c r="F41" s="105"/>
      <c r="G41" s="98" t="s">
        <v>60</v>
      </c>
      <c r="H41" s="98"/>
      <c r="I41" s="106" t="s">
        <v>78</v>
      </c>
      <c r="J41" s="107"/>
      <c r="K41" s="107"/>
      <c r="L41" s="107"/>
      <c r="M41" s="107"/>
      <c r="N41" s="108"/>
      <c r="O41" s="71"/>
      <c r="P41" s="71"/>
      <c r="Q41" s="71"/>
      <c r="R41" s="71"/>
      <c r="S41" s="26"/>
      <c r="T41" s="26"/>
      <c r="U41" s="26"/>
      <c r="V41" s="26"/>
    </row>
    <row r="42" spans="1:22" s="67" customFormat="1" ht="18" customHeight="1">
      <c r="A42" s="68" t="s">
        <v>79</v>
      </c>
      <c r="B42" s="69" t="s">
        <v>63</v>
      </c>
      <c r="C42" s="18">
        <f>29*137</f>
        <v>3973</v>
      </c>
      <c r="D42" s="18">
        <f aca="true" t="shared" si="7" ref="D42:D47">C42</f>
        <v>3973</v>
      </c>
      <c r="E42" s="96" t="s">
        <v>66</v>
      </c>
      <c r="F42" s="96"/>
      <c r="G42" s="98"/>
      <c r="H42" s="98"/>
      <c r="I42" s="109"/>
      <c r="J42" s="110"/>
      <c r="K42" s="110"/>
      <c r="L42" s="110"/>
      <c r="M42" s="110"/>
      <c r="N42" s="111"/>
      <c r="O42" s="71"/>
      <c r="P42" s="71"/>
      <c r="Q42" s="71"/>
      <c r="R42" s="71"/>
      <c r="S42" s="26"/>
      <c r="T42" s="26"/>
      <c r="U42" s="26"/>
      <c r="V42" s="26"/>
    </row>
    <row r="43" spans="1:22" s="67" customFormat="1" ht="18" customHeight="1">
      <c r="A43" s="68" t="s">
        <v>80</v>
      </c>
      <c r="B43" s="69" t="s">
        <v>63</v>
      </c>
      <c r="C43" s="18">
        <f>16*137</f>
        <v>2192</v>
      </c>
      <c r="D43" s="18">
        <f t="shared" si="7"/>
        <v>2192</v>
      </c>
      <c r="E43" s="96"/>
      <c r="F43" s="96"/>
      <c r="G43" s="98"/>
      <c r="H43" s="98"/>
      <c r="I43" s="109"/>
      <c r="J43" s="110"/>
      <c r="K43" s="110"/>
      <c r="L43" s="110"/>
      <c r="M43" s="110"/>
      <c r="N43" s="111"/>
      <c r="O43" s="71"/>
      <c r="P43" s="71"/>
      <c r="Q43" s="71"/>
      <c r="R43" s="71"/>
      <c r="S43" s="26"/>
      <c r="T43" s="26"/>
      <c r="U43" s="26"/>
      <c r="V43" s="26"/>
    </row>
    <row r="44" spans="1:22" s="67" customFormat="1" ht="27.75" customHeight="1">
      <c r="A44" s="68" t="s">
        <v>81</v>
      </c>
      <c r="B44" s="69" t="s">
        <v>63</v>
      </c>
      <c r="C44" s="18">
        <f>53*137</f>
        <v>7261</v>
      </c>
      <c r="D44" s="18">
        <f t="shared" si="7"/>
        <v>7261</v>
      </c>
      <c r="E44" s="96"/>
      <c r="F44" s="96"/>
      <c r="G44" s="98"/>
      <c r="H44" s="98"/>
      <c r="I44" s="112"/>
      <c r="J44" s="113"/>
      <c r="K44" s="113"/>
      <c r="L44" s="113"/>
      <c r="M44" s="113"/>
      <c r="N44" s="114"/>
      <c r="O44" s="71"/>
      <c r="P44" s="71"/>
      <c r="Q44" s="71"/>
      <c r="R44" s="71"/>
      <c r="S44" s="26"/>
      <c r="T44" s="26"/>
      <c r="U44" s="26"/>
      <c r="V44" s="26"/>
    </row>
    <row r="45" spans="1:22" s="67" customFormat="1" ht="30.75" customHeight="1">
      <c r="A45" s="72" t="s">
        <v>82</v>
      </c>
      <c r="B45" s="69" t="s">
        <v>63</v>
      </c>
      <c r="C45" s="18">
        <f>E16</f>
        <v>10337.6</v>
      </c>
      <c r="D45" s="65">
        <f t="shared" si="7"/>
        <v>10337.6</v>
      </c>
      <c r="E45" s="96" t="s">
        <v>83</v>
      </c>
      <c r="F45" s="96"/>
      <c r="G45" s="98" t="s">
        <v>84</v>
      </c>
      <c r="H45" s="98"/>
      <c r="I45" s="99" t="s">
        <v>82</v>
      </c>
      <c r="J45" s="99"/>
      <c r="K45" s="99"/>
      <c r="L45" s="99"/>
      <c r="M45" s="99"/>
      <c r="N45" s="99"/>
      <c r="O45" s="70"/>
      <c r="P45" s="70"/>
      <c r="Q45" s="70"/>
      <c r="R45" s="70"/>
      <c r="S45" s="26"/>
      <c r="T45" s="26"/>
      <c r="U45" s="26"/>
      <c r="V45" s="26"/>
    </row>
    <row r="46" spans="1:22" s="67" customFormat="1" ht="32.25" customHeight="1">
      <c r="A46" s="72" t="s">
        <v>85</v>
      </c>
      <c r="B46" s="69" t="s">
        <v>63</v>
      </c>
      <c r="C46" s="18">
        <v>72350</v>
      </c>
      <c r="D46" s="73">
        <f t="shared" si="7"/>
        <v>72350</v>
      </c>
      <c r="E46" s="96" t="s">
        <v>86</v>
      </c>
      <c r="F46" s="96"/>
      <c r="G46" s="98" t="s">
        <v>87</v>
      </c>
      <c r="H46" s="98"/>
      <c r="I46" s="99" t="s">
        <v>88</v>
      </c>
      <c r="J46" s="99"/>
      <c r="K46" s="99"/>
      <c r="L46" s="99"/>
      <c r="M46" s="99"/>
      <c r="N46" s="99"/>
      <c r="O46" s="70"/>
      <c r="P46" s="70"/>
      <c r="Q46" s="70"/>
      <c r="R46" s="70"/>
      <c r="S46" s="26"/>
      <c r="T46" s="26"/>
      <c r="U46" s="26"/>
      <c r="V46" s="26"/>
    </row>
    <row r="47" spans="1:22" s="67" customFormat="1" ht="17.25" customHeight="1">
      <c r="A47" s="72" t="s">
        <v>89</v>
      </c>
      <c r="B47" s="69" t="s">
        <v>63</v>
      </c>
      <c r="C47" s="18">
        <f>E18</f>
        <v>20534.35</v>
      </c>
      <c r="D47" s="65">
        <f t="shared" si="7"/>
        <v>20534.35</v>
      </c>
      <c r="E47" s="96" t="s">
        <v>86</v>
      </c>
      <c r="F47" s="96"/>
      <c r="G47" s="97" t="s">
        <v>60</v>
      </c>
      <c r="H47" s="97"/>
      <c r="I47" s="100" t="s">
        <v>89</v>
      </c>
      <c r="J47" s="100"/>
      <c r="K47" s="100"/>
      <c r="L47" s="100"/>
      <c r="M47" s="100"/>
      <c r="N47" s="100"/>
      <c r="O47" s="74"/>
      <c r="P47" s="74"/>
      <c r="Q47" s="74"/>
      <c r="R47" s="74"/>
      <c r="S47" s="26"/>
      <c r="T47" s="26"/>
      <c r="U47" s="26"/>
      <c r="V47" s="26"/>
    </row>
    <row r="48" spans="1:22" s="78" customFormat="1" ht="15">
      <c r="A48" s="75" t="s">
        <v>90</v>
      </c>
      <c r="B48" s="69"/>
      <c r="C48" s="63"/>
      <c r="D48" s="65">
        <f>SUM(D49:D50)</f>
        <v>11310.45</v>
      </c>
      <c r="E48" s="93"/>
      <c r="F48" s="93"/>
      <c r="G48" s="94"/>
      <c r="H48" s="95"/>
      <c r="I48" s="76"/>
      <c r="J48" s="76"/>
      <c r="K48" s="76"/>
      <c r="L48" s="76"/>
      <c r="M48" s="76"/>
      <c r="N48" s="2"/>
      <c r="O48" s="2"/>
      <c r="P48" s="2"/>
      <c r="Q48" s="77"/>
      <c r="R48" s="77"/>
      <c r="S48" s="77"/>
      <c r="T48" s="77"/>
      <c r="U48" s="77"/>
      <c r="V48" s="77"/>
    </row>
    <row r="49" spans="1:22" s="78" customFormat="1" ht="17.25" customHeight="1">
      <c r="A49" s="68" t="s">
        <v>91</v>
      </c>
      <c r="B49" s="69" t="s">
        <v>63</v>
      </c>
      <c r="C49" s="18">
        <v>9940.45</v>
      </c>
      <c r="D49" s="18">
        <f>C49</f>
        <v>9940.45</v>
      </c>
      <c r="E49" s="96" t="s">
        <v>92</v>
      </c>
      <c r="F49" s="96"/>
      <c r="G49" s="97" t="s">
        <v>60</v>
      </c>
      <c r="H49" s="97"/>
      <c r="I49" s="76"/>
      <c r="J49" s="76"/>
      <c r="K49" s="76"/>
      <c r="L49" s="76"/>
      <c r="M49" s="2"/>
      <c r="N49" s="2"/>
      <c r="O49" s="2"/>
      <c r="P49" s="77"/>
      <c r="Q49" s="77"/>
      <c r="R49" s="77"/>
      <c r="S49" s="77"/>
      <c r="T49" s="77"/>
      <c r="U49" s="77"/>
      <c r="V49" s="77"/>
    </row>
    <row r="50" spans="1:22" s="78" customFormat="1" ht="17.25" customHeight="1">
      <c r="A50" s="68" t="s">
        <v>93</v>
      </c>
      <c r="B50" s="69" t="s">
        <v>63</v>
      </c>
      <c r="C50" s="18">
        <f>10*137</f>
        <v>1370</v>
      </c>
      <c r="D50" s="18">
        <f>C50</f>
        <v>1370</v>
      </c>
      <c r="E50" s="96" t="s">
        <v>92</v>
      </c>
      <c r="F50" s="96"/>
      <c r="G50" s="97" t="s">
        <v>60</v>
      </c>
      <c r="H50" s="97"/>
      <c r="I50" s="76"/>
      <c r="J50" s="76"/>
      <c r="K50" s="76"/>
      <c r="L50" s="76"/>
      <c r="M50" s="2"/>
      <c r="N50" s="2"/>
      <c r="O50" s="2"/>
      <c r="P50" s="77"/>
      <c r="Q50" s="77"/>
      <c r="R50" s="77"/>
      <c r="S50" s="77"/>
      <c r="T50" s="77"/>
      <c r="U50" s="77"/>
      <c r="V50" s="77"/>
    </row>
    <row r="52" ht="15.75">
      <c r="A52" s="1" t="s">
        <v>94</v>
      </c>
    </row>
    <row r="53" spans="2:22" s="79" customFormat="1" ht="15">
      <c r="B53" s="2"/>
      <c r="C53" s="2"/>
      <c r="D53" s="2"/>
      <c r="E53" s="80" t="s">
        <v>95</v>
      </c>
      <c r="F53" s="80" t="s">
        <v>96</v>
      </c>
      <c r="G53" s="81" t="s">
        <v>97</v>
      </c>
      <c r="H53" s="3"/>
      <c r="I53" s="3"/>
      <c r="J53" s="3"/>
      <c r="K53" s="3"/>
      <c r="L53" s="3"/>
      <c r="M53" s="2"/>
      <c r="N53" s="2"/>
      <c r="O53" s="2"/>
      <c r="P53" s="4"/>
      <c r="Q53" s="4"/>
      <c r="R53" s="4"/>
      <c r="S53" s="4"/>
      <c r="T53" s="4"/>
      <c r="U53" s="4"/>
      <c r="V53" s="4"/>
    </row>
    <row r="54" spans="1:22" s="79" customFormat="1" ht="29.25" customHeight="1">
      <c r="A54" s="90" t="s">
        <v>98</v>
      </c>
      <c r="B54" s="90"/>
      <c r="C54" s="90"/>
      <c r="D54" s="82" t="s">
        <v>99</v>
      </c>
      <c r="E54" s="69">
        <v>1</v>
      </c>
      <c r="F54" s="69">
        <v>1</v>
      </c>
      <c r="G54" s="91" t="s">
        <v>100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4"/>
      <c r="S54" s="4"/>
      <c r="T54" s="4"/>
      <c r="U54" s="4"/>
      <c r="V54" s="4"/>
    </row>
    <row r="55" spans="1:22" s="79" customFormat="1" ht="33" customHeight="1">
      <c r="A55" s="90" t="s">
        <v>101</v>
      </c>
      <c r="B55" s="90"/>
      <c r="C55" s="90"/>
      <c r="D55" s="82" t="s">
        <v>99</v>
      </c>
      <c r="E55" s="69">
        <v>1</v>
      </c>
      <c r="F55" s="69">
        <v>1</v>
      </c>
      <c r="G55" s="92" t="s">
        <v>102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4"/>
      <c r="S55" s="4"/>
      <c r="T55" s="4"/>
      <c r="U55" s="4"/>
      <c r="V55" s="4"/>
    </row>
    <row r="56" spans="1:22" s="79" customFormat="1" ht="32.25" customHeight="1">
      <c r="A56" s="90" t="s">
        <v>103</v>
      </c>
      <c r="B56" s="90"/>
      <c r="C56" s="90"/>
      <c r="D56" s="82" t="s">
        <v>99</v>
      </c>
      <c r="E56" s="69">
        <v>0</v>
      </c>
      <c r="F56" s="69">
        <v>0</v>
      </c>
      <c r="R56" s="4"/>
      <c r="S56" s="4"/>
      <c r="T56" s="4"/>
      <c r="U56" s="4"/>
      <c r="V56" s="4"/>
    </row>
    <row r="57" spans="1:22" s="79" customFormat="1" ht="30" customHeight="1">
      <c r="A57" s="90" t="s">
        <v>104</v>
      </c>
      <c r="B57" s="90"/>
      <c r="C57" s="90"/>
      <c r="D57" s="82" t="s">
        <v>105</v>
      </c>
      <c r="E57" s="18">
        <v>0</v>
      </c>
      <c r="F57" s="18">
        <v>294.21</v>
      </c>
      <c r="R57" s="4"/>
      <c r="S57" s="4"/>
      <c r="T57" s="4"/>
      <c r="U57" s="4"/>
      <c r="V57" s="4"/>
    </row>
    <row r="58" spans="1:22" s="79" customFormat="1" ht="19.5" customHeight="1">
      <c r="A58" s="4"/>
      <c r="B58" s="2"/>
      <c r="C58" s="2"/>
      <c r="D58" s="2"/>
      <c r="E58" s="2"/>
      <c r="F58" s="3"/>
      <c r="R58" s="4"/>
      <c r="S58" s="4"/>
      <c r="T58" s="4"/>
      <c r="U58" s="4"/>
      <c r="V58" s="4"/>
    </row>
    <row r="59" spans="1:22" s="79" customFormat="1" ht="24" customHeight="1">
      <c r="A59" s="1" t="s">
        <v>106</v>
      </c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2"/>
      <c r="N59" s="2"/>
      <c r="O59" s="2"/>
      <c r="P59" s="4"/>
      <c r="Q59" s="4"/>
      <c r="R59" s="4"/>
      <c r="S59" s="4"/>
      <c r="T59" s="4"/>
      <c r="U59" s="4"/>
      <c r="V59" s="4"/>
    </row>
    <row r="60" spans="1:22" s="79" customFormat="1" ht="24" customHeight="1">
      <c r="A60" s="90" t="s">
        <v>107</v>
      </c>
      <c r="B60" s="90"/>
      <c r="C60" s="90"/>
      <c r="D60" s="69" t="s">
        <v>99</v>
      </c>
      <c r="E60" s="69">
        <v>2</v>
      </c>
      <c r="F60" s="3"/>
      <c r="G60" s="3"/>
      <c r="H60" s="3"/>
      <c r="I60" s="3"/>
      <c r="J60" s="3"/>
      <c r="K60" s="3"/>
      <c r="L60" s="3"/>
      <c r="M60" s="2"/>
      <c r="N60" s="2"/>
      <c r="O60" s="2"/>
      <c r="P60" s="4"/>
      <c r="Q60" s="4"/>
      <c r="R60" s="4"/>
      <c r="S60" s="4"/>
      <c r="T60" s="4"/>
      <c r="U60" s="4"/>
      <c r="V60" s="4"/>
    </row>
    <row r="61" spans="1:22" s="79" customFormat="1" ht="24" customHeight="1">
      <c r="A61" s="90" t="s">
        <v>108</v>
      </c>
      <c r="B61" s="90"/>
      <c r="C61" s="90"/>
      <c r="D61" s="69" t="s">
        <v>99</v>
      </c>
      <c r="E61" s="69">
        <v>1</v>
      </c>
      <c r="F61" s="3"/>
      <c r="G61" s="3"/>
      <c r="H61" s="3"/>
      <c r="I61" s="3"/>
      <c r="J61" s="3"/>
      <c r="K61" s="3"/>
      <c r="L61" s="3"/>
      <c r="M61" s="2"/>
      <c r="N61" s="2"/>
      <c r="O61" s="2"/>
      <c r="P61" s="4"/>
      <c r="Q61" s="4"/>
      <c r="R61" s="4"/>
      <c r="S61" s="4"/>
      <c r="T61" s="4"/>
      <c r="U61" s="4"/>
      <c r="V61" s="4"/>
    </row>
    <row r="62" spans="1:22" s="79" customFormat="1" ht="31.5" customHeight="1">
      <c r="A62" s="90" t="s">
        <v>109</v>
      </c>
      <c r="B62" s="90"/>
      <c r="C62" s="90"/>
      <c r="D62" s="69" t="s">
        <v>105</v>
      </c>
      <c r="E62" s="18">
        <v>35000</v>
      </c>
      <c r="F62" s="3"/>
      <c r="G62" s="3"/>
      <c r="H62" s="3"/>
      <c r="I62" s="3"/>
      <c r="J62" s="3"/>
      <c r="K62" s="3"/>
      <c r="L62" s="3"/>
      <c r="M62" s="2"/>
      <c r="N62" s="2"/>
      <c r="O62" s="2"/>
      <c r="P62" s="4"/>
      <c r="Q62" s="4"/>
      <c r="R62" s="4"/>
      <c r="S62" s="4"/>
      <c r="T62" s="4"/>
      <c r="U62" s="4"/>
      <c r="V62" s="4"/>
    </row>
    <row r="66" spans="1:2" ht="15">
      <c r="A66" s="4" t="s">
        <v>110</v>
      </c>
      <c r="B66" s="2" t="s">
        <v>111</v>
      </c>
    </row>
  </sheetData>
  <sheetProtection/>
  <mergeCells count="64">
    <mergeCell ref="A10:A11"/>
    <mergeCell ref="B10:B11"/>
    <mergeCell ref="C10:C11"/>
    <mergeCell ref="D10:D11"/>
    <mergeCell ref="E10:E11"/>
    <mergeCell ref="F10:K10"/>
    <mergeCell ref="L10:L11"/>
    <mergeCell ref="M10:M11"/>
    <mergeCell ref="N10:N11"/>
    <mergeCell ref="O10:O11"/>
    <mergeCell ref="P10:P11"/>
    <mergeCell ref="I24:I25"/>
    <mergeCell ref="E29:F29"/>
    <mergeCell ref="G29:H29"/>
    <mergeCell ref="I29:N29"/>
    <mergeCell ref="A30:C30"/>
    <mergeCell ref="E30:F30"/>
    <mergeCell ref="G30:H30"/>
    <mergeCell ref="I30:N30"/>
    <mergeCell ref="A31:C31"/>
    <mergeCell ref="E31:F31"/>
    <mergeCell ref="G31:H36"/>
    <mergeCell ref="I31:N36"/>
    <mergeCell ref="E32:F32"/>
    <mergeCell ref="E33:F33"/>
    <mergeCell ref="E34:F34"/>
    <mergeCell ref="E35:F35"/>
    <mergeCell ref="E36:F36"/>
    <mergeCell ref="A37:C37"/>
    <mergeCell ref="E37:F37"/>
    <mergeCell ref="G37:H40"/>
    <mergeCell ref="I37:N40"/>
    <mergeCell ref="E38:F38"/>
    <mergeCell ref="E39:F39"/>
    <mergeCell ref="E40:F40"/>
    <mergeCell ref="A41:C41"/>
    <mergeCell ref="E41:F41"/>
    <mergeCell ref="G41:H44"/>
    <mergeCell ref="I41:N44"/>
    <mergeCell ref="E42:F44"/>
    <mergeCell ref="E45:F45"/>
    <mergeCell ref="G45:H45"/>
    <mergeCell ref="I45:N45"/>
    <mergeCell ref="E46:F46"/>
    <mergeCell ref="G46:H46"/>
    <mergeCell ref="I46:N46"/>
    <mergeCell ref="E47:F47"/>
    <mergeCell ref="G47:H47"/>
    <mergeCell ref="I47:N47"/>
    <mergeCell ref="E48:F48"/>
    <mergeCell ref="G48:H48"/>
    <mergeCell ref="E49:F49"/>
    <mergeCell ref="G49:H49"/>
    <mergeCell ref="E50:F50"/>
    <mergeCell ref="G50:H50"/>
    <mergeCell ref="A60:C60"/>
    <mergeCell ref="A61:C61"/>
    <mergeCell ref="A62:C62"/>
    <mergeCell ref="A54:C54"/>
    <mergeCell ref="G54:Q54"/>
    <mergeCell ref="A55:C55"/>
    <mergeCell ref="G55:Q55"/>
    <mergeCell ref="A56:C56"/>
    <mergeCell ref="A57:C57"/>
  </mergeCells>
  <printOptions/>
  <pageMargins left="0.15748031496062992" right="0.1968503937007874" top="0.4724409448818898" bottom="0.2755905511811024" header="0.4724409448818898" footer="0.2362204724409449"/>
  <pageSetup fitToHeight="2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="86" zoomScaleNormal="86" zoomScalePageLayoutView="0" workbookViewId="0" topLeftCell="A1">
      <selection activeCell="L17" sqref="L17"/>
    </sheetView>
  </sheetViews>
  <sheetFormatPr defaultColWidth="9.140625" defaultRowHeight="15"/>
  <cols>
    <col min="1" max="1" width="47.421875" style="4" customWidth="1"/>
    <col min="2" max="2" width="12.7109375" style="2" customWidth="1"/>
    <col min="3" max="3" width="14.00390625" style="2" customWidth="1"/>
    <col min="4" max="4" width="14.140625" style="2" customWidth="1"/>
    <col min="5" max="5" width="13.7109375" style="2" customWidth="1"/>
    <col min="6" max="6" width="14.28125" style="3" customWidth="1"/>
    <col min="7" max="7" width="15.28125" style="3" customWidth="1"/>
    <col min="8" max="8" width="15.57421875" style="3" customWidth="1"/>
    <col min="9" max="9" width="16.28125" style="3" customWidth="1"/>
    <col min="10" max="10" width="14.421875" style="3" customWidth="1"/>
    <col min="11" max="11" width="13.57421875" style="3" customWidth="1"/>
    <col min="12" max="12" width="14.140625" style="3" customWidth="1"/>
    <col min="13" max="13" width="14.57421875" style="2" customWidth="1"/>
    <col min="14" max="14" width="14.28125" style="2" customWidth="1"/>
    <col min="15" max="15" width="14.421875" style="2" customWidth="1"/>
    <col min="16" max="16" width="14.00390625" style="4" customWidth="1"/>
    <col min="17" max="17" width="8.421875" style="4" customWidth="1"/>
    <col min="18" max="22" width="9.140625" style="5" customWidth="1"/>
  </cols>
  <sheetData>
    <row r="1" ht="15.75">
      <c r="A1" s="1" t="s">
        <v>0</v>
      </c>
    </row>
    <row r="3" ht="15">
      <c r="A3" s="6" t="s">
        <v>1</v>
      </c>
    </row>
    <row r="4" ht="15">
      <c r="A4" s="4" t="s">
        <v>112</v>
      </c>
    </row>
    <row r="5" ht="15">
      <c r="A5" s="4" t="s">
        <v>113</v>
      </c>
    </row>
    <row r="6" ht="15">
      <c r="A6" s="4" t="s">
        <v>4</v>
      </c>
    </row>
    <row r="7" ht="15">
      <c r="A7" s="4" t="s">
        <v>114</v>
      </c>
    </row>
    <row r="8" ht="15">
      <c r="A8" s="4" t="s">
        <v>115</v>
      </c>
    </row>
    <row r="9" ht="15.75" thickBot="1"/>
    <row r="10" spans="1:22" s="8" customFormat="1" ht="15.75" customHeight="1">
      <c r="A10" s="136" t="s">
        <v>7</v>
      </c>
      <c r="B10" s="140" t="s">
        <v>8</v>
      </c>
      <c r="C10" s="132" t="s">
        <v>9</v>
      </c>
      <c r="D10" s="132" t="s">
        <v>10</v>
      </c>
      <c r="E10" s="132" t="s">
        <v>11</v>
      </c>
      <c r="F10" s="132" t="s">
        <v>12</v>
      </c>
      <c r="G10" s="132"/>
      <c r="H10" s="132"/>
      <c r="I10" s="132"/>
      <c r="J10" s="132"/>
      <c r="K10" s="132"/>
      <c r="L10" s="132" t="s">
        <v>13</v>
      </c>
      <c r="M10" s="132" t="s">
        <v>14</v>
      </c>
      <c r="N10" s="132" t="s">
        <v>15</v>
      </c>
      <c r="O10" s="134" t="s">
        <v>16</v>
      </c>
      <c r="P10" s="136" t="s">
        <v>17</v>
      </c>
      <c r="Q10" s="7"/>
      <c r="R10" s="7"/>
      <c r="S10" s="7"/>
      <c r="T10" s="7"/>
      <c r="U10" s="7"/>
      <c r="V10" s="7"/>
    </row>
    <row r="11" spans="1:22" s="8" customFormat="1" ht="63" customHeight="1" thickBot="1">
      <c r="A11" s="137"/>
      <c r="B11" s="141"/>
      <c r="C11" s="133"/>
      <c r="D11" s="133"/>
      <c r="E11" s="133"/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33"/>
      <c r="M11" s="133"/>
      <c r="N11" s="133"/>
      <c r="O11" s="135"/>
      <c r="P11" s="137"/>
      <c r="Q11" s="7"/>
      <c r="R11" s="7"/>
      <c r="S11" s="7"/>
      <c r="T11" s="7"/>
      <c r="U11" s="7"/>
      <c r="V11" s="7"/>
    </row>
    <row r="12" spans="1:22" s="15" customFormat="1" ht="15.75" customHeight="1">
      <c r="A12" s="10" t="s">
        <v>24</v>
      </c>
      <c r="B12" s="11">
        <f>SUM(B13:B19)</f>
        <v>0</v>
      </c>
      <c r="C12" s="12">
        <f>SUM(C13:C19)</f>
        <v>-52429.37</v>
      </c>
      <c r="D12" s="12">
        <f>SUM(D13:D19)</f>
        <v>27168.1</v>
      </c>
      <c r="E12" s="12">
        <f>SUM(E13:E19)</f>
        <v>199391.22000000003</v>
      </c>
      <c r="F12" s="12">
        <f aca="true" t="shared" si="0" ref="F12:O12">SUM(F13:F19)</f>
        <v>150933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98503.63</v>
      </c>
      <c r="L12" s="12">
        <f t="shared" si="0"/>
        <v>330602.37</v>
      </c>
      <c r="M12" s="12">
        <f t="shared" si="0"/>
        <v>0</v>
      </c>
      <c r="N12" s="12">
        <f t="shared" si="0"/>
        <v>-232098.74</v>
      </c>
      <c r="O12" s="12">
        <f t="shared" si="0"/>
        <v>75626.32000000002</v>
      </c>
      <c r="P12" s="13">
        <f aca="true" t="shared" si="1" ref="P12:P21">F12/(D12+E12)</f>
        <v>0.6661963851233309</v>
      </c>
      <c r="Q12" s="14"/>
      <c r="R12" s="14"/>
      <c r="S12" s="14"/>
      <c r="T12" s="14"/>
      <c r="U12" s="14"/>
      <c r="V12" s="14"/>
    </row>
    <row r="13" spans="1:22" s="22" customFormat="1" ht="57.75" customHeight="1">
      <c r="A13" s="16" t="s">
        <v>25</v>
      </c>
      <c r="B13" s="17">
        <v>0</v>
      </c>
      <c r="C13" s="18">
        <v>3057.7</v>
      </c>
      <c r="D13" s="18">
        <v>1507.96</v>
      </c>
      <c r="E13" s="18">
        <v>11072.46</v>
      </c>
      <c r="F13" s="18">
        <v>8381.19</v>
      </c>
      <c r="G13" s="18">
        <v>0</v>
      </c>
      <c r="H13" s="18">
        <v>0</v>
      </c>
      <c r="I13" s="18">
        <v>0</v>
      </c>
      <c r="J13" s="18">
        <v>0</v>
      </c>
      <c r="K13" s="18">
        <f>F13+G13+H13+I13+J13+C13</f>
        <v>11438.89</v>
      </c>
      <c r="L13" s="18">
        <f>D32</f>
        <v>11371</v>
      </c>
      <c r="M13" s="18">
        <v>0</v>
      </c>
      <c r="N13" s="18">
        <f>K13-L13</f>
        <v>67.88999999999942</v>
      </c>
      <c r="O13" s="19">
        <f>D13+E13-F13</f>
        <v>4199.229999999998</v>
      </c>
      <c r="P13" s="20">
        <f t="shared" si="1"/>
        <v>0.6662090772804089</v>
      </c>
      <c r="Q13" s="21"/>
      <c r="R13" s="21"/>
      <c r="S13" s="21"/>
      <c r="T13" s="21"/>
      <c r="U13" s="21"/>
      <c r="V13" s="21"/>
    </row>
    <row r="14" spans="1:22" s="22" customFormat="1" ht="29.25" customHeight="1">
      <c r="A14" s="16" t="s">
        <v>26</v>
      </c>
      <c r="B14" s="17">
        <v>0</v>
      </c>
      <c r="C14" s="18">
        <v>2704.89</v>
      </c>
      <c r="D14" s="18">
        <v>1333.97</v>
      </c>
      <c r="E14" s="18">
        <v>9820.12</v>
      </c>
      <c r="F14" s="18">
        <v>7433.25</v>
      </c>
      <c r="G14" s="18">
        <v>0</v>
      </c>
      <c r="H14" s="18">
        <v>0</v>
      </c>
      <c r="I14" s="18">
        <v>0</v>
      </c>
      <c r="J14" s="18">
        <v>0</v>
      </c>
      <c r="K14" s="18">
        <f aca="true" t="shared" si="2" ref="K14:K20">F14+G14+H14+I14+J14+C14</f>
        <v>10138.14</v>
      </c>
      <c r="L14" s="18">
        <f>D38</f>
        <v>9864</v>
      </c>
      <c r="M14" s="18">
        <v>0</v>
      </c>
      <c r="N14" s="18">
        <f aca="true" t="shared" si="3" ref="N14:N19">K14-L14</f>
        <v>274.1399999999994</v>
      </c>
      <c r="O14" s="19">
        <f aca="true" t="shared" si="4" ref="O14:O20">D14+E14-F14</f>
        <v>3720.84</v>
      </c>
      <c r="P14" s="20">
        <f t="shared" si="1"/>
        <v>0.6664147411397972</v>
      </c>
      <c r="Q14" s="21"/>
      <c r="R14" s="21"/>
      <c r="S14" s="21"/>
      <c r="T14" s="21"/>
      <c r="U14" s="21"/>
      <c r="V14" s="21"/>
    </row>
    <row r="15" spans="1:22" s="22" customFormat="1" ht="45" customHeight="1">
      <c r="A15" s="16" t="s">
        <v>27</v>
      </c>
      <c r="B15" s="17">
        <v>0</v>
      </c>
      <c r="C15" s="18">
        <v>1088.59</v>
      </c>
      <c r="D15" s="18">
        <v>2932.96</v>
      </c>
      <c r="E15" s="18">
        <v>21149.5</v>
      </c>
      <c r="F15" s="18">
        <v>16014.73</v>
      </c>
      <c r="G15" s="18">
        <v>0</v>
      </c>
      <c r="H15" s="18">
        <v>0</v>
      </c>
      <c r="I15" s="18">
        <v>0</v>
      </c>
      <c r="J15" s="18">
        <v>0</v>
      </c>
      <c r="K15" s="18">
        <f t="shared" si="2"/>
        <v>17103.32</v>
      </c>
      <c r="L15" s="18">
        <f>D42</f>
        <v>21098</v>
      </c>
      <c r="M15" s="18">
        <v>0</v>
      </c>
      <c r="N15" s="18">
        <f t="shared" si="3"/>
        <v>-3994.6800000000003</v>
      </c>
      <c r="O15" s="19">
        <f t="shared" si="4"/>
        <v>8067.73</v>
      </c>
      <c r="P15" s="20">
        <f t="shared" si="1"/>
        <v>0.6649956026087036</v>
      </c>
      <c r="Q15" s="21"/>
      <c r="R15" s="21"/>
      <c r="S15" s="21"/>
      <c r="T15" s="21"/>
      <c r="U15" s="21"/>
      <c r="V15" s="21"/>
    </row>
    <row r="16" spans="1:22" s="22" customFormat="1" ht="28.5" customHeight="1">
      <c r="A16" s="16" t="s">
        <v>28</v>
      </c>
      <c r="B16" s="17">
        <v>0</v>
      </c>
      <c r="C16" s="18">
        <v>-6217.06</v>
      </c>
      <c r="D16" s="18">
        <v>1980.24</v>
      </c>
      <c r="E16" s="18">
        <v>14630.6</v>
      </c>
      <c r="F16" s="18">
        <v>11074.5</v>
      </c>
      <c r="G16" s="18">
        <v>0</v>
      </c>
      <c r="H16" s="18">
        <v>0</v>
      </c>
      <c r="I16" s="18">
        <v>0</v>
      </c>
      <c r="J16" s="18">
        <v>0</v>
      </c>
      <c r="K16" s="18">
        <f t="shared" si="2"/>
        <v>4857.44</v>
      </c>
      <c r="L16" s="18">
        <f>D47</f>
        <v>14630.6</v>
      </c>
      <c r="M16" s="18">
        <v>0</v>
      </c>
      <c r="N16" s="18">
        <f t="shared" si="3"/>
        <v>-9773.16</v>
      </c>
      <c r="O16" s="19">
        <f t="shared" si="4"/>
        <v>5536.34</v>
      </c>
      <c r="P16" s="20">
        <f t="shared" si="1"/>
        <v>0.6667031890018807</v>
      </c>
      <c r="Q16" s="21"/>
      <c r="R16" s="21"/>
      <c r="S16" s="21"/>
      <c r="T16" s="21"/>
      <c r="U16" s="21"/>
      <c r="V16" s="21"/>
    </row>
    <row r="17" spans="1:22" s="22" customFormat="1" ht="17.25" customHeight="1">
      <c r="A17" s="16" t="s">
        <v>29</v>
      </c>
      <c r="B17" s="17">
        <v>0</v>
      </c>
      <c r="C17" s="18">
        <v>-52355.94</v>
      </c>
      <c r="D17" s="18">
        <v>13944.53</v>
      </c>
      <c r="E17" s="18">
        <v>102527.35000000002</v>
      </c>
      <c r="F17" s="18">
        <v>77607.02</v>
      </c>
      <c r="G17" s="18">
        <v>0</v>
      </c>
      <c r="H17" s="18">
        <v>0</v>
      </c>
      <c r="I17" s="18">
        <v>0</v>
      </c>
      <c r="J17" s="18">
        <v>0</v>
      </c>
      <c r="K17" s="18">
        <f t="shared" si="2"/>
        <v>25251.08</v>
      </c>
      <c r="L17" s="18">
        <f>D48</f>
        <v>233480</v>
      </c>
      <c r="M17" s="18">
        <v>0</v>
      </c>
      <c r="N17" s="18">
        <f t="shared" si="3"/>
        <v>-208228.91999999998</v>
      </c>
      <c r="O17" s="19">
        <f t="shared" si="4"/>
        <v>38864.860000000015</v>
      </c>
      <c r="P17" s="20">
        <f t="shared" si="1"/>
        <v>0.6663155089451633</v>
      </c>
      <c r="Q17" s="21"/>
      <c r="R17" s="21"/>
      <c r="S17" s="21"/>
      <c r="T17" s="21"/>
      <c r="U17" s="21"/>
      <c r="V17" s="21"/>
    </row>
    <row r="18" spans="1:22" s="22" customFormat="1" ht="17.25" customHeight="1">
      <c r="A18" s="16" t="s">
        <v>30</v>
      </c>
      <c r="B18" s="17">
        <v>0</v>
      </c>
      <c r="C18" s="18">
        <v>-456.33</v>
      </c>
      <c r="D18" s="18">
        <v>3952.19</v>
      </c>
      <c r="E18" s="18">
        <v>29061.77</v>
      </c>
      <c r="F18" s="18">
        <v>21998.02</v>
      </c>
      <c r="G18" s="18">
        <v>0</v>
      </c>
      <c r="H18" s="18">
        <v>0</v>
      </c>
      <c r="I18" s="18">
        <v>0</v>
      </c>
      <c r="J18" s="18">
        <v>0</v>
      </c>
      <c r="K18" s="18">
        <f t="shared" si="2"/>
        <v>21541.69</v>
      </c>
      <c r="L18" s="18">
        <f>D49</f>
        <v>29061.77</v>
      </c>
      <c r="M18" s="18">
        <v>0</v>
      </c>
      <c r="N18" s="18">
        <f t="shared" si="3"/>
        <v>-7520.080000000002</v>
      </c>
      <c r="O18" s="19">
        <f t="shared" si="4"/>
        <v>11015.939999999999</v>
      </c>
      <c r="P18" s="20">
        <f t="shared" si="1"/>
        <v>0.666324791088376</v>
      </c>
      <c r="Q18" s="21"/>
      <c r="R18" s="21"/>
      <c r="S18" s="21"/>
      <c r="T18" s="21"/>
      <c r="U18" s="21"/>
      <c r="V18" s="21"/>
    </row>
    <row r="19" spans="1:22" s="22" customFormat="1" ht="18" customHeight="1">
      <c r="A19" s="16" t="s">
        <v>31</v>
      </c>
      <c r="B19" s="17">
        <v>0</v>
      </c>
      <c r="C19" s="18">
        <v>-251.22</v>
      </c>
      <c r="D19" s="18">
        <v>1516.25</v>
      </c>
      <c r="E19" s="18">
        <v>11129.42</v>
      </c>
      <c r="F19" s="18">
        <v>8424.29</v>
      </c>
      <c r="G19" s="18">
        <v>0</v>
      </c>
      <c r="H19" s="18">
        <v>0</v>
      </c>
      <c r="I19" s="18">
        <v>0</v>
      </c>
      <c r="J19" s="18">
        <v>0</v>
      </c>
      <c r="K19" s="18">
        <f t="shared" si="2"/>
        <v>8173.070000000001</v>
      </c>
      <c r="L19" s="18">
        <f>D50</f>
        <v>11097</v>
      </c>
      <c r="M19" s="18">
        <v>0</v>
      </c>
      <c r="N19" s="18">
        <f t="shared" si="3"/>
        <v>-2923.9299999999994</v>
      </c>
      <c r="O19" s="19">
        <f t="shared" si="4"/>
        <v>4221.379999999999</v>
      </c>
      <c r="P19" s="20">
        <f t="shared" si="1"/>
        <v>0.6661798070011317</v>
      </c>
      <c r="Q19" s="21"/>
      <c r="R19" s="21"/>
      <c r="S19" s="21"/>
      <c r="T19" s="21"/>
      <c r="U19" s="21"/>
      <c r="V19" s="21"/>
    </row>
    <row r="20" spans="1:22" s="15" customFormat="1" ht="18.75" customHeight="1" thickBot="1">
      <c r="A20" s="83" t="s">
        <v>116</v>
      </c>
      <c r="B20" s="84">
        <v>0</v>
      </c>
      <c r="C20" s="85">
        <v>597.56</v>
      </c>
      <c r="D20" s="85">
        <v>237.12</v>
      </c>
      <c r="E20" s="85">
        <v>8128.879999999997</v>
      </c>
      <c r="F20" s="85">
        <v>4412.860000000001</v>
      </c>
      <c r="G20" s="85">
        <v>0</v>
      </c>
      <c r="H20" s="85">
        <v>0</v>
      </c>
      <c r="I20" s="85">
        <v>0</v>
      </c>
      <c r="J20" s="85">
        <v>0</v>
      </c>
      <c r="K20" s="63">
        <f t="shared" si="2"/>
        <v>5010.42</v>
      </c>
      <c r="L20" s="63">
        <f>E20+C20</f>
        <v>8726.439999999997</v>
      </c>
      <c r="M20" s="85">
        <v>0</v>
      </c>
      <c r="N20" s="63">
        <f>K20-L20</f>
        <v>-3716.019999999997</v>
      </c>
      <c r="O20" s="86">
        <f t="shared" si="4"/>
        <v>3953.1399999999976</v>
      </c>
      <c r="P20" s="87">
        <f t="shared" si="1"/>
        <v>0.5274754960554627</v>
      </c>
      <c r="Q20" s="14"/>
      <c r="R20" s="14"/>
      <c r="S20" s="14"/>
      <c r="T20" s="14"/>
      <c r="U20" s="14"/>
      <c r="V20" s="14"/>
    </row>
    <row r="21" spans="1:22" s="15" customFormat="1" ht="17.25" customHeight="1" thickBot="1">
      <c r="A21" s="23" t="s">
        <v>32</v>
      </c>
      <c r="B21" s="24">
        <f>SUM(B13:B20)</f>
        <v>0</v>
      </c>
      <c r="C21" s="24">
        <f>SUM(C13:C20)</f>
        <v>-51831.810000000005</v>
      </c>
      <c r="D21" s="24">
        <f>SUM(D13:D20)</f>
        <v>27405.219999999998</v>
      </c>
      <c r="E21" s="24">
        <f aca="true" t="shared" si="5" ref="E21:O21">SUM(E13:E20)</f>
        <v>207520.10000000003</v>
      </c>
      <c r="F21" s="24">
        <f t="shared" si="5"/>
        <v>155345.86</v>
      </c>
      <c r="G21" s="24">
        <f t="shared" si="5"/>
        <v>0</v>
      </c>
      <c r="H21" s="24">
        <f t="shared" si="5"/>
        <v>0</v>
      </c>
      <c r="I21" s="24">
        <f t="shared" si="5"/>
        <v>0</v>
      </c>
      <c r="J21" s="24">
        <f t="shared" si="5"/>
        <v>0</v>
      </c>
      <c r="K21" s="24">
        <f t="shared" si="5"/>
        <v>103514.05</v>
      </c>
      <c r="L21" s="24">
        <f t="shared" si="5"/>
        <v>339328.81</v>
      </c>
      <c r="M21" s="24">
        <f t="shared" si="5"/>
        <v>0</v>
      </c>
      <c r="N21" s="24">
        <f t="shared" si="5"/>
        <v>-235814.75999999998</v>
      </c>
      <c r="O21" s="24">
        <f t="shared" si="5"/>
        <v>79579.46000000002</v>
      </c>
      <c r="P21" s="25">
        <f t="shared" si="1"/>
        <v>0.6612563515929231</v>
      </c>
      <c r="Q21" s="14"/>
      <c r="R21" s="14"/>
      <c r="S21" s="14"/>
      <c r="T21" s="14"/>
      <c r="U21" s="14"/>
      <c r="V21" s="14"/>
    </row>
    <row r="22" spans="1:17" ht="15.75" thickBot="1">
      <c r="A22" s="26"/>
      <c r="B22" s="27"/>
      <c r="C22" s="27"/>
      <c r="D22" s="27"/>
      <c r="E22" s="27"/>
      <c r="F22" s="28"/>
      <c r="G22" s="28"/>
      <c r="H22" s="28"/>
      <c r="I22" s="28"/>
      <c r="J22" s="28"/>
      <c r="K22" s="28"/>
      <c r="L22" s="28"/>
      <c r="M22" s="27"/>
      <c r="N22" s="27"/>
      <c r="O22" s="27"/>
      <c r="P22" s="26"/>
      <c r="Q22" s="26"/>
    </row>
    <row r="23" spans="1:22" s="8" customFormat="1" ht="86.25" customHeight="1" thickBot="1">
      <c r="A23" s="29" t="s">
        <v>33</v>
      </c>
      <c r="B23" s="30" t="s">
        <v>34</v>
      </c>
      <c r="C23" s="31" t="s">
        <v>35</v>
      </c>
      <c r="D23" s="31" t="s">
        <v>8</v>
      </c>
      <c r="E23" s="31" t="s">
        <v>9</v>
      </c>
      <c r="F23" s="31" t="s">
        <v>10</v>
      </c>
      <c r="G23" s="31" t="s">
        <v>36</v>
      </c>
      <c r="H23" s="31" t="s">
        <v>37</v>
      </c>
      <c r="I23" s="31" t="s">
        <v>38</v>
      </c>
      <c r="J23" s="31" t="s">
        <v>39</v>
      </c>
      <c r="K23" s="31" t="s">
        <v>40</v>
      </c>
      <c r="L23" s="31" t="s">
        <v>41</v>
      </c>
      <c r="M23" s="31" t="s">
        <v>42</v>
      </c>
      <c r="N23" s="31" t="s">
        <v>14</v>
      </c>
      <c r="O23" s="31" t="s">
        <v>15</v>
      </c>
      <c r="P23" s="32" t="s">
        <v>16</v>
      </c>
      <c r="Q23" s="33" t="s">
        <v>17</v>
      </c>
      <c r="R23" s="7"/>
      <c r="S23" s="7"/>
      <c r="T23" s="7"/>
      <c r="U23" s="7"/>
      <c r="V23" s="7"/>
    </row>
    <row r="24" spans="1:22" s="42" customFormat="1" ht="27" customHeight="1">
      <c r="A24" s="34" t="s">
        <v>43</v>
      </c>
      <c r="B24" s="35" t="s">
        <v>44</v>
      </c>
      <c r="C24" s="36">
        <v>146.036</v>
      </c>
      <c r="D24" s="18">
        <v>0</v>
      </c>
      <c r="E24" s="18">
        <v>30602.38</v>
      </c>
      <c r="F24" s="18">
        <v>66109.54</v>
      </c>
      <c r="G24" s="18">
        <v>175563.49000000002</v>
      </c>
      <c r="H24" s="18">
        <v>166742.49</v>
      </c>
      <c r="I24" s="37" t="s">
        <v>45</v>
      </c>
      <c r="J24" s="18">
        <v>175563.49</v>
      </c>
      <c r="K24" s="18">
        <v>101060.09</v>
      </c>
      <c r="L24" s="38">
        <f>J24-K24</f>
        <v>74503.4</v>
      </c>
      <c r="M24" s="18">
        <v>0</v>
      </c>
      <c r="N24" s="18">
        <v>0</v>
      </c>
      <c r="O24" s="38">
        <f>E24+H24-J24</f>
        <v>21781.380000000005</v>
      </c>
      <c r="P24" s="39">
        <f>F24+G24-H24</f>
        <v>74930.54000000004</v>
      </c>
      <c r="Q24" s="40">
        <f>H24/(F24+G24)</f>
        <v>0.6899507570207564</v>
      </c>
      <c r="R24" s="41"/>
      <c r="S24" s="41"/>
      <c r="T24" s="41"/>
      <c r="U24" s="41"/>
      <c r="V24" s="41"/>
    </row>
    <row r="25" spans="1:22" s="42" customFormat="1" ht="17.25" customHeight="1">
      <c r="A25" s="34" t="s">
        <v>46</v>
      </c>
      <c r="B25" s="35" t="s">
        <v>47</v>
      </c>
      <c r="C25" s="36">
        <v>2128.35</v>
      </c>
      <c r="D25" s="18">
        <v>0</v>
      </c>
      <c r="E25" s="18">
        <v>0</v>
      </c>
      <c r="F25" s="18">
        <v>3716.27</v>
      </c>
      <c r="G25" s="18">
        <v>39383.579999999994</v>
      </c>
      <c r="H25" s="18">
        <v>24821.170000000002</v>
      </c>
      <c r="I25" s="138" t="s">
        <v>48</v>
      </c>
      <c r="J25" s="18">
        <v>39383.58</v>
      </c>
      <c r="K25" s="18">
        <v>24311.66</v>
      </c>
      <c r="L25" s="38">
        <f>J25-K25</f>
        <v>15071.920000000002</v>
      </c>
      <c r="M25" s="18">
        <v>0</v>
      </c>
      <c r="N25" s="18">
        <v>0</v>
      </c>
      <c r="O25" s="38">
        <f>E25+H25-J25</f>
        <v>-14562.41</v>
      </c>
      <c r="P25" s="39">
        <f>F25+G25-H25</f>
        <v>18278.67999999999</v>
      </c>
      <c r="Q25" s="40">
        <f>H25/(F25+G25)</f>
        <v>0.5758992200668913</v>
      </c>
      <c r="R25" s="41"/>
      <c r="S25" s="41"/>
      <c r="T25" s="41"/>
      <c r="U25" s="41"/>
      <c r="V25" s="41"/>
    </row>
    <row r="26" spans="1:22" s="42" customFormat="1" ht="17.25" customHeight="1" thickBot="1">
      <c r="A26" s="43" t="s">
        <v>49</v>
      </c>
      <c r="B26" s="44" t="s">
        <v>47</v>
      </c>
      <c r="C26" s="45">
        <v>2128.336</v>
      </c>
      <c r="D26" s="46">
        <v>0</v>
      </c>
      <c r="E26" s="46">
        <v>0</v>
      </c>
      <c r="F26" s="46">
        <v>4756.29</v>
      </c>
      <c r="G26" s="46">
        <v>52779.700000000004</v>
      </c>
      <c r="H26" s="46">
        <v>32976.91</v>
      </c>
      <c r="I26" s="139"/>
      <c r="J26" s="46">
        <v>52779.7</v>
      </c>
      <c r="K26" s="46">
        <v>32299.98</v>
      </c>
      <c r="L26" s="38">
        <f>J26-K26</f>
        <v>20479.719999999998</v>
      </c>
      <c r="M26" s="46">
        <v>0</v>
      </c>
      <c r="N26" s="46">
        <v>0</v>
      </c>
      <c r="O26" s="38">
        <f>E26+H26-J26</f>
        <v>-19802.789999999994</v>
      </c>
      <c r="P26" s="39">
        <f>F26+G26-H26</f>
        <v>24559.08</v>
      </c>
      <c r="Q26" s="47">
        <f>H26/(F26+G26)</f>
        <v>0.5731527344884481</v>
      </c>
      <c r="R26" s="41"/>
      <c r="S26" s="41"/>
      <c r="T26" s="41"/>
      <c r="U26" s="41"/>
      <c r="V26" s="41"/>
    </row>
    <row r="27" spans="1:22" s="53" customFormat="1" ht="17.25" customHeight="1" thickBot="1">
      <c r="A27" s="48" t="s">
        <v>50</v>
      </c>
      <c r="B27" s="49"/>
      <c r="C27" s="50"/>
      <c r="D27" s="24">
        <f>SUM(D24:D26)</f>
        <v>0</v>
      </c>
      <c r="E27" s="24">
        <f>SUM(E24:E26)</f>
        <v>30602.38</v>
      </c>
      <c r="F27" s="24">
        <f>SUM(F24:F26)</f>
        <v>74582.09999999999</v>
      </c>
      <c r="G27" s="24">
        <f>SUM(G24:G26)</f>
        <v>267726.77</v>
      </c>
      <c r="H27" s="24">
        <f>SUM(H24:H26)</f>
        <v>224540.57</v>
      </c>
      <c r="I27" s="24"/>
      <c r="J27" s="24">
        <f aca="true" t="shared" si="6" ref="J27:P27">SUM(J24:J26)</f>
        <v>267726.77</v>
      </c>
      <c r="K27" s="24">
        <f t="shared" si="6"/>
        <v>157671.73</v>
      </c>
      <c r="L27" s="24">
        <f t="shared" si="6"/>
        <v>110055.04</v>
      </c>
      <c r="M27" s="24">
        <f t="shared" si="6"/>
        <v>0</v>
      </c>
      <c r="N27" s="24">
        <f t="shared" si="6"/>
        <v>0</v>
      </c>
      <c r="O27" s="24">
        <f t="shared" si="6"/>
        <v>-12583.819999999989</v>
      </c>
      <c r="P27" s="51">
        <f t="shared" si="6"/>
        <v>117768.30000000003</v>
      </c>
      <c r="Q27" s="25">
        <f>H27/(F27+G27)</f>
        <v>0.6559589589367053</v>
      </c>
      <c r="R27" s="52"/>
      <c r="S27" s="52"/>
      <c r="T27" s="52"/>
      <c r="U27" s="52"/>
      <c r="V27" s="52"/>
    </row>
    <row r="28" spans="1:17" ht="15">
      <c r="A28" s="26"/>
      <c r="B28" s="27"/>
      <c r="C28" s="27"/>
      <c r="D28" s="27"/>
      <c r="E28" s="27"/>
      <c r="F28" s="55"/>
      <c r="G28" s="55"/>
      <c r="H28" s="55"/>
      <c r="I28" s="28"/>
      <c r="J28" s="28"/>
      <c r="K28" s="28"/>
      <c r="L28" s="28"/>
      <c r="M28" s="27"/>
      <c r="N28" s="27"/>
      <c r="O28" s="27"/>
      <c r="P28" s="56"/>
      <c r="Q28" s="26"/>
    </row>
    <row r="29" spans="1:22" s="60" customFormat="1" ht="15">
      <c r="A29" s="57" t="s">
        <v>51</v>
      </c>
      <c r="B29" s="2"/>
      <c r="C29" s="2"/>
      <c r="D29" s="2"/>
      <c r="E29" s="2"/>
      <c r="F29" s="58"/>
      <c r="G29" s="55"/>
      <c r="H29" s="88"/>
      <c r="I29" s="28"/>
      <c r="J29" s="28"/>
      <c r="K29" s="28"/>
      <c r="L29" s="28"/>
      <c r="M29" s="2"/>
      <c r="N29" s="2"/>
      <c r="O29" s="2"/>
      <c r="P29" s="26"/>
      <c r="Q29" s="26"/>
      <c r="R29" s="26"/>
      <c r="S29" s="26"/>
      <c r="T29" s="59"/>
      <c r="U29" s="59"/>
      <c r="V29" s="59"/>
    </row>
    <row r="30" spans="1:22" s="60" customFormat="1" ht="49.5" customHeight="1">
      <c r="A30" s="61" t="s">
        <v>52</v>
      </c>
      <c r="B30" s="61" t="s">
        <v>34</v>
      </c>
      <c r="C30" s="61" t="s">
        <v>53</v>
      </c>
      <c r="D30" s="61" t="s">
        <v>54</v>
      </c>
      <c r="E30" s="124" t="s">
        <v>55</v>
      </c>
      <c r="F30" s="124"/>
      <c r="G30" s="124" t="s">
        <v>56</v>
      </c>
      <c r="H30" s="124"/>
      <c r="I30" s="125" t="s">
        <v>57</v>
      </c>
      <c r="J30" s="125"/>
      <c r="K30" s="125"/>
      <c r="L30" s="125"/>
      <c r="M30" s="125"/>
      <c r="N30" s="125"/>
      <c r="O30" s="62"/>
      <c r="P30" s="62"/>
      <c r="Q30" s="62"/>
      <c r="R30" s="62"/>
      <c r="S30" s="26"/>
      <c r="T30" s="59"/>
      <c r="U30" s="59"/>
      <c r="V30" s="59"/>
    </row>
    <row r="31" spans="1:22" s="60" customFormat="1" ht="15.75">
      <c r="A31" s="126" t="s">
        <v>58</v>
      </c>
      <c r="B31" s="127"/>
      <c r="C31" s="128"/>
      <c r="D31" s="63">
        <f>D32+D38+D42+D47+D49+D50+D48</f>
        <v>330602.37</v>
      </c>
      <c r="E31" s="129"/>
      <c r="F31" s="129"/>
      <c r="G31" s="130"/>
      <c r="H31" s="130"/>
      <c r="I31" s="131"/>
      <c r="J31" s="131"/>
      <c r="K31" s="131"/>
      <c r="L31" s="131"/>
      <c r="M31" s="131"/>
      <c r="N31" s="131"/>
      <c r="O31" s="64"/>
      <c r="P31" s="64"/>
      <c r="Q31" s="64"/>
      <c r="R31" s="64"/>
      <c r="S31" s="26"/>
      <c r="T31" s="59"/>
      <c r="U31" s="59"/>
      <c r="V31" s="59"/>
    </row>
    <row r="32" spans="1:22" s="67" customFormat="1" ht="41.25" customHeight="1">
      <c r="A32" s="115" t="s">
        <v>59</v>
      </c>
      <c r="B32" s="116"/>
      <c r="C32" s="117"/>
      <c r="D32" s="65">
        <f>SUM(D33:D37)</f>
        <v>11371</v>
      </c>
      <c r="E32" s="96"/>
      <c r="F32" s="96"/>
      <c r="G32" s="118" t="s">
        <v>60</v>
      </c>
      <c r="H32" s="119"/>
      <c r="I32" s="106" t="s">
        <v>61</v>
      </c>
      <c r="J32" s="107"/>
      <c r="K32" s="107"/>
      <c r="L32" s="107"/>
      <c r="M32" s="107"/>
      <c r="N32" s="108"/>
      <c r="O32" s="66"/>
      <c r="P32" s="66"/>
      <c r="Q32" s="66"/>
      <c r="R32" s="66"/>
      <c r="S32" s="26"/>
      <c r="T32" s="26"/>
      <c r="U32" s="26"/>
      <c r="V32" s="26"/>
    </row>
    <row r="33" spans="1:22" s="67" customFormat="1" ht="28.5" customHeight="1">
      <c r="A33" s="68" t="s">
        <v>62</v>
      </c>
      <c r="B33" s="69" t="s">
        <v>63</v>
      </c>
      <c r="C33" s="18">
        <f>8*137</f>
        <v>1096</v>
      </c>
      <c r="D33" s="18">
        <f>C33</f>
        <v>1096</v>
      </c>
      <c r="E33" s="96" t="s">
        <v>64</v>
      </c>
      <c r="F33" s="96"/>
      <c r="G33" s="120"/>
      <c r="H33" s="121"/>
      <c r="I33" s="109"/>
      <c r="J33" s="110"/>
      <c r="K33" s="110"/>
      <c r="L33" s="110"/>
      <c r="M33" s="110"/>
      <c r="N33" s="111"/>
      <c r="O33" s="66"/>
      <c r="P33" s="66"/>
      <c r="Q33" s="66"/>
      <c r="R33" s="66"/>
      <c r="S33" s="26"/>
      <c r="T33" s="26"/>
      <c r="U33" s="26"/>
      <c r="V33" s="26"/>
    </row>
    <row r="34" spans="1:22" s="67" customFormat="1" ht="30.75" customHeight="1">
      <c r="A34" s="68" t="s">
        <v>65</v>
      </c>
      <c r="B34" s="69" t="s">
        <v>63</v>
      </c>
      <c r="C34" s="18">
        <f>33*137</f>
        <v>4521</v>
      </c>
      <c r="D34" s="18">
        <f>C34</f>
        <v>4521</v>
      </c>
      <c r="E34" s="96" t="s">
        <v>66</v>
      </c>
      <c r="F34" s="96"/>
      <c r="G34" s="120"/>
      <c r="H34" s="121"/>
      <c r="I34" s="109"/>
      <c r="J34" s="110"/>
      <c r="K34" s="110"/>
      <c r="L34" s="110"/>
      <c r="M34" s="110"/>
      <c r="N34" s="111"/>
      <c r="O34" s="66"/>
      <c r="P34" s="66"/>
      <c r="Q34" s="66"/>
      <c r="R34" s="66"/>
      <c r="S34" s="26"/>
      <c r="T34" s="26"/>
      <c r="U34" s="26"/>
      <c r="V34" s="26"/>
    </row>
    <row r="35" spans="1:22" s="67" customFormat="1" ht="15.75" customHeight="1">
      <c r="A35" s="68" t="s">
        <v>67</v>
      </c>
      <c r="B35" s="69" t="s">
        <v>63</v>
      </c>
      <c r="C35" s="18">
        <f>9*137</f>
        <v>1233</v>
      </c>
      <c r="D35" s="18">
        <f>C35</f>
        <v>1233</v>
      </c>
      <c r="E35" s="96" t="s">
        <v>68</v>
      </c>
      <c r="F35" s="96"/>
      <c r="G35" s="120"/>
      <c r="H35" s="121"/>
      <c r="I35" s="109"/>
      <c r="J35" s="110"/>
      <c r="K35" s="110"/>
      <c r="L35" s="110"/>
      <c r="M35" s="110"/>
      <c r="N35" s="111"/>
      <c r="O35" s="66"/>
      <c r="P35" s="66"/>
      <c r="Q35" s="66"/>
      <c r="R35" s="66"/>
      <c r="S35" s="26"/>
      <c r="T35" s="26"/>
      <c r="U35" s="26"/>
      <c r="V35" s="26"/>
    </row>
    <row r="36" spans="1:22" s="67" customFormat="1" ht="27" customHeight="1">
      <c r="A36" s="68" t="s">
        <v>69</v>
      </c>
      <c r="B36" s="69" t="s">
        <v>63</v>
      </c>
      <c r="C36" s="18">
        <f>17*137</f>
        <v>2329</v>
      </c>
      <c r="D36" s="18">
        <f>C36</f>
        <v>2329</v>
      </c>
      <c r="E36" s="96" t="s">
        <v>66</v>
      </c>
      <c r="F36" s="96"/>
      <c r="G36" s="120"/>
      <c r="H36" s="121"/>
      <c r="I36" s="109"/>
      <c r="J36" s="110"/>
      <c r="K36" s="110"/>
      <c r="L36" s="110"/>
      <c r="M36" s="110"/>
      <c r="N36" s="111"/>
      <c r="O36" s="66"/>
      <c r="P36" s="66"/>
      <c r="Q36" s="66"/>
      <c r="R36" s="66"/>
      <c r="S36" s="26"/>
      <c r="T36" s="26"/>
      <c r="U36" s="26"/>
      <c r="V36" s="26"/>
    </row>
    <row r="37" spans="1:22" s="67" customFormat="1" ht="29.25" customHeight="1">
      <c r="A37" s="68" t="s">
        <v>70</v>
      </c>
      <c r="B37" s="69" t="s">
        <v>63</v>
      </c>
      <c r="C37" s="18">
        <f>16*137</f>
        <v>2192</v>
      </c>
      <c r="D37" s="18">
        <f>C37</f>
        <v>2192</v>
      </c>
      <c r="E37" s="96" t="s">
        <v>71</v>
      </c>
      <c r="F37" s="96"/>
      <c r="G37" s="122"/>
      <c r="H37" s="123"/>
      <c r="I37" s="112"/>
      <c r="J37" s="113"/>
      <c r="K37" s="113"/>
      <c r="L37" s="113"/>
      <c r="M37" s="113"/>
      <c r="N37" s="114"/>
      <c r="O37" s="66"/>
      <c r="P37" s="66"/>
      <c r="Q37" s="66"/>
      <c r="R37" s="66"/>
      <c r="S37" s="26"/>
      <c r="T37" s="26"/>
      <c r="U37" s="26"/>
      <c r="V37" s="26"/>
    </row>
    <row r="38" spans="1:22" s="67" customFormat="1" ht="28.5" customHeight="1">
      <c r="A38" s="101" t="s">
        <v>72</v>
      </c>
      <c r="B38" s="102"/>
      <c r="C38" s="103"/>
      <c r="D38" s="65">
        <f>SUM(D39:D41)</f>
        <v>9864</v>
      </c>
      <c r="E38" s="96"/>
      <c r="F38" s="96"/>
      <c r="G38" s="98" t="s">
        <v>60</v>
      </c>
      <c r="H38" s="98"/>
      <c r="I38" s="106" t="s">
        <v>73</v>
      </c>
      <c r="J38" s="107"/>
      <c r="K38" s="107"/>
      <c r="L38" s="107"/>
      <c r="M38" s="107"/>
      <c r="N38" s="108"/>
      <c r="O38" s="70"/>
      <c r="P38" s="70"/>
      <c r="Q38" s="70"/>
      <c r="R38" s="70"/>
      <c r="S38" s="26"/>
      <c r="T38" s="26"/>
      <c r="U38" s="26"/>
      <c r="V38" s="26"/>
    </row>
    <row r="39" spans="1:22" s="60" customFormat="1" ht="30.75" customHeight="1">
      <c r="A39" s="68" t="s">
        <v>74</v>
      </c>
      <c r="B39" s="69" t="s">
        <v>63</v>
      </c>
      <c r="C39" s="18">
        <f>40*137</f>
        <v>5480</v>
      </c>
      <c r="D39" s="18">
        <f>C39</f>
        <v>5480</v>
      </c>
      <c r="E39" s="96" t="s">
        <v>68</v>
      </c>
      <c r="F39" s="96"/>
      <c r="G39" s="98"/>
      <c r="H39" s="98"/>
      <c r="I39" s="109"/>
      <c r="J39" s="110"/>
      <c r="K39" s="110"/>
      <c r="L39" s="110"/>
      <c r="M39" s="110"/>
      <c r="N39" s="111"/>
      <c r="O39" s="71"/>
      <c r="P39" s="71"/>
      <c r="Q39" s="71"/>
      <c r="R39" s="71"/>
      <c r="S39" s="26"/>
      <c r="T39" s="59"/>
      <c r="U39" s="59"/>
      <c r="V39" s="59"/>
    </row>
    <row r="40" spans="1:22" s="67" customFormat="1" ht="30.75" customHeight="1">
      <c r="A40" s="68" t="s">
        <v>75</v>
      </c>
      <c r="B40" s="69" t="s">
        <v>63</v>
      </c>
      <c r="C40" s="18">
        <f>24*137</f>
        <v>3288</v>
      </c>
      <c r="D40" s="18">
        <f>C40</f>
        <v>3288</v>
      </c>
      <c r="E40" s="96" t="s">
        <v>68</v>
      </c>
      <c r="F40" s="96"/>
      <c r="G40" s="98"/>
      <c r="H40" s="98"/>
      <c r="I40" s="109"/>
      <c r="J40" s="110"/>
      <c r="K40" s="110"/>
      <c r="L40" s="110"/>
      <c r="M40" s="110"/>
      <c r="N40" s="111"/>
      <c r="O40" s="71"/>
      <c r="P40" s="71"/>
      <c r="Q40" s="71"/>
      <c r="R40" s="71"/>
      <c r="S40" s="26"/>
      <c r="T40" s="26"/>
      <c r="U40" s="26"/>
      <c r="V40" s="26"/>
    </row>
    <row r="41" spans="1:22" s="67" customFormat="1" ht="31.5" customHeight="1">
      <c r="A41" s="68" t="s">
        <v>76</v>
      </c>
      <c r="B41" s="69" t="s">
        <v>63</v>
      </c>
      <c r="C41" s="18">
        <f>8*137</f>
        <v>1096</v>
      </c>
      <c r="D41" s="18">
        <f>C41</f>
        <v>1096</v>
      </c>
      <c r="E41" s="96" t="s">
        <v>68</v>
      </c>
      <c r="F41" s="96"/>
      <c r="G41" s="98"/>
      <c r="H41" s="98"/>
      <c r="I41" s="112"/>
      <c r="J41" s="113"/>
      <c r="K41" s="113"/>
      <c r="L41" s="113"/>
      <c r="M41" s="113"/>
      <c r="N41" s="114"/>
      <c r="O41" s="71"/>
      <c r="P41" s="71"/>
      <c r="Q41" s="71"/>
      <c r="R41" s="71"/>
      <c r="S41" s="26"/>
      <c r="T41" s="26"/>
      <c r="U41" s="26"/>
      <c r="V41" s="26"/>
    </row>
    <row r="42" spans="1:22" s="67" customFormat="1" ht="35.25" customHeight="1">
      <c r="A42" s="101" t="s">
        <v>77</v>
      </c>
      <c r="B42" s="102"/>
      <c r="C42" s="103"/>
      <c r="D42" s="65">
        <f>SUM(D43:D46)</f>
        <v>21098</v>
      </c>
      <c r="E42" s="104"/>
      <c r="F42" s="105"/>
      <c r="G42" s="98" t="s">
        <v>60</v>
      </c>
      <c r="H42" s="98"/>
      <c r="I42" s="106" t="s">
        <v>78</v>
      </c>
      <c r="J42" s="107"/>
      <c r="K42" s="107"/>
      <c r="L42" s="107"/>
      <c r="M42" s="107"/>
      <c r="N42" s="108"/>
      <c r="O42" s="71"/>
      <c r="P42" s="71"/>
      <c r="Q42" s="71"/>
      <c r="R42" s="71"/>
      <c r="S42" s="26"/>
      <c r="T42" s="26"/>
      <c r="U42" s="26"/>
      <c r="V42" s="26"/>
    </row>
    <row r="43" spans="1:22" s="67" customFormat="1" ht="18" customHeight="1">
      <c r="A43" s="68" t="s">
        <v>79</v>
      </c>
      <c r="B43" s="69" t="s">
        <v>63</v>
      </c>
      <c r="C43" s="18">
        <f>29*137</f>
        <v>3973</v>
      </c>
      <c r="D43" s="18">
        <f aca="true" t="shared" si="7" ref="D43:D49">C43</f>
        <v>3973</v>
      </c>
      <c r="E43" s="96" t="s">
        <v>66</v>
      </c>
      <c r="F43" s="96"/>
      <c r="G43" s="98"/>
      <c r="H43" s="98"/>
      <c r="I43" s="109"/>
      <c r="J43" s="110"/>
      <c r="K43" s="110"/>
      <c r="L43" s="110"/>
      <c r="M43" s="110"/>
      <c r="N43" s="111"/>
      <c r="O43" s="71"/>
      <c r="P43" s="71"/>
      <c r="Q43" s="71"/>
      <c r="R43" s="71"/>
      <c r="S43" s="26"/>
      <c r="T43" s="26"/>
      <c r="U43" s="26"/>
      <c r="V43" s="26"/>
    </row>
    <row r="44" spans="1:22" s="67" customFormat="1" ht="18" customHeight="1">
      <c r="A44" s="68" t="s">
        <v>80</v>
      </c>
      <c r="B44" s="69" t="s">
        <v>63</v>
      </c>
      <c r="C44" s="18">
        <f>16*137</f>
        <v>2192</v>
      </c>
      <c r="D44" s="18">
        <f t="shared" si="7"/>
        <v>2192</v>
      </c>
      <c r="E44" s="96"/>
      <c r="F44" s="96"/>
      <c r="G44" s="98"/>
      <c r="H44" s="98"/>
      <c r="I44" s="109"/>
      <c r="J44" s="110"/>
      <c r="K44" s="110"/>
      <c r="L44" s="110"/>
      <c r="M44" s="110"/>
      <c r="N44" s="111"/>
      <c r="O44" s="71"/>
      <c r="P44" s="71"/>
      <c r="Q44" s="71"/>
      <c r="R44" s="71"/>
      <c r="S44" s="26"/>
      <c r="T44" s="26"/>
      <c r="U44" s="26"/>
      <c r="V44" s="26"/>
    </row>
    <row r="45" spans="1:22" s="67" customFormat="1" ht="18" customHeight="1">
      <c r="A45" s="68" t="s">
        <v>117</v>
      </c>
      <c r="B45" s="69" t="s">
        <v>63</v>
      </c>
      <c r="C45" s="18">
        <f>85*137</f>
        <v>11645</v>
      </c>
      <c r="D45" s="18">
        <f t="shared" si="7"/>
        <v>11645</v>
      </c>
      <c r="E45" s="96"/>
      <c r="F45" s="96"/>
      <c r="G45" s="98"/>
      <c r="H45" s="98"/>
      <c r="I45" s="109"/>
      <c r="J45" s="110"/>
      <c r="K45" s="110"/>
      <c r="L45" s="110"/>
      <c r="M45" s="110"/>
      <c r="N45" s="111"/>
      <c r="O45" s="71"/>
      <c r="P45" s="71"/>
      <c r="Q45" s="71"/>
      <c r="R45" s="71"/>
      <c r="S45" s="26"/>
      <c r="T45" s="26"/>
      <c r="U45" s="26"/>
      <c r="V45" s="26"/>
    </row>
    <row r="46" spans="1:22" s="67" customFormat="1" ht="27.75" customHeight="1">
      <c r="A46" s="68" t="s">
        <v>81</v>
      </c>
      <c r="B46" s="69" t="s">
        <v>63</v>
      </c>
      <c r="C46" s="18">
        <f>24*137</f>
        <v>3288</v>
      </c>
      <c r="D46" s="18">
        <f t="shared" si="7"/>
        <v>3288</v>
      </c>
      <c r="E46" s="96"/>
      <c r="F46" s="96"/>
      <c r="G46" s="98"/>
      <c r="H46" s="98"/>
      <c r="I46" s="112"/>
      <c r="J46" s="113"/>
      <c r="K46" s="113"/>
      <c r="L46" s="113"/>
      <c r="M46" s="113"/>
      <c r="N46" s="114"/>
      <c r="O46" s="71"/>
      <c r="P46" s="71"/>
      <c r="Q46" s="71"/>
      <c r="R46" s="71"/>
      <c r="S46" s="26"/>
      <c r="T46" s="26"/>
      <c r="U46" s="26"/>
      <c r="V46" s="26"/>
    </row>
    <row r="47" spans="1:22" s="67" customFormat="1" ht="30.75" customHeight="1">
      <c r="A47" s="72" t="s">
        <v>82</v>
      </c>
      <c r="B47" s="69" t="s">
        <v>63</v>
      </c>
      <c r="C47" s="18">
        <f>E16</f>
        <v>14630.6</v>
      </c>
      <c r="D47" s="65">
        <f t="shared" si="7"/>
        <v>14630.6</v>
      </c>
      <c r="E47" s="96" t="s">
        <v>83</v>
      </c>
      <c r="F47" s="96"/>
      <c r="G47" s="98" t="s">
        <v>84</v>
      </c>
      <c r="H47" s="98"/>
      <c r="I47" s="99" t="s">
        <v>82</v>
      </c>
      <c r="J47" s="99"/>
      <c r="K47" s="99"/>
      <c r="L47" s="99"/>
      <c r="M47" s="99"/>
      <c r="N47" s="99"/>
      <c r="O47" s="70"/>
      <c r="P47" s="70"/>
      <c r="Q47" s="70"/>
      <c r="R47" s="70"/>
      <c r="S47" s="26"/>
      <c r="T47" s="26"/>
      <c r="U47" s="26"/>
      <c r="V47" s="26"/>
    </row>
    <row r="48" spans="1:22" s="67" customFormat="1" ht="32.25" customHeight="1">
      <c r="A48" s="72" t="s">
        <v>85</v>
      </c>
      <c r="B48" s="69" t="s">
        <v>63</v>
      </c>
      <c r="C48" s="18">
        <v>233480</v>
      </c>
      <c r="D48" s="73">
        <f t="shared" si="7"/>
        <v>233480</v>
      </c>
      <c r="E48" s="96" t="s">
        <v>86</v>
      </c>
      <c r="F48" s="96"/>
      <c r="G48" s="98" t="s">
        <v>87</v>
      </c>
      <c r="H48" s="98"/>
      <c r="I48" s="99" t="s">
        <v>88</v>
      </c>
      <c r="J48" s="99"/>
      <c r="K48" s="99"/>
      <c r="L48" s="99"/>
      <c r="M48" s="99"/>
      <c r="N48" s="99"/>
      <c r="O48" s="70"/>
      <c r="P48" s="70"/>
      <c r="Q48" s="70"/>
      <c r="R48" s="70"/>
      <c r="S48" s="26"/>
      <c r="T48" s="26"/>
      <c r="U48" s="26"/>
      <c r="V48" s="26"/>
    </row>
    <row r="49" spans="1:22" s="67" customFormat="1" ht="17.25" customHeight="1">
      <c r="A49" s="72" t="s">
        <v>89</v>
      </c>
      <c r="B49" s="69" t="s">
        <v>63</v>
      </c>
      <c r="C49" s="18">
        <f>E18</f>
        <v>29061.77</v>
      </c>
      <c r="D49" s="65">
        <f t="shared" si="7"/>
        <v>29061.77</v>
      </c>
      <c r="E49" s="96" t="s">
        <v>86</v>
      </c>
      <c r="F49" s="96"/>
      <c r="G49" s="97" t="s">
        <v>60</v>
      </c>
      <c r="H49" s="97"/>
      <c r="I49" s="100" t="s">
        <v>89</v>
      </c>
      <c r="J49" s="100"/>
      <c r="K49" s="100"/>
      <c r="L49" s="100"/>
      <c r="M49" s="100"/>
      <c r="N49" s="100"/>
      <c r="O49" s="74"/>
      <c r="P49" s="74"/>
      <c r="Q49" s="74"/>
      <c r="R49" s="74"/>
      <c r="S49" s="26"/>
      <c r="T49" s="26"/>
      <c r="U49" s="26"/>
      <c r="V49" s="26"/>
    </row>
    <row r="50" spans="1:22" s="78" customFormat="1" ht="15">
      <c r="A50" s="75" t="s">
        <v>90</v>
      </c>
      <c r="B50" s="69"/>
      <c r="C50" s="63"/>
      <c r="D50" s="65">
        <f>SUM(D51:D51)</f>
        <v>11097</v>
      </c>
      <c r="E50" s="93"/>
      <c r="F50" s="93"/>
      <c r="G50" s="94"/>
      <c r="H50" s="95"/>
      <c r="I50" s="76"/>
      <c r="J50" s="76"/>
      <c r="K50" s="76"/>
      <c r="L50" s="76"/>
      <c r="M50" s="76"/>
      <c r="N50" s="2"/>
      <c r="O50" s="2"/>
      <c r="P50" s="2"/>
      <c r="Q50" s="77"/>
      <c r="R50" s="77"/>
      <c r="S50" s="77"/>
      <c r="T50" s="77"/>
      <c r="U50" s="77"/>
      <c r="V50" s="77"/>
    </row>
    <row r="51" spans="1:22" s="78" customFormat="1" ht="17.25" customHeight="1">
      <c r="A51" s="68" t="s">
        <v>93</v>
      </c>
      <c r="B51" s="69" t="s">
        <v>63</v>
      </c>
      <c r="C51" s="18">
        <f>81*137</f>
        <v>11097</v>
      </c>
      <c r="D51" s="18">
        <f>C51</f>
        <v>11097</v>
      </c>
      <c r="E51" s="96" t="s">
        <v>92</v>
      </c>
      <c r="F51" s="96"/>
      <c r="G51" s="97" t="s">
        <v>60</v>
      </c>
      <c r="H51" s="97"/>
      <c r="I51" s="76"/>
      <c r="J51" s="76"/>
      <c r="K51" s="76"/>
      <c r="L51" s="76"/>
      <c r="M51" s="2"/>
      <c r="N51" s="2"/>
      <c r="O51" s="2"/>
      <c r="P51" s="77"/>
      <c r="Q51" s="77"/>
      <c r="R51" s="77"/>
      <c r="S51" s="77"/>
      <c r="T51" s="77"/>
      <c r="U51" s="77"/>
      <c r="V51" s="77"/>
    </row>
    <row r="53" ht="15.75">
      <c r="A53" s="1" t="s">
        <v>94</v>
      </c>
    </row>
    <row r="54" spans="2:22" s="79" customFormat="1" ht="15">
      <c r="B54" s="2"/>
      <c r="C54" s="2"/>
      <c r="D54" s="2"/>
      <c r="E54" s="80" t="s">
        <v>95</v>
      </c>
      <c r="F54" s="80" t="s">
        <v>96</v>
      </c>
      <c r="G54" s="81" t="s">
        <v>97</v>
      </c>
      <c r="H54" s="3"/>
      <c r="I54" s="3"/>
      <c r="J54" s="3"/>
      <c r="K54" s="3"/>
      <c r="L54" s="3"/>
      <c r="M54" s="2"/>
      <c r="N54" s="2"/>
      <c r="O54" s="2"/>
      <c r="P54" s="4"/>
      <c r="Q54" s="4"/>
      <c r="R54" s="4"/>
      <c r="S54" s="4"/>
      <c r="T54" s="4"/>
      <c r="U54" s="4"/>
      <c r="V54" s="4"/>
    </row>
    <row r="55" spans="1:22" s="79" customFormat="1" ht="29.25" customHeight="1">
      <c r="A55" s="90" t="s">
        <v>98</v>
      </c>
      <c r="B55" s="90"/>
      <c r="C55" s="90"/>
      <c r="D55" s="82" t="s">
        <v>99</v>
      </c>
      <c r="E55" s="69">
        <v>1</v>
      </c>
      <c r="F55" s="69">
        <v>3</v>
      </c>
      <c r="G55" s="91" t="s">
        <v>100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4"/>
      <c r="S55" s="4"/>
      <c r="T55" s="4"/>
      <c r="U55" s="4"/>
      <c r="V55" s="4"/>
    </row>
    <row r="56" spans="1:22" s="79" customFormat="1" ht="33" customHeight="1">
      <c r="A56" s="90" t="s">
        <v>101</v>
      </c>
      <c r="B56" s="90"/>
      <c r="C56" s="90"/>
      <c r="D56" s="82" t="s">
        <v>99</v>
      </c>
      <c r="E56" s="69">
        <v>1</v>
      </c>
      <c r="F56" s="69">
        <v>3</v>
      </c>
      <c r="G56" s="92" t="s">
        <v>102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4"/>
      <c r="T56" s="4"/>
      <c r="U56" s="4"/>
      <c r="V56" s="4"/>
    </row>
    <row r="57" spans="1:22" s="79" customFormat="1" ht="32.25" customHeight="1">
      <c r="A57" s="90" t="s">
        <v>103</v>
      </c>
      <c r="B57" s="90"/>
      <c r="C57" s="90"/>
      <c r="D57" s="82" t="s">
        <v>99</v>
      </c>
      <c r="E57" s="69">
        <v>0</v>
      </c>
      <c r="F57" s="69">
        <v>0</v>
      </c>
      <c r="R57" s="4"/>
      <c r="S57" s="4"/>
      <c r="T57" s="4"/>
      <c r="U57" s="4"/>
      <c r="V57" s="4"/>
    </row>
    <row r="58" spans="1:22" s="79" customFormat="1" ht="30" customHeight="1">
      <c r="A58" s="90" t="s">
        <v>104</v>
      </c>
      <c r="B58" s="90"/>
      <c r="C58" s="90"/>
      <c r="D58" s="82" t="s">
        <v>105</v>
      </c>
      <c r="E58" s="18">
        <v>0</v>
      </c>
      <c r="F58" s="18">
        <v>0</v>
      </c>
      <c r="R58" s="4"/>
      <c r="S58" s="4"/>
      <c r="T58" s="4"/>
      <c r="U58" s="4"/>
      <c r="V58" s="4"/>
    </row>
    <row r="59" spans="1:22" s="79" customFormat="1" ht="19.5" customHeight="1">
      <c r="A59" s="4"/>
      <c r="B59" s="2"/>
      <c r="C59" s="2"/>
      <c r="D59" s="2"/>
      <c r="E59" s="2"/>
      <c r="F59" s="3"/>
      <c r="R59" s="4"/>
      <c r="S59" s="4"/>
      <c r="T59" s="4"/>
      <c r="U59" s="4"/>
      <c r="V59" s="4"/>
    </row>
    <row r="60" spans="1:22" s="79" customFormat="1" ht="24" customHeight="1">
      <c r="A60" s="1" t="s">
        <v>106</v>
      </c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2"/>
      <c r="N60" s="2"/>
      <c r="O60" s="2"/>
      <c r="P60" s="4"/>
      <c r="Q60" s="4"/>
      <c r="R60" s="4"/>
      <c r="S60" s="4"/>
      <c r="T60" s="4"/>
      <c r="U60" s="4"/>
      <c r="V60" s="4"/>
    </row>
    <row r="61" spans="1:22" s="79" customFormat="1" ht="24" customHeight="1">
      <c r="A61" s="90" t="s">
        <v>107</v>
      </c>
      <c r="B61" s="90"/>
      <c r="C61" s="90"/>
      <c r="D61" s="69" t="s">
        <v>99</v>
      </c>
      <c r="E61" s="69">
        <v>7</v>
      </c>
      <c r="F61" s="3"/>
      <c r="G61" s="3"/>
      <c r="H61" s="3"/>
      <c r="I61" s="3"/>
      <c r="J61" s="3"/>
      <c r="K61" s="3"/>
      <c r="L61" s="3"/>
      <c r="M61" s="2"/>
      <c r="N61" s="2"/>
      <c r="O61" s="2"/>
      <c r="P61" s="4"/>
      <c r="Q61" s="4"/>
      <c r="R61" s="4"/>
      <c r="S61" s="4"/>
      <c r="T61" s="4"/>
      <c r="U61" s="4"/>
      <c r="V61" s="4"/>
    </row>
    <row r="62" spans="1:22" s="79" customFormat="1" ht="24" customHeight="1">
      <c r="A62" s="90" t="s">
        <v>108</v>
      </c>
      <c r="B62" s="90"/>
      <c r="C62" s="90"/>
      <c r="D62" s="69" t="s">
        <v>99</v>
      </c>
      <c r="E62" s="69">
        <v>4</v>
      </c>
      <c r="F62" s="3"/>
      <c r="G62" s="3"/>
      <c r="H62" s="3"/>
      <c r="I62" s="3"/>
      <c r="J62" s="3"/>
      <c r="K62" s="3"/>
      <c r="L62" s="3"/>
      <c r="M62" s="2"/>
      <c r="N62" s="2"/>
      <c r="O62" s="2"/>
      <c r="P62" s="4"/>
      <c r="Q62" s="4"/>
      <c r="R62" s="4"/>
      <c r="S62" s="4"/>
      <c r="T62" s="4"/>
      <c r="U62" s="4"/>
      <c r="V62" s="4"/>
    </row>
    <row r="63" spans="1:22" s="79" customFormat="1" ht="31.5" customHeight="1">
      <c r="A63" s="90" t="s">
        <v>109</v>
      </c>
      <c r="B63" s="90"/>
      <c r="C63" s="90"/>
      <c r="D63" s="69" t="s">
        <v>105</v>
      </c>
      <c r="E63" s="69">
        <v>14000</v>
      </c>
      <c r="F63" s="3"/>
      <c r="G63" s="3"/>
      <c r="H63" s="3"/>
      <c r="I63" s="3"/>
      <c r="J63" s="3"/>
      <c r="K63" s="3"/>
      <c r="L63" s="3"/>
      <c r="M63" s="2"/>
      <c r="N63" s="2"/>
      <c r="O63" s="2"/>
      <c r="P63" s="4"/>
      <c r="Q63" s="4"/>
      <c r="R63" s="4"/>
      <c r="S63" s="4"/>
      <c r="T63" s="4"/>
      <c r="U63" s="4"/>
      <c r="V63" s="4"/>
    </row>
    <row r="67" spans="1:2" ht="15">
      <c r="A67" s="4" t="s">
        <v>110</v>
      </c>
      <c r="B67" s="2" t="s">
        <v>111</v>
      </c>
    </row>
  </sheetData>
  <sheetProtection/>
  <mergeCells count="62">
    <mergeCell ref="A10:A11"/>
    <mergeCell ref="B10:B11"/>
    <mergeCell ref="C10:C11"/>
    <mergeCell ref="D10:D11"/>
    <mergeCell ref="E10:E11"/>
    <mergeCell ref="F10:K10"/>
    <mergeCell ref="L10:L11"/>
    <mergeCell ref="M10:M11"/>
    <mergeCell ref="N10:N11"/>
    <mergeCell ref="O10:O11"/>
    <mergeCell ref="P10:P11"/>
    <mergeCell ref="I25:I26"/>
    <mergeCell ref="E30:F30"/>
    <mergeCell ref="G30:H30"/>
    <mergeCell ref="I30:N30"/>
    <mergeCell ref="A31:C31"/>
    <mergeCell ref="E31:F31"/>
    <mergeCell ref="G31:H31"/>
    <mergeCell ref="I31:N31"/>
    <mergeCell ref="A32:C32"/>
    <mergeCell ref="E32:F32"/>
    <mergeCell ref="G32:H37"/>
    <mergeCell ref="I32:N37"/>
    <mergeCell ref="E33:F33"/>
    <mergeCell ref="E34:F34"/>
    <mergeCell ref="E35:F35"/>
    <mergeCell ref="E36:F36"/>
    <mergeCell ref="E37:F37"/>
    <mergeCell ref="A38:C38"/>
    <mergeCell ref="E38:F38"/>
    <mergeCell ref="G38:H41"/>
    <mergeCell ref="I38:N41"/>
    <mergeCell ref="E39:F39"/>
    <mergeCell ref="E40:F40"/>
    <mergeCell ref="E41:F41"/>
    <mergeCell ref="A42:C42"/>
    <mergeCell ref="E42:F42"/>
    <mergeCell ref="G42:H46"/>
    <mergeCell ref="I42:N46"/>
    <mergeCell ref="E43:F46"/>
    <mergeCell ref="E47:F47"/>
    <mergeCell ref="G47:H47"/>
    <mergeCell ref="I47:N47"/>
    <mergeCell ref="E48:F48"/>
    <mergeCell ref="G48:H48"/>
    <mergeCell ref="I48:N48"/>
    <mergeCell ref="E49:F49"/>
    <mergeCell ref="G49:H49"/>
    <mergeCell ref="I49:N49"/>
    <mergeCell ref="E50:F50"/>
    <mergeCell ref="G50:H50"/>
    <mergeCell ref="E51:F51"/>
    <mergeCell ref="G51:H51"/>
    <mergeCell ref="A55:C55"/>
    <mergeCell ref="G55:Q55"/>
    <mergeCell ref="A63:C63"/>
    <mergeCell ref="A56:C56"/>
    <mergeCell ref="G56:Q56"/>
    <mergeCell ref="A57:C57"/>
    <mergeCell ref="A58:C58"/>
    <mergeCell ref="A61:C61"/>
    <mergeCell ref="A62:C62"/>
  </mergeCells>
  <printOptions/>
  <pageMargins left="0.15748031496062992" right="0.1968503937007874" top="0.4724409448818898" bottom="0.2755905511811024" header="0.4724409448818898" footer="0.2362204724409449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86" zoomScaleNormal="86" zoomScalePageLayoutView="0" workbookViewId="0" topLeftCell="A13">
      <selection activeCell="K24" sqref="K24"/>
    </sheetView>
  </sheetViews>
  <sheetFormatPr defaultColWidth="9.140625" defaultRowHeight="15"/>
  <cols>
    <col min="1" max="1" width="47.57421875" style="4" customWidth="1"/>
    <col min="2" max="2" width="12.7109375" style="2" customWidth="1"/>
    <col min="3" max="3" width="14.00390625" style="2" customWidth="1"/>
    <col min="4" max="4" width="14.140625" style="2" customWidth="1"/>
    <col min="5" max="5" width="13.7109375" style="2" customWidth="1"/>
    <col min="6" max="6" width="14.28125" style="3" customWidth="1"/>
    <col min="7" max="7" width="15.28125" style="3" customWidth="1"/>
    <col min="8" max="8" width="15.57421875" style="3" customWidth="1"/>
    <col min="9" max="9" width="16.28125" style="3" customWidth="1"/>
    <col min="10" max="10" width="14.421875" style="3" customWidth="1"/>
    <col min="11" max="11" width="13.57421875" style="3" customWidth="1"/>
    <col min="12" max="12" width="14.140625" style="3" customWidth="1"/>
    <col min="13" max="13" width="14.57421875" style="2" customWidth="1"/>
    <col min="14" max="14" width="14.28125" style="2" customWidth="1"/>
    <col min="15" max="15" width="14.421875" style="2" customWidth="1"/>
    <col min="16" max="16" width="13.7109375" style="4" customWidth="1"/>
    <col min="17" max="17" width="8.00390625" style="4" customWidth="1"/>
    <col min="18" max="22" width="9.140625" style="5" customWidth="1"/>
  </cols>
  <sheetData>
    <row r="1" ht="15.75">
      <c r="A1" s="1" t="s">
        <v>0</v>
      </c>
    </row>
    <row r="3" ht="15">
      <c r="A3" s="6" t="s">
        <v>1</v>
      </c>
    </row>
    <row r="4" ht="15">
      <c r="A4" s="4" t="s">
        <v>118</v>
      </c>
    </row>
    <row r="5" ht="15">
      <c r="A5" s="4" t="s">
        <v>113</v>
      </c>
    </row>
    <row r="6" ht="15">
      <c r="A6" s="4" t="s">
        <v>4</v>
      </c>
    </row>
    <row r="7" ht="15">
      <c r="A7" s="4" t="s">
        <v>119</v>
      </c>
    </row>
    <row r="8" ht="15">
      <c r="A8" s="4" t="s">
        <v>120</v>
      </c>
    </row>
    <row r="9" ht="15.75" thickBot="1"/>
    <row r="10" spans="1:22" s="8" customFormat="1" ht="15.75" customHeight="1">
      <c r="A10" s="136" t="s">
        <v>7</v>
      </c>
      <c r="B10" s="140" t="s">
        <v>8</v>
      </c>
      <c r="C10" s="132" t="s">
        <v>9</v>
      </c>
      <c r="D10" s="132" t="s">
        <v>10</v>
      </c>
      <c r="E10" s="132" t="s">
        <v>11</v>
      </c>
      <c r="F10" s="132" t="s">
        <v>12</v>
      </c>
      <c r="G10" s="132"/>
      <c r="H10" s="132"/>
      <c r="I10" s="132"/>
      <c r="J10" s="132"/>
      <c r="K10" s="132"/>
      <c r="L10" s="132" t="s">
        <v>13</v>
      </c>
      <c r="M10" s="132" t="s">
        <v>14</v>
      </c>
      <c r="N10" s="132" t="s">
        <v>15</v>
      </c>
      <c r="O10" s="134" t="s">
        <v>16</v>
      </c>
      <c r="P10" s="136" t="s">
        <v>17</v>
      </c>
      <c r="Q10" s="7"/>
      <c r="R10" s="7"/>
      <c r="S10" s="7"/>
      <c r="T10" s="7"/>
      <c r="U10" s="7"/>
      <c r="V10" s="7"/>
    </row>
    <row r="11" spans="1:22" s="8" customFormat="1" ht="63" customHeight="1" thickBot="1">
      <c r="A11" s="137"/>
      <c r="B11" s="141"/>
      <c r="C11" s="133"/>
      <c r="D11" s="133"/>
      <c r="E11" s="133"/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33"/>
      <c r="M11" s="133"/>
      <c r="N11" s="133"/>
      <c r="O11" s="135"/>
      <c r="P11" s="137"/>
      <c r="Q11" s="7"/>
      <c r="R11" s="7"/>
      <c r="S11" s="7"/>
      <c r="T11" s="7"/>
      <c r="U11" s="7"/>
      <c r="V11" s="7"/>
    </row>
    <row r="12" spans="1:22" s="15" customFormat="1" ht="15.75" customHeight="1">
      <c r="A12" s="10" t="s">
        <v>24</v>
      </c>
      <c r="B12" s="11">
        <f>SUM(B13:B19)</f>
        <v>0</v>
      </c>
      <c r="C12" s="12">
        <f>SUM(C13:C19)</f>
        <v>-77602.77</v>
      </c>
      <c r="D12" s="12">
        <f>SUM(D13:D19)</f>
        <v>75220.73</v>
      </c>
      <c r="E12" s="12">
        <f>SUM(E13:E19)</f>
        <v>542001.52</v>
      </c>
      <c r="F12" s="12">
        <f aca="true" t="shared" si="0" ref="F12:O12">SUM(F13:F19)</f>
        <v>413714.9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336112.13</v>
      </c>
      <c r="L12" s="12">
        <f t="shared" si="0"/>
        <v>636275.6900000001</v>
      </c>
      <c r="M12" s="12">
        <f t="shared" si="0"/>
        <v>0</v>
      </c>
      <c r="N12" s="12">
        <f t="shared" si="0"/>
        <v>-300163.56</v>
      </c>
      <c r="O12" s="12">
        <f t="shared" si="0"/>
        <v>203507.34999999998</v>
      </c>
      <c r="P12" s="13">
        <f aca="true" t="shared" si="1" ref="P12:P21">F12/(D12+E12)</f>
        <v>0.670285136350804</v>
      </c>
      <c r="Q12" s="14"/>
      <c r="R12" s="14"/>
      <c r="S12" s="14"/>
      <c r="T12" s="14"/>
      <c r="U12" s="14"/>
      <c r="V12" s="14"/>
    </row>
    <row r="13" spans="1:22" s="22" customFormat="1" ht="58.5" customHeight="1">
      <c r="A13" s="16" t="s">
        <v>25</v>
      </c>
      <c r="B13" s="17">
        <v>0</v>
      </c>
      <c r="C13" s="18">
        <v>8356.28</v>
      </c>
      <c r="D13" s="18">
        <v>4242.56</v>
      </c>
      <c r="E13" s="18">
        <v>30365.25</v>
      </c>
      <c r="F13" s="18">
        <v>23178.53</v>
      </c>
      <c r="G13" s="18">
        <v>0</v>
      </c>
      <c r="H13" s="18">
        <v>0</v>
      </c>
      <c r="I13" s="18">
        <v>0</v>
      </c>
      <c r="J13" s="18">
        <v>0</v>
      </c>
      <c r="K13" s="18">
        <f>F13+G13+H13+I13+J13+C13</f>
        <v>31534.809999999998</v>
      </c>
      <c r="L13" s="18">
        <f>D32</f>
        <v>30277</v>
      </c>
      <c r="M13" s="18">
        <v>0</v>
      </c>
      <c r="N13" s="18">
        <f>K13-L13</f>
        <v>1257.8099999999977</v>
      </c>
      <c r="O13" s="19">
        <f aca="true" t="shared" si="2" ref="O13:O20">D13+E13-F13</f>
        <v>11429.279999999999</v>
      </c>
      <c r="P13" s="20">
        <f t="shared" si="1"/>
        <v>0.669748533640239</v>
      </c>
      <c r="Q13" s="21"/>
      <c r="R13" s="21"/>
      <c r="S13" s="21"/>
      <c r="T13" s="21"/>
      <c r="U13" s="21"/>
      <c r="V13" s="21"/>
    </row>
    <row r="14" spans="1:22" s="22" customFormat="1" ht="29.25" customHeight="1">
      <c r="A14" s="16" t="s">
        <v>26</v>
      </c>
      <c r="B14" s="17">
        <v>0</v>
      </c>
      <c r="C14" s="18">
        <v>7392.09</v>
      </c>
      <c r="D14" s="18">
        <v>3753.04</v>
      </c>
      <c r="E14" s="18">
        <v>26930.76</v>
      </c>
      <c r="F14" s="18">
        <v>20556.99</v>
      </c>
      <c r="G14" s="18">
        <v>0</v>
      </c>
      <c r="H14" s="18">
        <v>0</v>
      </c>
      <c r="I14" s="18">
        <v>0</v>
      </c>
      <c r="J14" s="18">
        <v>0</v>
      </c>
      <c r="K14" s="18">
        <f aca="true" t="shared" si="3" ref="K14:K20">F14+G14+H14+I14+J14+C14</f>
        <v>27949.08</v>
      </c>
      <c r="L14" s="18">
        <f>D38</f>
        <v>26989</v>
      </c>
      <c r="M14" s="18">
        <v>0</v>
      </c>
      <c r="N14" s="18">
        <f aca="true" t="shared" si="4" ref="N14:N20">K14-L14</f>
        <v>960.0800000000017</v>
      </c>
      <c r="O14" s="19">
        <f t="shared" si="2"/>
        <v>10126.809999999998</v>
      </c>
      <c r="P14" s="20">
        <f t="shared" si="1"/>
        <v>0.6699623253964634</v>
      </c>
      <c r="Q14" s="21"/>
      <c r="R14" s="21"/>
      <c r="S14" s="21"/>
      <c r="T14" s="21"/>
      <c r="U14" s="21"/>
      <c r="V14" s="21"/>
    </row>
    <row r="15" spans="1:22" s="22" customFormat="1" ht="45.75" customHeight="1">
      <c r="A15" s="16" t="s">
        <v>27</v>
      </c>
      <c r="B15" s="17">
        <v>0</v>
      </c>
      <c r="C15" s="18">
        <v>1499.31</v>
      </c>
      <c r="D15" s="18">
        <v>7036.69</v>
      </c>
      <c r="E15" s="18">
        <v>53189.53</v>
      </c>
      <c r="F15" s="18">
        <v>40591.86</v>
      </c>
      <c r="G15" s="18">
        <v>0</v>
      </c>
      <c r="H15" s="18">
        <v>0</v>
      </c>
      <c r="I15" s="18">
        <v>0</v>
      </c>
      <c r="J15" s="18">
        <v>0</v>
      </c>
      <c r="K15" s="18">
        <f t="shared" si="3"/>
        <v>42091.17</v>
      </c>
      <c r="L15" s="18">
        <f>D42</f>
        <v>64390</v>
      </c>
      <c r="M15" s="18">
        <v>0</v>
      </c>
      <c r="N15" s="18">
        <f t="shared" si="4"/>
        <v>-22298.83</v>
      </c>
      <c r="O15" s="19">
        <f t="shared" si="2"/>
        <v>19634.36</v>
      </c>
      <c r="P15" s="20">
        <f t="shared" si="1"/>
        <v>0.6739898336638096</v>
      </c>
      <c r="Q15" s="21"/>
      <c r="R15" s="21"/>
      <c r="S15" s="21"/>
      <c r="T15" s="21"/>
      <c r="U15" s="21"/>
      <c r="V15" s="21"/>
    </row>
    <row r="16" spans="1:22" s="22" customFormat="1" ht="28.5" customHeight="1">
      <c r="A16" s="16" t="s">
        <v>28</v>
      </c>
      <c r="B16" s="17">
        <v>0</v>
      </c>
      <c r="C16" s="18">
        <v>-650.65</v>
      </c>
      <c r="D16" s="18">
        <v>5571.28</v>
      </c>
      <c r="E16" s="18">
        <v>40123.02</v>
      </c>
      <c r="F16" s="18">
        <v>30627.2</v>
      </c>
      <c r="G16" s="18">
        <v>0</v>
      </c>
      <c r="H16" s="18">
        <v>0</v>
      </c>
      <c r="I16" s="18">
        <v>0</v>
      </c>
      <c r="J16" s="18">
        <v>0</v>
      </c>
      <c r="K16" s="18">
        <f t="shared" si="3"/>
        <v>29976.55</v>
      </c>
      <c r="L16" s="18">
        <f>D47</f>
        <v>40123.02</v>
      </c>
      <c r="M16" s="18">
        <v>0</v>
      </c>
      <c r="N16" s="18">
        <f t="shared" si="4"/>
        <v>-10146.469999999998</v>
      </c>
      <c r="O16" s="19">
        <f t="shared" si="2"/>
        <v>15067.099999999995</v>
      </c>
      <c r="P16" s="20">
        <f t="shared" si="1"/>
        <v>0.6702630306186987</v>
      </c>
      <c r="Q16" s="21"/>
      <c r="R16" s="21"/>
      <c r="S16" s="21"/>
      <c r="T16" s="21"/>
      <c r="U16" s="21"/>
      <c r="V16" s="21"/>
    </row>
    <row r="17" spans="1:22" s="22" customFormat="1" ht="17.25" customHeight="1">
      <c r="A17" s="16" t="s">
        <v>29</v>
      </c>
      <c r="B17" s="17">
        <v>0</v>
      </c>
      <c r="C17" s="18">
        <v>-86183.63</v>
      </c>
      <c r="D17" s="18">
        <v>39232.05</v>
      </c>
      <c r="E17" s="18">
        <v>281172.18</v>
      </c>
      <c r="F17" s="18">
        <v>214626</v>
      </c>
      <c r="G17" s="18">
        <v>0</v>
      </c>
      <c r="H17" s="18">
        <v>0</v>
      </c>
      <c r="I17" s="18">
        <v>0</v>
      </c>
      <c r="J17" s="18">
        <v>0</v>
      </c>
      <c r="K17" s="18">
        <f t="shared" si="3"/>
        <v>128442.37</v>
      </c>
      <c r="L17" s="18">
        <f>D48</f>
        <v>350437.5</v>
      </c>
      <c r="M17" s="18">
        <v>0</v>
      </c>
      <c r="N17" s="18">
        <f t="shared" si="4"/>
        <v>-221995.13</v>
      </c>
      <c r="O17" s="19">
        <f t="shared" si="2"/>
        <v>105778.22999999998</v>
      </c>
      <c r="P17" s="20">
        <f t="shared" si="1"/>
        <v>0.6698600701994478</v>
      </c>
      <c r="Q17" s="21"/>
      <c r="R17" s="21"/>
      <c r="S17" s="21"/>
      <c r="T17" s="21"/>
      <c r="U17" s="21"/>
      <c r="V17" s="21"/>
    </row>
    <row r="18" spans="1:22" s="22" customFormat="1" ht="15" customHeight="1">
      <c r="A18" s="16" t="s">
        <v>30</v>
      </c>
      <c r="B18" s="17">
        <v>0</v>
      </c>
      <c r="C18" s="18">
        <v>-8292.64</v>
      </c>
      <c r="D18" s="18">
        <v>11119.24</v>
      </c>
      <c r="E18" s="18">
        <v>79699.32</v>
      </c>
      <c r="F18" s="18">
        <v>60836.57</v>
      </c>
      <c r="G18" s="18">
        <v>0</v>
      </c>
      <c r="H18" s="18">
        <v>0</v>
      </c>
      <c r="I18" s="18">
        <v>0</v>
      </c>
      <c r="J18" s="18">
        <v>0</v>
      </c>
      <c r="K18" s="18">
        <f t="shared" si="3"/>
        <v>52543.93</v>
      </c>
      <c r="L18" s="18">
        <f>D49</f>
        <v>79699.32</v>
      </c>
      <c r="M18" s="18">
        <v>0</v>
      </c>
      <c r="N18" s="18">
        <f t="shared" si="4"/>
        <v>-27155.390000000007</v>
      </c>
      <c r="O18" s="19">
        <f t="shared" si="2"/>
        <v>29981.990000000013</v>
      </c>
      <c r="P18" s="20">
        <f t="shared" si="1"/>
        <v>0.6698693526961889</v>
      </c>
      <c r="Q18" s="21"/>
      <c r="R18" s="21"/>
      <c r="S18" s="21"/>
      <c r="T18" s="21"/>
      <c r="U18" s="21"/>
      <c r="V18" s="21"/>
    </row>
    <row r="19" spans="1:22" s="22" customFormat="1" ht="18" customHeight="1">
      <c r="A19" s="16" t="s">
        <v>31</v>
      </c>
      <c r="B19" s="17">
        <v>0</v>
      </c>
      <c r="C19" s="18">
        <v>276.47</v>
      </c>
      <c r="D19" s="18">
        <v>4265.87</v>
      </c>
      <c r="E19" s="18">
        <v>30521.46</v>
      </c>
      <c r="F19" s="18">
        <v>23297.75</v>
      </c>
      <c r="G19" s="18">
        <v>0</v>
      </c>
      <c r="H19" s="18">
        <v>0</v>
      </c>
      <c r="I19" s="18">
        <v>0</v>
      </c>
      <c r="J19" s="18">
        <v>0</v>
      </c>
      <c r="K19" s="18">
        <f t="shared" si="3"/>
        <v>23574.22</v>
      </c>
      <c r="L19" s="18">
        <f>D50</f>
        <v>44359.850000000006</v>
      </c>
      <c r="M19" s="18">
        <v>0</v>
      </c>
      <c r="N19" s="18">
        <f t="shared" si="4"/>
        <v>-20785.630000000005</v>
      </c>
      <c r="O19" s="19">
        <f t="shared" si="2"/>
        <v>11489.580000000002</v>
      </c>
      <c r="P19" s="20">
        <f t="shared" si="1"/>
        <v>0.6697194064620653</v>
      </c>
      <c r="Q19" s="21"/>
      <c r="R19" s="21"/>
      <c r="S19" s="21"/>
      <c r="T19" s="21"/>
      <c r="U19" s="21"/>
      <c r="V19" s="21"/>
    </row>
    <row r="20" spans="1:22" s="15" customFormat="1" ht="18.75" customHeight="1" thickBot="1">
      <c r="A20" s="83" t="s">
        <v>116</v>
      </c>
      <c r="B20" s="84">
        <v>0</v>
      </c>
      <c r="C20" s="85">
        <v>1139.6</v>
      </c>
      <c r="D20" s="85">
        <v>552.35</v>
      </c>
      <c r="E20" s="85">
        <v>16919.24</v>
      </c>
      <c r="F20" s="85">
        <v>10354.94</v>
      </c>
      <c r="G20" s="85">
        <v>0</v>
      </c>
      <c r="H20" s="85">
        <v>0</v>
      </c>
      <c r="I20" s="85">
        <v>0</v>
      </c>
      <c r="J20" s="85">
        <v>0</v>
      </c>
      <c r="K20" s="63">
        <f t="shared" si="3"/>
        <v>11494.54</v>
      </c>
      <c r="L20" s="63">
        <f>E20+C20</f>
        <v>18058.84</v>
      </c>
      <c r="M20" s="85">
        <v>0</v>
      </c>
      <c r="N20" s="63">
        <f t="shared" si="4"/>
        <v>-6564.299999999999</v>
      </c>
      <c r="O20" s="86">
        <f t="shared" si="2"/>
        <v>7116.65</v>
      </c>
      <c r="P20" s="87">
        <f t="shared" si="1"/>
        <v>0.5926730194561571</v>
      </c>
      <c r="Q20" s="14"/>
      <c r="R20" s="14"/>
      <c r="S20" s="14"/>
      <c r="T20" s="14"/>
      <c r="U20" s="14"/>
      <c r="V20" s="14"/>
    </row>
    <row r="21" spans="1:22" s="15" customFormat="1" ht="17.25" customHeight="1" thickBot="1">
      <c r="A21" s="23" t="s">
        <v>32</v>
      </c>
      <c r="B21" s="24">
        <f>SUM(B13:B20)</f>
        <v>0</v>
      </c>
      <c r="C21" s="24">
        <f>SUM(C13:C20)</f>
        <v>-76463.17</v>
      </c>
      <c r="D21" s="24">
        <f>SUM(D13:D20)</f>
        <v>75773.08</v>
      </c>
      <c r="E21" s="24">
        <f aca="true" t="shared" si="5" ref="E21:O21">SUM(E13:E20)</f>
        <v>558920.76</v>
      </c>
      <c r="F21" s="24">
        <f t="shared" si="5"/>
        <v>424069.84</v>
      </c>
      <c r="G21" s="24">
        <f t="shared" si="5"/>
        <v>0</v>
      </c>
      <c r="H21" s="24">
        <f t="shared" si="5"/>
        <v>0</v>
      </c>
      <c r="I21" s="24">
        <f t="shared" si="5"/>
        <v>0</v>
      </c>
      <c r="J21" s="24">
        <f t="shared" si="5"/>
        <v>0</v>
      </c>
      <c r="K21" s="24">
        <f t="shared" si="5"/>
        <v>347606.67</v>
      </c>
      <c r="L21" s="24">
        <f t="shared" si="5"/>
        <v>654334.53</v>
      </c>
      <c r="M21" s="24">
        <f t="shared" si="5"/>
        <v>0</v>
      </c>
      <c r="N21" s="24">
        <f t="shared" si="5"/>
        <v>-306727.86</v>
      </c>
      <c r="O21" s="24">
        <f t="shared" si="5"/>
        <v>210623.99999999997</v>
      </c>
      <c r="P21" s="25">
        <f t="shared" si="1"/>
        <v>0.6681486620383775</v>
      </c>
      <c r="Q21" s="14"/>
      <c r="R21" s="14"/>
      <c r="S21" s="14"/>
      <c r="T21" s="14"/>
      <c r="U21" s="14"/>
      <c r="V21" s="14"/>
    </row>
    <row r="22" spans="1:17" ht="15.75" thickBot="1">
      <c r="A22" s="26"/>
      <c r="B22" s="27"/>
      <c r="C22" s="27"/>
      <c r="D22" s="27"/>
      <c r="E22" s="27"/>
      <c r="F22" s="28"/>
      <c r="G22" s="28"/>
      <c r="H22" s="28"/>
      <c r="I22" s="28"/>
      <c r="J22" s="28"/>
      <c r="K22" s="28"/>
      <c r="L22" s="28"/>
      <c r="M22" s="27"/>
      <c r="N22" s="27"/>
      <c r="O22" s="27"/>
      <c r="P22" s="26"/>
      <c r="Q22" s="26"/>
    </row>
    <row r="23" spans="1:22" s="8" customFormat="1" ht="86.25" customHeight="1" thickBot="1">
      <c r="A23" s="29" t="s">
        <v>33</v>
      </c>
      <c r="B23" s="30" t="s">
        <v>34</v>
      </c>
      <c r="C23" s="31" t="s">
        <v>35</v>
      </c>
      <c r="D23" s="31" t="s">
        <v>8</v>
      </c>
      <c r="E23" s="31" t="s">
        <v>9</v>
      </c>
      <c r="F23" s="31" t="s">
        <v>10</v>
      </c>
      <c r="G23" s="31" t="s">
        <v>36</v>
      </c>
      <c r="H23" s="31" t="s">
        <v>37</v>
      </c>
      <c r="I23" s="31" t="s">
        <v>38</v>
      </c>
      <c r="J23" s="31" t="s">
        <v>39</v>
      </c>
      <c r="K23" s="31" t="s">
        <v>40</v>
      </c>
      <c r="L23" s="31" t="s">
        <v>41</v>
      </c>
      <c r="M23" s="31" t="s">
        <v>42</v>
      </c>
      <c r="N23" s="31" t="s">
        <v>14</v>
      </c>
      <c r="O23" s="31" t="s">
        <v>15</v>
      </c>
      <c r="P23" s="32" t="s">
        <v>16</v>
      </c>
      <c r="Q23" s="33" t="s">
        <v>17</v>
      </c>
      <c r="R23" s="7"/>
      <c r="S23" s="7"/>
      <c r="T23" s="7"/>
      <c r="U23" s="7"/>
      <c r="V23" s="7"/>
    </row>
    <row r="24" spans="1:22" s="42" customFormat="1" ht="27" customHeight="1">
      <c r="A24" s="34" t="s">
        <v>43</v>
      </c>
      <c r="B24" s="35" t="s">
        <v>44</v>
      </c>
      <c r="C24" s="36">
        <v>416.392</v>
      </c>
      <c r="D24" s="18">
        <v>0</v>
      </c>
      <c r="E24" s="18">
        <v>82013.9</v>
      </c>
      <c r="F24" s="18">
        <v>176666.04</v>
      </c>
      <c r="G24" s="18">
        <v>501910.2899999999</v>
      </c>
      <c r="H24" s="18">
        <v>455528</v>
      </c>
      <c r="I24" s="37" t="s">
        <v>45</v>
      </c>
      <c r="J24" s="18">
        <v>501910.29</v>
      </c>
      <c r="K24" s="18">
        <v>276088.6</v>
      </c>
      <c r="L24" s="38">
        <f>J24-K24</f>
        <v>225821.69</v>
      </c>
      <c r="M24" s="18">
        <v>0</v>
      </c>
      <c r="N24" s="18">
        <v>0</v>
      </c>
      <c r="O24" s="38">
        <f>E24+H24-J24</f>
        <v>35631.610000000044</v>
      </c>
      <c r="P24" s="39">
        <f>F24+G24-H24</f>
        <v>223048.32999999996</v>
      </c>
      <c r="Q24" s="40">
        <f>H24/(F24+G24)</f>
        <v>0.6712995721498273</v>
      </c>
      <c r="R24" s="41"/>
      <c r="S24" s="41"/>
      <c r="T24" s="41"/>
      <c r="U24" s="41"/>
      <c r="V24" s="41"/>
    </row>
    <row r="25" spans="1:22" s="42" customFormat="1" ht="17.25" customHeight="1">
      <c r="A25" s="34" t="s">
        <v>46</v>
      </c>
      <c r="B25" s="35" t="s">
        <v>47</v>
      </c>
      <c r="C25" s="36">
        <f>2809.878+453.204</f>
        <v>3263.0820000000003</v>
      </c>
      <c r="D25" s="18">
        <v>0</v>
      </c>
      <c r="E25" s="18">
        <v>0</v>
      </c>
      <c r="F25" s="18">
        <v>7383.74</v>
      </c>
      <c r="G25" s="18">
        <v>59878</v>
      </c>
      <c r="H25" s="18">
        <v>46537.21000000001</v>
      </c>
      <c r="I25" s="138" t="s">
        <v>48</v>
      </c>
      <c r="J25" s="18">
        <v>59878</v>
      </c>
      <c r="K25" s="18">
        <v>45581.93</v>
      </c>
      <c r="L25" s="38">
        <f>J25-K25</f>
        <v>14296.07</v>
      </c>
      <c r="M25" s="18">
        <v>0</v>
      </c>
      <c r="N25" s="18">
        <v>0</v>
      </c>
      <c r="O25" s="38">
        <f>E25+H25-J25</f>
        <v>-13340.789999999994</v>
      </c>
      <c r="P25" s="39">
        <f>F25+G25-H25</f>
        <v>20724.53</v>
      </c>
      <c r="Q25" s="40">
        <f>H25/(F25+G25)</f>
        <v>0.6918823390533757</v>
      </c>
      <c r="R25" s="41"/>
      <c r="S25" s="41"/>
      <c r="T25" s="41"/>
      <c r="U25" s="41"/>
      <c r="V25" s="41"/>
    </row>
    <row r="26" spans="1:22" s="42" customFormat="1" ht="17.25" customHeight="1" thickBot="1">
      <c r="A26" s="43" t="s">
        <v>49</v>
      </c>
      <c r="B26" s="44" t="s">
        <v>47</v>
      </c>
      <c r="C26" s="45">
        <f>2833.336+444.563</f>
        <v>3277.899</v>
      </c>
      <c r="D26" s="46">
        <v>0</v>
      </c>
      <c r="E26" s="46">
        <v>0</v>
      </c>
      <c r="F26" s="46">
        <v>9332.66</v>
      </c>
      <c r="G26" s="46">
        <v>80540.03</v>
      </c>
      <c r="H26" s="46">
        <v>61744.52999999999</v>
      </c>
      <c r="I26" s="139"/>
      <c r="J26" s="46">
        <v>80540.03</v>
      </c>
      <c r="K26" s="46">
        <v>60477.08</v>
      </c>
      <c r="L26" s="38">
        <f>J26-K26</f>
        <v>20062.949999999997</v>
      </c>
      <c r="M26" s="46">
        <v>0</v>
      </c>
      <c r="N26" s="46">
        <v>0</v>
      </c>
      <c r="O26" s="38">
        <f>E26+H26-J26</f>
        <v>-18795.500000000007</v>
      </c>
      <c r="P26" s="39">
        <f>F26+G26-H26</f>
        <v>28128.16000000001</v>
      </c>
      <c r="Q26" s="47">
        <f>H26/(F26+G26)</f>
        <v>0.6870221643527081</v>
      </c>
      <c r="R26" s="41"/>
      <c r="S26" s="41"/>
      <c r="T26" s="41"/>
      <c r="U26" s="41"/>
      <c r="V26" s="41"/>
    </row>
    <row r="27" spans="1:22" s="53" customFormat="1" ht="17.25" customHeight="1" thickBot="1">
      <c r="A27" s="48" t="s">
        <v>50</v>
      </c>
      <c r="B27" s="49"/>
      <c r="C27" s="50"/>
      <c r="D27" s="24">
        <f>SUM(D24:D26)</f>
        <v>0</v>
      </c>
      <c r="E27" s="24">
        <f>SUM(E24:E26)</f>
        <v>82013.9</v>
      </c>
      <c r="F27" s="24">
        <f>SUM(F24:F26)</f>
        <v>193382.44</v>
      </c>
      <c r="G27" s="24">
        <f>SUM(G24:G26)</f>
        <v>642328.32</v>
      </c>
      <c r="H27" s="24">
        <f>SUM(H24:H26)</f>
        <v>563809.74</v>
      </c>
      <c r="I27" s="24"/>
      <c r="J27" s="24">
        <f aca="true" t="shared" si="6" ref="J27:P27">SUM(J24:J26)</f>
        <v>642328.3200000001</v>
      </c>
      <c r="K27" s="24">
        <f t="shared" si="6"/>
        <v>382147.61</v>
      </c>
      <c r="L27" s="24">
        <f t="shared" si="6"/>
        <v>260180.71000000002</v>
      </c>
      <c r="M27" s="24">
        <f t="shared" si="6"/>
        <v>0</v>
      </c>
      <c r="N27" s="24">
        <f t="shared" si="6"/>
        <v>0</v>
      </c>
      <c r="O27" s="24">
        <f t="shared" si="6"/>
        <v>3495.3200000000434</v>
      </c>
      <c r="P27" s="51">
        <f t="shared" si="6"/>
        <v>271901.01999999996</v>
      </c>
      <c r="Q27" s="25">
        <f>H27/(F27+G27)</f>
        <v>0.674646979536317</v>
      </c>
      <c r="R27" s="52"/>
      <c r="S27" s="52"/>
      <c r="T27" s="52"/>
      <c r="U27" s="52"/>
      <c r="V27" s="52"/>
    </row>
    <row r="28" spans="1:17" ht="15">
      <c r="A28" s="26"/>
      <c r="B28" s="27"/>
      <c r="C28" s="27"/>
      <c r="D28" s="27"/>
      <c r="E28" s="27"/>
      <c r="F28" s="55"/>
      <c r="G28" s="55"/>
      <c r="H28" s="55"/>
      <c r="I28" s="28"/>
      <c r="J28" s="28"/>
      <c r="K28" s="28"/>
      <c r="L28" s="28"/>
      <c r="M28" s="27"/>
      <c r="N28" s="27"/>
      <c r="O28" s="27"/>
      <c r="P28" s="56"/>
      <c r="Q28" s="26"/>
    </row>
    <row r="29" spans="1:22" s="60" customFormat="1" ht="15">
      <c r="A29" s="57" t="s">
        <v>51</v>
      </c>
      <c r="B29" s="2"/>
      <c r="C29" s="2"/>
      <c r="D29" s="2"/>
      <c r="E29" s="2"/>
      <c r="F29" s="58"/>
      <c r="G29" s="55"/>
      <c r="H29" s="88"/>
      <c r="I29" s="28"/>
      <c r="J29" s="28"/>
      <c r="K29" s="28"/>
      <c r="L29" s="28"/>
      <c r="M29" s="2"/>
      <c r="N29" s="2"/>
      <c r="O29" s="2"/>
      <c r="P29" s="26"/>
      <c r="Q29" s="26"/>
      <c r="R29" s="26"/>
      <c r="S29" s="26"/>
      <c r="T29" s="59"/>
      <c r="U29" s="59"/>
      <c r="V29" s="59"/>
    </row>
    <row r="30" spans="1:22" s="60" customFormat="1" ht="49.5" customHeight="1">
      <c r="A30" s="61" t="s">
        <v>52</v>
      </c>
      <c r="B30" s="61" t="s">
        <v>34</v>
      </c>
      <c r="C30" s="61" t="s">
        <v>53</v>
      </c>
      <c r="D30" s="61" t="s">
        <v>54</v>
      </c>
      <c r="E30" s="124" t="s">
        <v>55</v>
      </c>
      <c r="F30" s="124"/>
      <c r="G30" s="124" t="s">
        <v>56</v>
      </c>
      <c r="H30" s="124"/>
      <c r="I30" s="125" t="s">
        <v>57</v>
      </c>
      <c r="J30" s="125"/>
      <c r="K30" s="125"/>
      <c r="L30" s="125"/>
      <c r="M30" s="125"/>
      <c r="N30" s="125"/>
      <c r="O30" s="62"/>
      <c r="P30" s="62"/>
      <c r="Q30" s="62"/>
      <c r="R30" s="62"/>
      <c r="S30" s="26"/>
      <c r="T30" s="59"/>
      <c r="U30" s="59"/>
      <c r="V30" s="59"/>
    </row>
    <row r="31" spans="1:22" s="60" customFormat="1" ht="15.75">
      <c r="A31" s="126" t="s">
        <v>58</v>
      </c>
      <c r="B31" s="127"/>
      <c r="C31" s="128"/>
      <c r="D31" s="63">
        <f>D32+D38+D42+D47+D49+D50+D48</f>
        <v>636275.69</v>
      </c>
      <c r="E31" s="129"/>
      <c r="F31" s="129"/>
      <c r="G31" s="130"/>
      <c r="H31" s="130"/>
      <c r="I31" s="131"/>
      <c r="J31" s="131"/>
      <c r="K31" s="131"/>
      <c r="L31" s="131"/>
      <c r="M31" s="131"/>
      <c r="N31" s="131"/>
      <c r="O31" s="64"/>
      <c r="P31" s="64"/>
      <c r="Q31" s="64"/>
      <c r="R31" s="64"/>
      <c r="S31" s="26"/>
      <c r="T31" s="59"/>
      <c r="U31" s="59"/>
      <c r="V31" s="59"/>
    </row>
    <row r="32" spans="1:22" s="67" customFormat="1" ht="41.25" customHeight="1">
      <c r="A32" s="115" t="s">
        <v>59</v>
      </c>
      <c r="B32" s="116"/>
      <c r="C32" s="117"/>
      <c r="D32" s="65">
        <f>SUM(D33:D37)</f>
        <v>30277</v>
      </c>
      <c r="E32" s="96"/>
      <c r="F32" s="96"/>
      <c r="G32" s="118" t="s">
        <v>60</v>
      </c>
      <c r="H32" s="119"/>
      <c r="I32" s="106" t="s">
        <v>61</v>
      </c>
      <c r="J32" s="107"/>
      <c r="K32" s="107"/>
      <c r="L32" s="107"/>
      <c r="M32" s="107"/>
      <c r="N32" s="108"/>
      <c r="O32" s="66"/>
      <c r="P32" s="66"/>
      <c r="Q32" s="66"/>
      <c r="R32" s="66"/>
      <c r="S32" s="26"/>
      <c r="T32" s="26"/>
      <c r="U32" s="26"/>
      <c r="V32" s="26"/>
    </row>
    <row r="33" spans="1:22" s="67" customFormat="1" ht="28.5" customHeight="1">
      <c r="A33" s="68" t="s">
        <v>62</v>
      </c>
      <c r="B33" s="69" t="s">
        <v>63</v>
      </c>
      <c r="C33" s="18">
        <f>32*137</f>
        <v>4384</v>
      </c>
      <c r="D33" s="18">
        <f>C33</f>
        <v>4384</v>
      </c>
      <c r="E33" s="96" t="s">
        <v>64</v>
      </c>
      <c r="F33" s="96"/>
      <c r="G33" s="120"/>
      <c r="H33" s="121"/>
      <c r="I33" s="109"/>
      <c r="J33" s="110"/>
      <c r="K33" s="110"/>
      <c r="L33" s="110"/>
      <c r="M33" s="110"/>
      <c r="N33" s="111"/>
      <c r="O33" s="66"/>
      <c r="P33" s="66"/>
      <c r="Q33" s="66"/>
      <c r="R33" s="66"/>
      <c r="S33" s="26"/>
      <c r="T33" s="26"/>
      <c r="U33" s="26"/>
      <c r="V33" s="26"/>
    </row>
    <row r="34" spans="1:22" s="67" customFormat="1" ht="30.75" customHeight="1">
      <c r="A34" s="68" t="s">
        <v>65</v>
      </c>
      <c r="B34" s="69" t="s">
        <v>63</v>
      </c>
      <c r="C34" s="18">
        <f>85*137</f>
        <v>11645</v>
      </c>
      <c r="D34" s="18">
        <f>C34</f>
        <v>11645</v>
      </c>
      <c r="E34" s="96" t="s">
        <v>66</v>
      </c>
      <c r="F34" s="96"/>
      <c r="G34" s="120"/>
      <c r="H34" s="121"/>
      <c r="I34" s="109"/>
      <c r="J34" s="110"/>
      <c r="K34" s="110"/>
      <c r="L34" s="110"/>
      <c r="M34" s="110"/>
      <c r="N34" s="111"/>
      <c r="O34" s="66"/>
      <c r="P34" s="66"/>
      <c r="Q34" s="66"/>
      <c r="R34" s="66"/>
      <c r="S34" s="26"/>
      <c r="T34" s="26"/>
      <c r="U34" s="26"/>
      <c r="V34" s="26"/>
    </row>
    <row r="35" spans="1:22" s="67" customFormat="1" ht="15.75" customHeight="1">
      <c r="A35" s="68" t="s">
        <v>67</v>
      </c>
      <c r="B35" s="69" t="s">
        <v>63</v>
      </c>
      <c r="C35" s="18">
        <f>24*137</f>
        <v>3288</v>
      </c>
      <c r="D35" s="18">
        <f>C35</f>
        <v>3288</v>
      </c>
      <c r="E35" s="96" t="s">
        <v>68</v>
      </c>
      <c r="F35" s="96"/>
      <c r="G35" s="120"/>
      <c r="H35" s="121"/>
      <c r="I35" s="109"/>
      <c r="J35" s="110"/>
      <c r="K35" s="110"/>
      <c r="L35" s="110"/>
      <c r="M35" s="110"/>
      <c r="N35" s="111"/>
      <c r="O35" s="66"/>
      <c r="P35" s="66"/>
      <c r="Q35" s="66"/>
      <c r="R35" s="66"/>
      <c r="S35" s="26"/>
      <c r="T35" s="26"/>
      <c r="U35" s="26"/>
      <c r="V35" s="26"/>
    </row>
    <row r="36" spans="1:22" s="67" customFormat="1" ht="27" customHeight="1">
      <c r="A36" s="68" t="s">
        <v>69</v>
      </c>
      <c r="B36" s="69" t="s">
        <v>63</v>
      </c>
      <c r="C36" s="18">
        <f>64*137</f>
        <v>8768</v>
      </c>
      <c r="D36" s="18">
        <f>C36</f>
        <v>8768</v>
      </c>
      <c r="E36" s="96" t="s">
        <v>66</v>
      </c>
      <c r="F36" s="96"/>
      <c r="G36" s="120"/>
      <c r="H36" s="121"/>
      <c r="I36" s="109"/>
      <c r="J36" s="110"/>
      <c r="K36" s="110"/>
      <c r="L36" s="110"/>
      <c r="M36" s="110"/>
      <c r="N36" s="111"/>
      <c r="O36" s="66"/>
      <c r="P36" s="66"/>
      <c r="Q36" s="66"/>
      <c r="R36" s="66"/>
      <c r="S36" s="26"/>
      <c r="T36" s="26"/>
      <c r="U36" s="26"/>
      <c r="V36" s="26"/>
    </row>
    <row r="37" spans="1:22" s="67" customFormat="1" ht="29.25" customHeight="1">
      <c r="A37" s="68" t="s">
        <v>70</v>
      </c>
      <c r="B37" s="69" t="s">
        <v>63</v>
      </c>
      <c r="C37" s="18">
        <f>16*137</f>
        <v>2192</v>
      </c>
      <c r="D37" s="18">
        <f>C37</f>
        <v>2192</v>
      </c>
      <c r="E37" s="96" t="s">
        <v>71</v>
      </c>
      <c r="F37" s="96"/>
      <c r="G37" s="122"/>
      <c r="H37" s="123"/>
      <c r="I37" s="112"/>
      <c r="J37" s="113"/>
      <c r="K37" s="113"/>
      <c r="L37" s="113"/>
      <c r="M37" s="113"/>
      <c r="N37" s="114"/>
      <c r="O37" s="66"/>
      <c r="P37" s="66"/>
      <c r="Q37" s="66"/>
      <c r="R37" s="66"/>
      <c r="S37" s="26"/>
      <c r="T37" s="26"/>
      <c r="U37" s="26"/>
      <c r="V37" s="26"/>
    </row>
    <row r="38" spans="1:22" s="67" customFormat="1" ht="28.5" customHeight="1">
      <c r="A38" s="101" t="s">
        <v>72</v>
      </c>
      <c r="B38" s="102"/>
      <c r="C38" s="103"/>
      <c r="D38" s="65">
        <f>SUM(D39:D41)</f>
        <v>26989</v>
      </c>
      <c r="E38" s="96"/>
      <c r="F38" s="96"/>
      <c r="G38" s="98" t="s">
        <v>60</v>
      </c>
      <c r="H38" s="98"/>
      <c r="I38" s="106" t="s">
        <v>73</v>
      </c>
      <c r="J38" s="107"/>
      <c r="K38" s="107"/>
      <c r="L38" s="107"/>
      <c r="M38" s="107"/>
      <c r="N38" s="108"/>
      <c r="O38" s="70"/>
      <c r="P38" s="70"/>
      <c r="Q38" s="70"/>
      <c r="R38" s="70"/>
      <c r="S38" s="26"/>
      <c r="T38" s="26"/>
      <c r="U38" s="26"/>
      <c r="V38" s="26"/>
    </row>
    <row r="39" spans="1:22" s="60" customFormat="1" ht="30.75" customHeight="1">
      <c r="A39" s="68" t="s">
        <v>74</v>
      </c>
      <c r="B39" s="69" t="s">
        <v>63</v>
      </c>
      <c r="C39" s="18">
        <f>96*137</f>
        <v>13152</v>
      </c>
      <c r="D39" s="18">
        <f>C39</f>
        <v>13152</v>
      </c>
      <c r="E39" s="96" t="s">
        <v>68</v>
      </c>
      <c r="F39" s="96"/>
      <c r="G39" s="98"/>
      <c r="H39" s="98"/>
      <c r="I39" s="109"/>
      <c r="J39" s="110"/>
      <c r="K39" s="110"/>
      <c r="L39" s="110"/>
      <c r="M39" s="110"/>
      <c r="N39" s="111"/>
      <c r="O39" s="71"/>
      <c r="P39" s="71"/>
      <c r="Q39" s="71"/>
      <c r="R39" s="71"/>
      <c r="S39" s="26"/>
      <c r="T39" s="59"/>
      <c r="U39" s="59"/>
      <c r="V39" s="59"/>
    </row>
    <row r="40" spans="1:22" s="67" customFormat="1" ht="30.75" customHeight="1">
      <c r="A40" s="68" t="s">
        <v>75</v>
      </c>
      <c r="B40" s="69" t="s">
        <v>63</v>
      </c>
      <c r="C40" s="18">
        <f>89*137</f>
        <v>12193</v>
      </c>
      <c r="D40" s="18">
        <f>C40</f>
        <v>12193</v>
      </c>
      <c r="E40" s="96" t="s">
        <v>68</v>
      </c>
      <c r="F40" s="96"/>
      <c r="G40" s="98"/>
      <c r="H40" s="98"/>
      <c r="I40" s="109"/>
      <c r="J40" s="110"/>
      <c r="K40" s="110"/>
      <c r="L40" s="110"/>
      <c r="M40" s="110"/>
      <c r="N40" s="111"/>
      <c r="O40" s="71"/>
      <c r="P40" s="71"/>
      <c r="Q40" s="71"/>
      <c r="R40" s="71"/>
      <c r="S40" s="26"/>
      <c r="T40" s="26"/>
      <c r="U40" s="26"/>
      <c r="V40" s="26"/>
    </row>
    <row r="41" spans="1:22" s="67" customFormat="1" ht="31.5" customHeight="1">
      <c r="A41" s="68" t="s">
        <v>76</v>
      </c>
      <c r="B41" s="69" t="s">
        <v>63</v>
      </c>
      <c r="C41" s="18">
        <f>12*137</f>
        <v>1644</v>
      </c>
      <c r="D41" s="18">
        <f>C41</f>
        <v>1644</v>
      </c>
      <c r="E41" s="96" t="s">
        <v>68</v>
      </c>
      <c r="F41" s="96"/>
      <c r="G41" s="98"/>
      <c r="H41" s="98"/>
      <c r="I41" s="112"/>
      <c r="J41" s="113"/>
      <c r="K41" s="113"/>
      <c r="L41" s="113"/>
      <c r="M41" s="113"/>
      <c r="N41" s="114"/>
      <c r="O41" s="71"/>
      <c r="P41" s="71"/>
      <c r="Q41" s="71"/>
      <c r="R41" s="71"/>
      <c r="S41" s="26"/>
      <c r="T41" s="26"/>
      <c r="U41" s="26"/>
      <c r="V41" s="26"/>
    </row>
    <row r="42" spans="1:22" s="67" customFormat="1" ht="35.25" customHeight="1">
      <c r="A42" s="101" t="s">
        <v>77</v>
      </c>
      <c r="B42" s="102"/>
      <c r="C42" s="103"/>
      <c r="D42" s="65">
        <f>SUM(D43:D46)</f>
        <v>64390</v>
      </c>
      <c r="E42" s="104"/>
      <c r="F42" s="105"/>
      <c r="G42" s="98" t="s">
        <v>60</v>
      </c>
      <c r="H42" s="98"/>
      <c r="I42" s="106" t="s">
        <v>78</v>
      </c>
      <c r="J42" s="107"/>
      <c r="K42" s="107"/>
      <c r="L42" s="107"/>
      <c r="M42" s="107"/>
      <c r="N42" s="108"/>
      <c r="O42" s="71"/>
      <c r="P42" s="71"/>
      <c r="Q42" s="71"/>
      <c r="R42" s="71"/>
      <c r="S42" s="26"/>
      <c r="T42" s="26"/>
      <c r="U42" s="26"/>
      <c r="V42" s="26"/>
    </row>
    <row r="43" spans="1:22" s="67" customFormat="1" ht="18" customHeight="1">
      <c r="A43" s="68" t="s">
        <v>79</v>
      </c>
      <c r="B43" s="69" t="s">
        <v>63</v>
      </c>
      <c r="C43" s="18">
        <f>80*137</f>
        <v>10960</v>
      </c>
      <c r="D43" s="18">
        <f aca="true" t="shared" si="7" ref="D43:D49">C43</f>
        <v>10960</v>
      </c>
      <c r="E43" s="96" t="s">
        <v>66</v>
      </c>
      <c r="F43" s="96"/>
      <c r="G43" s="98"/>
      <c r="H43" s="98"/>
      <c r="I43" s="109"/>
      <c r="J43" s="110"/>
      <c r="K43" s="110"/>
      <c r="L43" s="110"/>
      <c r="M43" s="110"/>
      <c r="N43" s="111"/>
      <c r="O43" s="71"/>
      <c r="P43" s="71"/>
      <c r="Q43" s="71"/>
      <c r="R43" s="71"/>
      <c r="S43" s="26"/>
      <c r="T43" s="26"/>
      <c r="U43" s="26"/>
      <c r="V43" s="26"/>
    </row>
    <row r="44" spans="1:22" s="67" customFormat="1" ht="18" customHeight="1">
      <c r="A44" s="68" t="s">
        <v>80</v>
      </c>
      <c r="B44" s="69" t="s">
        <v>63</v>
      </c>
      <c r="C44" s="18">
        <f>168*137</f>
        <v>23016</v>
      </c>
      <c r="D44" s="18">
        <f t="shared" si="7"/>
        <v>23016</v>
      </c>
      <c r="E44" s="96"/>
      <c r="F44" s="96"/>
      <c r="G44" s="98"/>
      <c r="H44" s="98"/>
      <c r="I44" s="109"/>
      <c r="J44" s="110"/>
      <c r="K44" s="110"/>
      <c r="L44" s="110"/>
      <c r="M44" s="110"/>
      <c r="N44" s="111"/>
      <c r="O44" s="71"/>
      <c r="P44" s="71"/>
      <c r="Q44" s="71"/>
      <c r="R44" s="71"/>
      <c r="S44" s="26"/>
      <c r="T44" s="26"/>
      <c r="U44" s="26"/>
      <c r="V44" s="26"/>
    </row>
    <row r="45" spans="1:22" s="67" customFormat="1" ht="18" customHeight="1">
      <c r="A45" s="68" t="s">
        <v>121</v>
      </c>
      <c r="B45" s="69" t="s">
        <v>63</v>
      </c>
      <c r="C45" s="18">
        <f>150*137</f>
        <v>20550</v>
      </c>
      <c r="D45" s="18">
        <f t="shared" si="7"/>
        <v>20550</v>
      </c>
      <c r="E45" s="96"/>
      <c r="F45" s="96"/>
      <c r="G45" s="98"/>
      <c r="H45" s="98"/>
      <c r="I45" s="109"/>
      <c r="J45" s="110"/>
      <c r="K45" s="110"/>
      <c r="L45" s="110"/>
      <c r="M45" s="110"/>
      <c r="N45" s="111"/>
      <c r="O45" s="71"/>
      <c r="P45" s="71"/>
      <c r="Q45" s="71"/>
      <c r="R45" s="71"/>
      <c r="S45" s="26"/>
      <c r="T45" s="26"/>
      <c r="U45" s="26"/>
      <c r="V45" s="26"/>
    </row>
    <row r="46" spans="1:22" s="67" customFormat="1" ht="27.75" customHeight="1">
      <c r="A46" s="68" t="s">
        <v>122</v>
      </c>
      <c r="B46" s="69" t="s">
        <v>63</v>
      </c>
      <c r="C46" s="18">
        <f>72*137</f>
        <v>9864</v>
      </c>
      <c r="D46" s="18">
        <f t="shared" si="7"/>
        <v>9864</v>
      </c>
      <c r="E46" s="96"/>
      <c r="F46" s="96"/>
      <c r="G46" s="98"/>
      <c r="H46" s="98"/>
      <c r="I46" s="112"/>
      <c r="J46" s="113"/>
      <c r="K46" s="113"/>
      <c r="L46" s="113"/>
      <c r="M46" s="113"/>
      <c r="N46" s="114"/>
      <c r="O46" s="71"/>
      <c r="P46" s="71"/>
      <c r="Q46" s="71"/>
      <c r="R46" s="71"/>
      <c r="S46" s="26"/>
      <c r="T46" s="26"/>
      <c r="U46" s="26"/>
      <c r="V46" s="26"/>
    </row>
    <row r="47" spans="1:22" s="67" customFormat="1" ht="30.75" customHeight="1">
      <c r="A47" s="72" t="s">
        <v>82</v>
      </c>
      <c r="B47" s="69" t="s">
        <v>63</v>
      </c>
      <c r="C47" s="18">
        <f>E16</f>
        <v>40123.02</v>
      </c>
      <c r="D47" s="65">
        <f t="shared" si="7"/>
        <v>40123.02</v>
      </c>
      <c r="E47" s="96" t="s">
        <v>83</v>
      </c>
      <c r="F47" s="96"/>
      <c r="G47" s="98" t="s">
        <v>84</v>
      </c>
      <c r="H47" s="98"/>
      <c r="I47" s="99" t="s">
        <v>82</v>
      </c>
      <c r="J47" s="99"/>
      <c r="K47" s="99"/>
      <c r="L47" s="99"/>
      <c r="M47" s="99"/>
      <c r="N47" s="99"/>
      <c r="O47" s="70"/>
      <c r="P47" s="70"/>
      <c r="Q47" s="70"/>
      <c r="R47" s="70"/>
      <c r="S47" s="26"/>
      <c r="T47" s="26"/>
      <c r="U47" s="26"/>
      <c r="V47" s="26"/>
    </row>
    <row r="48" spans="1:22" s="67" customFormat="1" ht="32.25" customHeight="1">
      <c r="A48" s="72" t="s">
        <v>85</v>
      </c>
      <c r="B48" s="69" t="s">
        <v>63</v>
      </c>
      <c r="C48" s="18">
        <v>350437.5</v>
      </c>
      <c r="D48" s="73">
        <f t="shared" si="7"/>
        <v>350437.5</v>
      </c>
      <c r="E48" s="96" t="s">
        <v>86</v>
      </c>
      <c r="F48" s="96"/>
      <c r="G48" s="98" t="s">
        <v>87</v>
      </c>
      <c r="H48" s="98"/>
      <c r="I48" s="99" t="s">
        <v>88</v>
      </c>
      <c r="J48" s="99"/>
      <c r="K48" s="99"/>
      <c r="L48" s="99"/>
      <c r="M48" s="99"/>
      <c r="N48" s="99"/>
      <c r="O48" s="70"/>
      <c r="P48" s="70"/>
      <c r="Q48" s="70"/>
      <c r="R48" s="70"/>
      <c r="S48" s="26"/>
      <c r="T48" s="26"/>
      <c r="U48" s="26"/>
      <c r="V48" s="26"/>
    </row>
    <row r="49" spans="1:22" s="67" customFormat="1" ht="17.25" customHeight="1">
      <c r="A49" s="72" t="s">
        <v>89</v>
      </c>
      <c r="B49" s="69" t="s">
        <v>63</v>
      </c>
      <c r="C49" s="18">
        <f>E18</f>
        <v>79699.32</v>
      </c>
      <c r="D49" s="65">
        <f t="shared" si="7"/>
        <v>79699.32</v>
      </c>
      <c r="E49" s="96" t="s">
        <v>86</v>
      </c>
      <c r="F49" s="96"/>
      <c r="G49" s="97" t="s">
        <v>60</v>
      </c>
      <c r="H49" s="97"/>
      <c r="I49" s="100" t="s">
        <v>89</v>
      </c>
      <c r="J49" s="100"/>
      <c r="K49" s="100"/>
      <c r="L49" s="100"/>
      <c r="M49" s="100"/>
      <c r="N49" s="100"/>
      <c r="O49" s="74"/>
      <c r="P49" s="74"/>
      <c r="Q49" s="74"/>
      <c r="R49" s="74"/>
      <c r="S49" s="26"/>
      <c r="T49" s="26"/>
      <c r="U49" s="26"/>
      <c r="V49" s="26"/>
    </row>
    <row r="50" spans="1:22" s="78" customFormat="1" ht="15">
      <c r="A50" s="75" t="s">
        <v>90</v>
      </c>
      <c r="B50" s="69"/>
      <c r="C50" s="63"/>
      <c r="D50" s="65">
        <f>SUM(D51:D54)</f>
        <v>44359.850000000006</v>
      </c>
      <c r="E50" s="93"/>
      <c r="F50" s="93"/>
      <c r="G50" s="94"/>
      <c r="H50" s="95"/>
      <c r="I50" s="76"/>
      <c r="J50" s="76"/>
      <c r="K50" s="76"/>
      <c r="L50" s="76"/>
      <c r="M50" s="76"/>
      <c r="N50" s="2"/>
      <c r="O50" s="2"/>
      <c r="P50" s="2"/>
      <c r="Q50" s="77"/>
      <c r="R50" s="77"/>
      <c r="S50" s="77"/>
      <c r="T50" s="77"/>
      <c r="U50" s="77"/>
      <c r="V50" s="77"/>
    </row>
    <row r="51" spans="1:22" s="78" customFormat="1" ht="17.25" customHeight="1">
      <c r="A51" s="68" t="s">
        <v>91</v>
      </c>
      <c r="B51" s="69" t="s">
        <v>63</v>
      </c>
      <c r="C51" s="18">
        <v>9940.45</v>
      </c>
      <c r="D51" s="18">
        <f>C51</f>
        <v>9940.45</v>
      </c>
      <c r="E51" s="96" t="s">
        <v>123</v>
      </c>
      <c r="F51" s="96"/>
      <c r="G51" s="97" t="s">
        <v>60</v>
      </c>
      <c r="H51" s="97"/>
      <c r="I51" s="76"/>
      <c r="J51" s="76"/>
      <c r="K51" s="76"/>
      <c r="L51" s="76"/>
      <c r="M51" s="2"/>
      <c r="N51" s="2"/>
      <c r="O51" s="2"/>
      <c r="P51" s="77"/>
      <c r="Q51" s="77"/>
      <c r="R51" s="77"/>
      <c r="S51" s="77"/>
      <c r="T51" s="77"/>
      <c r="U51" s="77"/>
      <c r="V51" s="77"/>
    </row>
    <row r="52" spans="1:22" s="78" customFormat="1" ht="17.25" customHeight="1">
      <c r="A52" s="68" t="s">
        <v>124</v>
      </c>
      <c r="B52" s="69" t="s">
        <v>63</v>
      </c>
      <c r="C52" s="18">
        <f>72*137</f>
        <v>9864</v>
      </c>
      <c r="D52" s="18">
        <f>C52</f>
        <v>9864</v>
      </c>
      <c r="E52" s="96" t="s">
        <v>92</v>
      </c>
      <c r="F52" s="96"/>
      <c r="G52" s="97" t="s">
        <v>60</v>
      </c>
      <c r="H52" s="97"/>
      <c r="I52" s="76"/>
      <c r="J52" s="76"/>
      <c r="K52" s="76"/>
      <c r="L52" s="76"/>
      <c r="M52" s="2"/>
      <c r="N52" s="2"/>
      <c r="O52" s="2"/>
      <c r="P52" s="77"/>
      <c r="Q52" s="77"/>
      <c r="R52" s="77"/>
      <c r="S52" s="77"/>
      <c r="T52" s="77"/>
      <c r="U52" s="77"/>
      <c r="V52" s="77"/>
    </row>
    <row r="53" spans="1:22" s="78" customFormat="1" ht="17.25" customHeight="1">
      <c r="A53" s="68" t="s">
        <v>93</v>
      </c>
      <c r="B53" s="69" t="s">
        <v>63</v>
      </c>
      <c r="C53" s="18">
        <f>48*137</f>
        <v>6576</v>
      </c>
      <c r="D53" s="18">
        <f>C53</f>
        <v>6576</v>
      </c>
      <c r="E53" s="96" t="s">
        <v>125</v>
      </c>
      <c r="F53" s="96"/>
      <c r="G53" s="97" t="s">
        <v>60</v>
      </c>
      <c r="H53" s="97"/>
      <c r="I53" s="76"/>
      <c r="J53" s="76"/>
      <c r="K53" s="76"/>
      <c r="L53" s="76"/>
      <c r="M53" s="2"/>
      <c r="N53" s="2"/>
      <c r="O53" s="2"/>
      <c r="P53" s="77"/>
      <c r="Q53" s="77"/>
      <c r="R53" s="77"/>
      <c r="S53" s="77"/>
      <c r="T53" s="77"/>
      <c r="U53" s="77"/>
      <c r="V53" s="77"/>
    </row>
    <row r="54" spans="1:22" s="78" customFormat="1" ht="17.25" customHeight="1">
      <c r="A54" s="68" t="s">
        <v>126</v>
      </c>
      <c r="B54" s="69" t="s">
        <v>63</v>
      </c>
      <c r="C54" s="18">
        <f>17979.4</f>
        <v>17979.4</v>
      </c>
      <c r="D54" s="18">
        <f>C54</f>
        <v>17979.4</v>
      </c>
      <c r="E54" s="96" t="s">
        <v>127</v>
      </c>
      <c r="F54" s="96"/>
      <c r="G54" s="97" t="s">
        <v>60</v>
      </c>
      <c r="H54" s="97"/>
      <c r="I54" s="76"/>
      <c r="J54" s="76"/>
      <c r="K54" s="76"/>
      <c r="L54" s="76"/>
      <c r="M54" s="2"/>
      <c r="N54" s="2"/>
      <c r="O54" s="2"/>
      <c r="P54" s="77"/>
      <c r="Q54" s="77"/>
      <c r="R54" s="77"/>
      <c r="S54" s="77"/>
      <c r="T54" s="77"/>
      <c r="U54" s="77"/>
      <c r="V54" s="77"/>
    </row>
    <row r="56" ht="15.75">
      <c r="A56" s="1" t="s">
        <v>94</v>
      </c>
    </row>
    <row r="57" spans="2:22" s="79" customFormat="1" ht="15">
      <c r="B57" s="2"/>
      <c r="C57" s="2"/>
      <c r="D57" s="2"/>
      <c r="E57" s="80" t="s">
        <v>95</v>
      </c>
      <c r="F57" s="80" t="s">
        <v>96</v>
      </c>
      <c r="G57" s="81" t="s">
        <v>97</v>
      </c>
      <c r="H57" s="3"/>
      <c r="I57" s="3"/>
      <c r="J57" s="3"/>
      <c r="K57" s="3"/>
      <c r="L57" s="3"/>
      <c r="M57" s="2"/>
      <c r="N57" s="2"/>
      <c r="O57" s="2"/>
      <c r="P57" s="4"/>
      <c r="Q57" s="4"/>
      <c r="R57" s="4"/>
      <c r="S57" s="4"/>
      <c r="T57" s="4"/>
      <c r="U57" s="4"/>
      <c r="V57" s="4"/>
    </row>
    <row r="58" spans="1:22" s="79" customFormat="1" ht="29.25" customHeight="1">
      <c r="A58" s="90" t="s">
        <v>98</v>
      </c>
      <c r="B58" s="90"/>
      <c r="C58" s="90"/>
      <c r="D58" s="82" t="s">
        <v>99</v>
      </c>
      <c r="E58" s="69">
        <v>5</v>
      </c>
      <c r="F58" s="69">
        <v>3</v>
      </c>
      <c r="G58" s="91" t="s">
        <v>128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4"/>
      <c r="T58" s="4"/>
      <c r="U58" s="4"/>
      <c r="V58" s="4"/>
    </row>
    <row r="59" spans="1:22" s="79" customFormat="1" ht="33" customHeight="1">
      <c r="A59" s="90" t="s">
        <v>101</v>
      </c>
      <c r="B59" s="90"/>
      <c r="C59" s="90"/>
      <c r="D59" s="82" t="s">
        <v>99</v>
      </c>
      <c r="E59" s="69">
        <v>5</v>
      </c>
      <c r="F59" s="69">
        <v>3</v>
      </c>
      <c r="G59" s="92" t="s">
        <v>129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4"/>
      <c r="T59" s="4"/>
      <c r="U59" s="4"/>
      <c r="V59" s="4"/>
    </row>
    <row r="60" spans="1:22" s="79" customFormat="1" ht="32.25" customHeight="1">
      <c r="A60" s="90" t="s">
        <v>103</v>
      </c>
      <c r="B60" s="90"/>
      <c r="C60" s="90"/>
      <c r="D60" s="82" t="s">
        <v>99</v>
      </c>
      <c r="E60" s="69">
        <v>0</v>
      </c>
      <c r="F60" s="69">
        <v>0</v>
      </c>
      <c r="R60" s="4"/>
      <c r="S60" s="4"/>
      <c r="T60" s="4"/>
      <c r="U60" s="4"/>
      <c r="V60" s="4"/>
    </row>
    <row r="61" spans="1:22" s="79" customFormat="1" ht="30" customHeight="1">
      <c r="A61" s="90" t="s">
        <v>104</v>
      </c>
      <c r="B61" s="90"/>
      <c r="C61" s="90"/>
      <c r="D61" s="82" t="s">
        <v>105</v>
      </c>
      <c r="E61" s="18">
        <v>0</v>
      </c>
      <c r="F61" s="18">
        <v>150.06</v>
      </c>
      <c r="R61" s="4"/>
      <c r="S61" s="4"/>
      <c r="T61" s="4"/>
      <c r="U61" s="4"/>
      <c r="V61" s="4"/>
    </row>
    <row r="62" spans="1:22" s="79" customFormat="1" ht="19.5" customHeight="1">
      <c r="A62" s="4"/>
      <c r="B62" s="2"/>
      <c r="C62" s="2"/>
      <c r="D62" s="2"/>
      <c r="E62" s="2"/>
      <c r="F62" s="3"/>
      <c r="R62" s="4"/>
      <c r="S62" s="4"/>
      <c r="T62" s="4"/>
      <c r="U62" s="4"/>
      <c r="V62" s="4"/>
    </row>
    <row r="63" spans="1:22" s="79" customFormat="1" ht="24" customHeight="1">
      <c r="A63" s="1" t="s">
        <v>106</v>
      </c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2"/>
      <c r="N63" s="2"/>
      <c r="O63" s="2"/>
      <c r="P63" s="4"/>
      <c r="Q63" s="4"/>
      <c r="R63" s="4"/>
      <c r="S63" s="4"/>
      <c r="T63" s="4"/>
      <c r="U63" s="4"/>
      <c r="V63" s="4"/>
    </row>
    <row r="64" spans="1:22" s="79" customFormat="1" ht="24" customHeight="1">
      <c r="A64" s="90" t="s">
        <v>107</v>
      </c>
      <c r="B64" s="90"/>
      <c r="C64" s="90"/>
      <c r="D64" s="69" t="s">
        <v>99</v>
      </c>
      <c r="E64" s="69">
        <v>16</v>
      </c>
      <c r="F64" s="3"/>
      <c r="G64" s="3"/>
      <c r="H64" s="3"/>
      <c r="I64" s="3"/>
      <c r="J64" s="3"/>
      <c r="K64" s="3"/>
      <c r="L64" s="3"/>
      <c r="M64" s="2"/>
      <c r="N64" s="2"/>
      <c r="O64" s="2"/>
      <c r="P64" s="4"/>
      <c r="Q64" s="4"/>
      <c r="R64" s="4"/>
      <c r="S64" s="4"/>
      <c r="T64" s="4"/>
      <c r="U64" s="4"/>
      <c r="V64" s="4"/>
    </row>
    <row r="65" spans="1:22" s="79" customFormat="1" ht="24" customHeight="1">
      <c r="A65" s="90" t="s">
        <v>108</v>
      </c>
      <c r="B65" s="90"/>
      <c r="C65" s="90"/>
      <c r="D65" s="69" t="s">
        <v>99</v>
      </c>
      <c r="E65" s="69">
        <v>6</v>
      </c>
      <c r="F65" s="3"/>
      <c r="G65" s="3"/>
      <c r="H65" s="3"/>
      <c r="I65" s="3"/>
      <c r="J65" s="3"/>
      <c r="K65" s="3"/>
      <c r="L65" s="3"/>
      <c r="M65" s="2"/>
      <c r="N65" s="2"/>
      <c r="O65" s="2"/>
      <c r="P65" s="4"/>
      <c r="Q65" s="4"/>
      <c r="R65" s="4"/>
      <c r="S65" s="4"/>
      <c r="T65" s="4"/>
      <c r="U65" s="4"/>
      <c r="V65" s="4"/>
    </row>
    <row r="66" spans="1:22" s="79" customFormat="1" ht="31.5" customHeight="1">
      <c r="A66" s="90" t="s">
        <v>109</v>
      </c>
      <c r="B66" s="90"/>
      <c r="C66" s="90"/>
      <c r="D66" s="69" t="s">
        <v>105</v>
      </c>
      <c r="E66" s="69">
        <f>3430.26+45624</f>
        <v>49054.26</v>
      </c>
      <c r="F66" s="3"/>
      <c r="G66" s="3"/>
      <c r="H66" s="3"/>
      <c r="I66" s="3"/>
      <c r="J66" s="3"/>
      <c r="K66" s="3"/>
      <c r="L66" s="3"/>
      <c r="M66" s="2"/>
      <c r="N66" s="2"/>
      <c r="O66" s="2"/>
      <c r="P66" s="4"/>
      <c r="Q66" s="4"/>
      <c r="R66" s="4"/>
      <c r="S66" s="4"/>
      <c r="T66" s="4"/>
      <c r="U66" s="4"/>
      <c r="V66" s="4"/>
    </row>
    <row r="70" spans="1:2" ht="15">
      <c r="A70" s="4" t="s">
        <v>110</v>
      </c>
      <c r="B70" s="2" t="s">
        <v>111</v>
      </c>
    </row>
  </sheetData>
  <sheetProtection/>
  <mergeCells count="68">
    <mergeCell ref="A10:A11"/>
    <mergeCell ref="B10:B11"/>
    <mergeCell ref="C10:C11"/>
    <mergeCell ref="D10:D11"/>
    <mergeCell ref="E10:E11"/>
    <mergeCell ref="F10:K10"/>
    <mergeCell ref="L10:L11"/>
    <mergeCell ref="M10:M11"/>
    <mergeCell ref="N10:N11"/>
    <mergeCell ref="O10:O11"/>
    <mergeCell ref="P10:P11"/>
    <mergeCell ref="I25:I26"/>
    <mergeCell ref="E30:F30"/>
    <mergeCell ref="G30:H30"/>
    <mergeCell ref="I30:N30"/>
    <mergeCell ref="A31:C31"/>
    <mergeCell ref="E31:F31"/>
    <mergeCell ref="G31:H31"/>
    <mergeCell ref="I31:N31"/>
    <mergeCell ref="A32:C32"/>
    <mergeCell ref="E32:F32"/>
    <mergeCell ref="G32:H37"/>
    <mergeCell ref="I32:N37"/>
    <mergeCell ref="E33:F33"/>
    <mergeCell ref="E34:F34"/>
    <mergeCell ref="E35:F35"/>
    <mergeCell ref="E36:F36"/>
    <mergeCell ref="E37:F37"/>
    <mergeCell ref="A38:C38"/>
    <mergeCell ref="E38:F38"/>
    <mergeCell ref="G38:H41"/>
    <mergeCell ref="I38:N41"/>
    <mergeCell ref="E39:F39"/>
    <mergeCell ref="E40:F40"/>
    <mergeCell ref="E41:F41"/>
    <mergeCell ref="A42:C42"/>
    <mergeCell ref="E42:F42"/>
    <mergeCell ref="G42:H46"/>
    <mergeCell ref="I42:N46"/>
    <mergeCell ref="E43:F46"/>
    <mergeCell ref="E47:F47"/>
    <mergeCell ref="G47:H47"/>
    <mergeCell ref="I47:N47"/>
    <mergeCell ref="E48:F48"/>
    <mergeCell ref="G48:H48"/>
    <mergeCell ref="I48:N48"/>
    <mergeCell ref="E49:F49"/>
    <mergeCell ref="G49:H49"/>
    <mergeCell ref="I49:N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A58:C58"/>
    <mergeCell ref="G58:Q58"/>
    <mergeCell ref="A66:C66"/>
    <mergeCell ref="A59:C59"/>
    <mergeCell ref="G59:Q59"/>
    <mergeCell ref="A60:C60"/>
    <mergeCell ref="A61:C61"/>
    <mergeCell ref="A64:C64"/>
    <mergeCell ref="A65:C65"/>
  </mergeCells>
  <printOptions/>
  <pageMargins left="0.15748031496062992" right="0.1968503937007874" top="0.4724409448818898" bottom="0.2755905511811024" header="0.4724409448818898" footer="0.2362204724409449"/>
  <pageSetup fitToHeight="2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86" zoomScaleNormal="86" zoomScalePageLayoutView="0" workbookViewId="0" topLeftCell="A1">
      <selection activeCell="L17" sqref="L17"/>
    </sheetView>
  </sheetViews>
  <sheetFormatPr defaultColWidth="9.140625" defaultRowHeight="15"/>
  <cols>
    <col min="1" max="1" width="47.421875" style="4" customWidth="1"/>
    <col min="2" max="2" width="12.7109375" style="2" customWidth="1"/>
    <col min="3" max="3" width="14.00390625" style="2" customWidth="1"/>
    <col min="4" max="4" width="15.421875" style="2" customWidth="1"/>
    <col min="5" max="5" width="13.7109375" style="2" customWidth="1"/>
    <col min="6" max="6" width="14.28125" style="3" customWidth="1"/>
    <col min="7" max="7" width="15.28125" style="3" customWidth="1"/>
    <col min="8" max="8" width="15.57421875" style="3" customWidth="1"/>
    <col min="9" max="9" width="16.28125" style="3" customWidth="1"/>
    <col min="10" max="10" width="14.421875" style="3" customWidth="1"/>
    <col min="11" max="11" width="13.57421875" style="3" customWidth="1"/>
    <col min="12" max="12" width="15.7109375" style="3" customWidth="1"/>
    <col min="13" max="13" width="14.57421875" style="2" customWidth="1"/>
    <col min="14" max="14" width="14.28125" style="2" customWidth="1"/>
    <col min="15" max="15" width="14.421875" style="2" customWidth="1"/>
    <col min="16" max="16" width="13.7109375" style="4" customWidth="1"/>
    <col min="17" max="17" width="8.28125" style="4" customWidth="1"/>
    <col min="18" max="22" width="9.140625" style="5" customWidth="1"/>
  </cols>
  <sheetData>
    <row r="1" ht="15.75">
      <c r="A1" s="1" t="s">
        <v>0</v>
      </c>
    </row>
    <row r="3" ht="15">
      <c r="A3" s="6" t="s">
        <v>1</v>
      </c>
    </row>
    <row r="4" ht="15">
      <c r="A4" s="4" t="s">
        <v>130</v>
      </c>
    </row>
    <row r="5" ht="15">
      <c r="A5" s="4" t="s">
        <v>131</v>
      </c>
    </row>
    <row r="6" ht="15">
      <c r="A6" s="4" t="s">
        <v>4</v>
      </c>
    </row>
    <row r="7" ht="15">
      <c r="A7" s="4" t="s">
        <v>132</v>
      </c>
    </row>
    <row r="8" ht="15">
      <c r="A8" s="4" t="s">
        <v>133</v>
      </c>
    </row>
    <row r="9" ht="15.75" thickBot="1"/>
    <row r="10" spans="1:22" s="8" customFormat="1" ht="15.75" customHeight="1">
      <c r="A10" s="136" t="s">
        <v>7</v>
      </c>
      <c r="B10" s="140" t="s">
        <v>8</v>
      </c>
      <c r="C10" s="132" t="s">
        <v>9</v>
      </c>
      <c r="D10" s="132" t="s">
        <v>10</v>
      </c>
      <c r="E10" s="132" t="s">
        <v>11</v>
      </c>
      <c r="F10" s="132" t="s">
        <v>12</v>
      </c>
      <c r="G10" s="132"/>
      <c r="H10" s="132"/>
      <c r="I10" s="132"/>
      <c r="J10" s="132"/>
      <c r="K10" s="132"/>
      <c r="L10" s="132" t="s">
        <v>13</v>
      </c>
      <c r="M10" s="132" t="s">
        <v>14</v>
      </c>
      <c r="N10" s="132" t="s">
        <v>15</v>
      </c>
      <c r="O10" s="134" t="s">
        <v>16</v>
      </c>
      <c r="P10" s="136" t="s">
        <v>17</v>
      </c>
      <c r="Q10" s="7"/>
      <c r="R10" s="7"/>
      <c r="S10" s="7"/>
      <c r="T10" s="7"/>
      <c r="U10" s="7"/>
      <c r="V10" s="7"/>
    </row>
    <row r="11" spans="1:22" s="8" customFormat="1" ht="63" customHeight="1" thickBot="1">
      <c r="A11" s="137"/>
      <c r="B11" s="141"/>
      <c r="C11" s="133"/>
      <c r="D11" s="133"/>
      <c r="E11" s="133"/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33"/>
      <c r="M11" s="133"/>
      <c r="N11" s="133"/>
      <c r="O11" s="135"/>
      <c r="P11" s="137"/>
      <c r="Q11" s="7"/>
      <c r="R11" s="7"/>
      <c r="S11" s="7"/>
      <c r="T11" s="7"/>
      <c r="U11" s="7"/>
      <c r="V11" s="7"/>
    </row>
    <row r="12" spans="1:22" s="15" customFormat="1" ht="15.75" customHeight="1">
      <c r="A12" s="10" t="s">
        <v>24</v>
      </c>
      <c r="B12" s="11">
        <f>SUM(B13:B19)</f>
        <v>0</v>
      </c>
      <c r="C12" s="12">
        <f>SUM(C13:C19)</f>
        <v>-94911.18000000001</v>
      </c>
      <c r="D12" s="12">
        <f>SUM(D13:D19)</f>
        <v>35290.619999999995</v>
      </c>
      <c r="E12" s="12">
        <f>SUM(E13:E19)</f>
        <v>490666.4799999999</v>
      </c>
      <c r="F12" s="12">
        <f aca="true" t="shared" si="0" ref="F12:O12">SUM(F13:F19)</f>
        <v>451838.61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356927.43000000005</v>
      </c>
      <c r="L12" s="12">
        <f t="shared" si="0"/>
        <v>1016118.1400000001</v>
      </c>
      <c r="M12" s="12">
        <f t="shared" si="0"/>
        <v>0</v>
      </c>
      <c r="N12" s="12">
        <f t="shared" si="0"/>
        <v>-659190.7100000001</v>
      </c>
      <c r="O12" s="12">
        <f t="shared" si="0"/>
        <v>74118.48999999996</v>
      </c>
      <c r="P12" s="13">
        <f aca="true" t="shared" si="1" ref="P12:P21">F12/(D12+E12)</f>
        <v>0.8590788298133063</v>
      </c>
      <c r="Q12" s="14"/>
      <c r="R12" s="14"/>
      <c r="S12" s="14"/>
      <c r="T12" s="14"/>
      <c r="U12" s="14"/>
      <c r="V12" s="14"/>
    </row>
    <row r="13" spans="1:22" s="22" customFormat="1" ht="57" customHeight="1">
      <c r="A13" s="16" t="s">
        <v>25</v>
      </c>
      <c r="B13" s="17">
        <v>0</v>
      </c>
      <c r="C13" s="18">
        <v>0</v>
      </c>
      <c r="D13" s="18">
        <v>0</v>
      </c>
      <c r="E13" s="18">
        <v>24322.61</v>
      </c>
      <c r="F13" s="18">
        <v>22392.57</v>
      </c>
      <c r="G13" s="18">
        <v>0</v>
      </c>
      <c r="H13" s="18">
        <v>0</v>
      </c>
      <c r="I13" s="18">
        <v>0</v>
      </c>
      <c r="J13" s="18">
        <v>0</v>
      </c>
      <c r="K13" s="18">
        <f>F13+G13+H13+I13+J13+C13</f>
        <v>22392.57</v>
      </c>
      <c r="L13" s="18">
        <f>D32</f>
        <v>21098</v>
      </c>
      <c r="M13" s="18">
        <v>0</v>
      </c>
      <c r="N13" s="18">
        <f>K13-L13</f>
        <v>1294.5699999999997</v>
      </c>
      <c r="O13" s="19">
        <f aca="true" t="shared" si="2" ref="O13:O20">D13+E13-F13</f>
        <v>1930.0400000000009</v>
      </c>
      <c r="P13" s="20">
        <f t="shared" si="1"/>
        <v>0.9206483185809418</v>
      </c>
      <c r="Q13" s="21"/>
      <c r="R13" s="21"/>
      <c r="S13" s="21"/>
      <c r="T13" s="21"/>
      <c r="U13" s="21"/>
      <c r="V13" s="21"/>
    </row>
    <row r="14" spans="1:22" s="22" customFormat="1" ht="29.25" customHeight="1">
      <c r="A14" s="16" t="s">
        <v>26</v>
      </c>
      <c r="B14" s="17">
        <v>0</v>
      </c>
      <c r="C14" s="18">
        <v>0</v>
      </c>
      <c r="D14" s="18">
        <v>0</v>
      </c>
      <c r="E14" s="18">
        <v>22108.71</v>
      </c>
      <c r="F14" s="18">
        <v>20440.93</v>
      </c>
      <c r="G14" s="18">
        <v>0</v>
      </c>
      <c r="H14" s="18">
        <v>0</v>
      </c>
      <c r="I14" s="18">
        <v>0</v>
      </c>
      <c r="J14" s="18">
        <v>0</v>
      </c>
      <c r="K14" s="18">
        <f aca="true" t="shared" si="3" ref="K14:K20">F14+G14+H14+I14+J14+C14</f>
        <v>20440.93</v>
      </c>
      <c r="L14" s="18">
        <f>D38</f>
        <v>21509</v>
      </c>
      <c r="M14" s="18">
        <v>0</v>
      </c>
      <c r="N14" s="18">
        <f aca="true" t="shared" si="4" ref="N14:N20">K14-L14</f>
        <v>-1068.0699999999997</v>
      </c>
      <c r="O14" s="19">
        <f t="shared" si="2"/>
        <v>1667.7799999999988</v>
      </c>
      <c r="P14" s="20">
        <f t="shared" si="1"/>
        <v>0.924564572062323</v>
      </c>
      <c r="Q14" s="21"/>
      <c r="R14" s="21"/>
      <c r="S14" s="21"/>
      <c r="T14" s="21"/>
      <c r="U14" s="21"/>
      <c r="V14" s="21"/>
    </row>
    <row r="15" spans="1:22" s="22" customFormat="1" ht="42.75" customHeight="1">
      <c r="A15" s="16" t="s">
        <v>27</v>
      </c>
      <c r="B15" s="17">
        <v>0</v>
      </c>
      <c r="C15" s="18">
        <v>0</v>
      </c>
      <c r="D15" s="18">
        <v>0</v>
      </c>
      <c r="E15" s="18">
        <v>41326.31</v>
      </c>
      <c r="F15" s="18">
        <v>38407.29</v>
      </c>
      <c r="G15" s="18">
        <v>0</v>
      </c>
      <c r="H15" s="18">
        <v>0</v>
      </c>
      <c r="I15" s="18">
        <v>0</v>
      </c>
      <c r="J15" s="18">
        <v>0</v>
      </c>
      <c r="K15" s="18">
        <f t="shared" si="3"/>
        <v>38407.29</v>
      </c>
      <c r="L15" s="18">
        <f>D42</f>
        <v>278092</v>
      </c>
      <c r="M15" s="18">
        <v>0</v>
      </c>
      <c r="N15" s="18">
        <f t="shared" si="4"/>
        <v>-239684.71</v>
      </c>
      <c r="O15" s="19">
        <f t="shared" si="2"/>
        <v>2919.019999999997</v>
      </c>
      <c r="P15" s="20">
        <f t="shared" si="1"/>
        <v>0.9293665463962305</v>
      </c>
      <c r="Q15" s="21"/>
      <c r="R15" s="21"/>
      <c r="S15" s="21"/>
      <c r="T15" s="21"/>
      <c r="U15" s="21"/>
      <c r="V15" s="21"/>
    </row>
    <row r="16" spans="1:22" s="22" customFormat="1" ht="28.5" customHeight="1">
      <c r="A16" s="16" t="s">
        <v>28</v>
      </c>
      <c r="B16" s="17">
        <v>0</v>
      </c>
      <c r="C16" s="18">
        <v>-719.99</v>
      </c>
      <c r="D16" s="18">
        <v>4476.27</v>
      </c>
      <c r="E16" s="18">
        <v>39122.02</v>
      </c>
      <c r="F16" s="18">
        <v>35941.78</v>
      </c>
      <c r="G16" s="18">
        <v>0</v>
      </c>
      <c r="H16" s="18">
        <v>0</v>
      </c>
      <c r="I16" s="18">
        <v>0</v>
      </c>
      <c r="J16" s="18">
        <v>0</v>
      </c>
      <c r="K16" s="18">
        <f t="shared" si="3"/>
        <v>35221.79</v>
      </c>
      <c r="L16" s="18">
        <f>D47</f>
        <v>373437.5</v>
      </c>
      <c r="M16" s="18">
        <v>0</v>
      </c>
      <c r="N16" s="18">
        <f t="shared" si="4"/>
        <v>-338215.71</v>
      </c>
      <c r="O16" s="19">
        <f t="shared" si="2"/>
        <v>7656.509999999995</v>
      </c>
      <c r="P16" s="20">
        <f t="shared" si="1"/>
        <v>0.8243850848278683</v>
      </c>
      <c r="Q16" s="21"/>
      <c r="R16" s="21"/>
      <c r="S16" s="21"/>
      <c r="T16" s="21"/>
      <c r="U16" s="21"/>
      <c r="V16" s="21"/>
    </row>
    <row r="17" spans="1:22" s="22" customFormat="1" ht="16.5" customHeight="1">
      <c r="A17" s="16" t="s">
        <v>29</v>
      </c>
      <c r="B17" s="17">
        <v>0</v>
      </c>
      <c r="C17" s="18">
        <v>-94191.19</v>
      </c>
      <c r="D17" s="18">
        <v>30814.35</v>
      </c>
      <c r="E17" s="18">
        <v>273331.56</v>
      </c>
      <c r="F17" s="18">
        <v>251036.66</v>
      </c>
      <c r="G17" s="18">
        <v>0</v>
      </c>
      <c r="H17" s="18">
        <v>0</v>
      </c>
      <c r="I17" s="18">
        <v>0</v>
      </c>
      <c r="J17" s="18">
        <v>0</v>
      </c>
      <c r="K17" s="18">
        <f t="shared" si="3"/>
        <v>156845.47</v>
      </c>
      <c r="L17" s="18">
        <f>D48</f>
        <v>273331.56</v>
      </c>
      <c r="M17" s="18">
        <v>0</v>
      </c>
      <c r="N17" s="18">
        <f t="shared" si="4"/>
        <v>-116486.09</v>
      </c>
      <c r="O17" s="19">
        <f>D17+E17-F17</f>
        <v>53109.24999999997</v>
      </c>
      <c r="P17" s="20">
        <f>F17/(D17+E17)</f>
        <v>0.8253823304742123</v>
      </c>
      <c r="Q17" s="21"/>
      <c r="R17" s="21"/>
      <c r="S17" s="21"/>
      <c r="T17" s="21"/>
      <c r="U17" s="21"/>
      <c r="V17" s="21"/>
    </row>
    <row r="18" spans="1:22" s="22" customFormat="1" ht="16.5" customHeight="1">
      <c r="A18" s="16" t="s">
        <v>30</v>
      </c>
      <c r="B18" s="17">
        <v>0</v>
      </c>
      <c r="C18" s="18">
        <v>0</v>
      </c>
      <c r="D18" s="18">
        <v>0</v>
      </c>
      <c r="E18" s="18">
        <v>65413.86</v>
      </c>
      <c r="F18" s="18">
        <v>60473.16</v>
      </c>
      <c r="G18" s="18">
        <v>0</v>
      </c>
      <c r="H18" s="18">
        <v>0</v>
      </c>
      <c r="I18" s="18">
        <v>0</v>
      </c>
      <c r="J18" s="18">
        <v>0</v>
      </c>
      <c r="K18" s="18">
        <f t="shared" si="3"/>
        <v>60473.16</v>
      </c>
      <c r="L18" s="18">
        <f>D49</f>
        <v>11654.68</v>
      </c>
      <c r="M18" s="18">
        <v>0</v>
      </c>
      <c r="N18" s="18">
        <f t="shared" si="4"/>
        <v>48818.48</v>
      </c>
      <c r="O18" s="19">
        <f t="shared" si="2"/>
        <v>4940.699999999997</v>
      </c>
      <c r="P18" s="20">
        <f t="shared" si="1"/>
        <v>0.9244701352282223</v>
      </c>
      <c r="Q18" s="21"/>
      <c r="R18" s="21"/>
      <c r="S18" s="21"/>
      <c r="T18" s="21"/>
      <c r="U18" s="21"/>
      <c r="V18" s="21"/>
    </row>
    <row r="19" spans="1:22" s="22" customFormat="1" ht="17.25" customHeight="1">
      <c r="A19" s="16" t="s">
        <v>31</v>
      </c>
      <c r="B19" s="17">
        <v>0</v>
      </c>
      <c r="C19" s="18">
        <v>0</v>
      </c>
      <c r="D19" s="18">
        <v>0</v>
      </c>
      <c r="E19" s="18">
        <v>25041.41</v>
      </c>
      <c r="F19" s="18">
        <v>23146.22</v>
      </c>
      <c r="G19" s="18">
        <v>0</v>
      </c>
      <c r="H19" s="18">
        <v>0</v>
      </c>
      <c r="I19" s="18">
        <v>0</v>
      </c>
      <c r="J19" s="18">
        <v>0</v>
      </c>
      <c r="K19" s="18">
        <f t="shared" si="3"/>
        <v>23146.22</v>
      </c>
      <c r="L19" s="18">
        <f>D50</f>
        <v>36995.4</v>
      </c>
      <c r="M19" s="18">
        <v>0</v>
      </c>
      <c r="N19" s="18">
        <f t="shared" si="4"/>
        <v>-13849.18</v>
      </c>
      <c r="O19" s="19">
        <f t="shared" si="2"/>
        <v>1895.1899999999987</v>
      </c>
      <c r="P19" s="20">
        <f t="shared" si="1"/>
        <v>0.924317760062233</v>
      </c>
      <c r="Q19" s="21"/>
      <c r="R19" s="21"/>
      <c r="S19" s="21"/>
      <c r="T19" s="21"/>
      <c r="U19" s="21"/>
      <c r="V19" s="21"/>
    </row>
    <row r="20" spans="1:22" s="15" customFormat="1" ht="18.75" customHeight="1" thickBot="1">
      <c r="A20" s="83" t="s">
        <v>116</v>
      </c>
      <c r="B20" s="84">
        <v>0</v>
      </c>
      <c r="C20" s="85">
        <v>960.24</v>
      </c>
      <c r="D20" s="85">
        <v>488.84</v>
      </c>
      <c r="E20" s="85">
        <v>11654.68</v>
      </c>
      <c r="F20" s="85">
        <v>14158.590000000002</v>
      </c>
      <c r="G20" s="85">
        <v>0</v>
      </c>
      <c r="H20" s="85">
        <v>0</v>
      </c>
      <c r="I20" s="85">
        <v>0</v>
      </c>
      <c r="J20" s="85">
        <v>0</v>
      </c>
      <c r="K20" s="63">
        <f t="shared" si="3"/>
        <v>15118.830000000002</v>
      </c>
      <c r="L20" s="63">
        <f>C20+E20</f>
        <v>12614.92</v>
      </c>
      <c r="M20" s="85">
        <v>2992.75</v>
      </c>
      <c r="N20" s="63">
        <f t="shared" si="4"/>
        <v>2503.9100000000017</v>
      </c>
      <c r="O20" s="86">
        <f t="shared" si="2"/>
        <v>-2015.0700000000015</v>
      </c>
      <c r="P20" s="87">
        <f t="shared" si="1"/>
        <v>1.1659378829202736</v>
      </c>
      <c r="Q20" s="14"/>
      <c r="R20" s="14"/>
      <c r="S20" s="14"/>
      <c r="T20" s="14"/>
      <c r="U20" s="14"/>
      <c r="V20" s="14"/>
    </row>
    <row r="21" spans="1:22" s="15" customFormat="1" ht="17.25" customHeight="1" thickBot="1">
      <c r="A21" s="23" t="s">
        <v>32</v>
      </c>
      <c r="B21" s="24">
        <f>SUM(B13:B20)</f>
        <v>0</v>
      </c>
      <c r="C21" s="24">
        <f>SUM(C13:C20)</f>
        <v>-93950.94</v>
      </c>
      <c r="D21" s="24">
        <f>SUM(D13:D20)</f>
        <v>35779.45999999999</v>
      </c>
      <c r="E21" s="24">
        <f aca="true" t="shared" si="5" ref="E21:O21">SUM(E13:E20)</f>
        <v>502321.1599999999</v>
      </c>
      <c r="F21" s="24">
        <f t="shared" si="5"/>
        <v>465997.2</v>
      </c>
      <c r="G21" s="24">
        <f t="shared" si="5"/>
        <v>0</v>
      </c>
      <c r="H21" s="24">
        <f t="shared" si="5"/>
        <v>0</v>
      </c>
      <c r="I21" s="24">
        <f t="shared" si="5"/>
        <v>0</v>
      </c>
      <c r="J21" s="24">
        <f t="shared" si="5"/>
        <v>0</v>
      </c>
      <c r="K21" s="24">
        <f t="shared" si="5"/>
        <v>372046.26000000007</v>
      </c>
      <c r="L21" s="24">
        <f t="shared" si="5"/>
        <v>1028733.0600000002</v>
      </c>
      <c r="M21" s="24">
        <f t="shared" si="5"/>
        <v>2992.75</v>
      </c>
      <c r="N21" s="24">
        <f t="shared" si="5"/>
        <v>-656686.8</v>
      </c>
      <c r="O21" s="24">
        <f t="shared" si="5"/>
        <v>72103.41999999995</v>
      </c>
      <c r="P21" s="25">
        <f t="shared" si="1"/>
        <v>0.8660038340041313</v>
      </c>
      <c r="Q21" s="14"/>
      <c r="R21" s="14"/>
      <c r="S21" s="14"/>
      <c r="T21" s="14"/>
      <c r="U21" s="14"/>
      <c r="V21" s="14"/>
    </row>
    <row r="22" spans="1:17" ht="15.75" thickBot="1">
      <c r="A22" s="26"/>
      <c r="B22" s="27"/>
      <c r="C22" s="27"/>
      <c r="D22" s="27"/>
      <c r="E22" s="27"/>
      <c r="F22" s="28"/>
      <c r="G22" s="28"/>
      <c r="H22" s="28"/>
      <c r="I22" s="28"/>
      <c r="J22" s="28"/>
      <c r="K22" s="28"/>
      <c r="L22" s="28"/>
      <c r="M22" s="27"/>
      <c r="N22" s="27"/>
      <c r="O22" s="27"/>
      <c r="P22" s="26"/>
      <c r="Q22" s="26"/>
    </row>
    <row r="23" spans="1:22" s="8" customFormat="1" ht="86.25" customHeight="1" thickBot="1">
      <c r="A23" s="29" t="s">
        <v>33</v>
      </c>
      <c r="B23" s="30" t="s">
        <v>34</v>
      </c>
      <c r="C23" s="31" t="s">
        <v>35</v>
      </c>
      <c r="D23" s="31" t="s">
        <v>8</v>
      </c>
      <c r="E23" s="31" t="s">
        <v>9</v>
      </c>
      <c r="F23" s="31" t="s">
        <v>10</v>
      </c>
      <c r="G23" s="31" t="s">
        <v>36</v>
      </c>
      <c r="H23" s="31" t="s">
        <v>37</v>
      </c>
      <c r="I23" s="31" t="s">
        <v>38</v>
      </c>
      <c r="J23" s="31" t="s">
        <v>39</v>
      </c>
      <c r="K23" s="31" t="s">
        <v>40</v>
      </c>
      <c r="L23" s="31" t="s">
        <v>41</v>
      </c>
      <c r="M23" s="31" t="s">
        <v>42</v>
      </c>
      <c r="N23" s="31" t="s">
        <v>14</v>
      </c>
      <c r="O23" s="31" t="s">
        <v>15</v>
      </c>
      <c r="P23" s="32" t="s">
        <v>16</v>
      </c>
      <c r="Q23" s="33" t="s">
        <v>17</v>
      </c>
      <c r="R23" s="7"/>
      <c r="S23" s="7"/>
      <c r="T23" s="7"/>
      <c r="U23" s="7"/>
      <c r="V23" s="7"/>
    </row>
    <row r="24" spans="1:22" s="42" customFormat="1" ht="27" customHeight="1">
      <c r="A24" s="34" t="s">
        <v>43</v>
      </c>
      <c r="B24" s="35" t="s">
        <v>44</v>
      </c>
      <c r="C24" s="36">
        <v>410.833</v>
      </c>
      <c r="D24" s="18">
        <v>0</v>
      </c>
      <c r="E24" s="18">
        <v>80261.41</v>
      </c>
      <c r="F24" s="18">
        <v>160773.03</v>
      </c>
      <c r="G24" s="18">
        <v>495476.01</v>
      </c>
      <c r="H24" s="18">
        <v>561711</v>
      </c>
      <c r="I24" s="37" t="s">
        <v>45</v>
      </c>
      <c r="J24" s="18">
        <v>495476.01</v>
      </c>
      <c r="K24" s="89">
        <v>340444.5</v>
      </c>
      <c r="L24" s="38">
        <f>J24-K24</f>
        <v>155031.51</v>
      </c>
      <c r="M24" s="18">
        <v>0</v>
      </c>
      <c r="N24" s="18">
        <v>0</v>
      </c>
      <c r="O24" s="38">
        <f>E24+H24-J24</f>
        <v>146496.40000000002</v>
      </c>
      <c r="P24" s="39">
        <f>F24+G24-H24</f>
        <v>94538.04000000004</v>
      </c>
      <c r="Q24" s="40">
        <f>H24/(F24+G24)</f>
        <v>0.8559418235491818</v>
      </c>
      <c r="R24" s="41"/>
      <c r="S24" s="41"/>
      <c r="T24" s="41"/>
      <c r="U24" s="41"/>
      <c r="V24" s="41"/>
    </row>
    <row r="25" spans="1:22" s="42" customFormat="1" ht="17.25" customHeight="1">
      <c r="A25" s="34" t="s">
        <v>46</v>
      </c>
      <c r="B25" s="35" t="s">
        <v>47</v>
      </c>
      <c r="C25" s="36">
        <f>3480.733+357.064</f>
        <v>3837.797</v>
      </c>
      <c r="D25" s="18">
        <v>0</v>
      </c>
      <c r="E25" s="18">
        <v>0</v>
      </c>
      <c r="F25" s="18">
        <v>7903.42</v>
      </c>
      <c r="G25" s="18">
        <v>71052.9</v>
      </c>
      <c r="H25" s="18">
        <v>68392.52</v>
      </c>
      <c r="I25" s="138" t="s">
        <v>48</v>
      </c>
      <c r="J25" s="18">
        <v>71052.9</v>
      </c>
      <c r="K25" s="18">
        <v>66988.61</v>
      </c>
      <c r="L25" s="38">
        <f>J25-K25</f>
        <v>4064.2899999999936</v>
      </c>
      <c r="M25" s="18">
        <v>0</v>
      </c>
      <c r="N25" s="18">
        <v>0</v>
      </c>
      <c r="O25" s="38">
        <f>E25+H25-J25</f>
        <v>-2660.37999999999</v>
      </c>
      <c r="P25" s="39">
        <f>F25+G25-H25</f>
        <v>10563.799999999988</v>
      </c>
      <c r="Q25" s="40">
        <f>H25/(F25+G25)</f>
        <v>0.8662070370047643</v>
      </c>
      <c r="R25" s="41"/>
      <c r="S25" s="41"/>
      <c r="T25" s="41"/>
      <c r="U25" s="41"/>
      <c r="V25" s="41"/>
    </row>
    <row r="26" spans="1:22" s="42" customFormat="1" ht="17.25" customHeight="1" thickBot="1">
      <c r="A26" s="43" t="s">
        <v>49</v>
      </c>
      <c r="B26" s="44" t="s">
        <v>47</v>
      </c>
      <c r="C26" s="45">
        <f>3480.773+359.616</f>
        <v>3840.389</v>
      </c>
      <c r="D26" s="46">
        <v>0</v>
      </c>
      <c r="E26" s="46">
        <v>0</v>
      </c>
      <c r="F26" s="46">
        <v>10123.59</v>
      </c>
      <c r="G26" s="46">
        <v>95290.23999999999</v>
      </c>
      <c r="H26" s="46">
        <v>91154.21</v>
      </c>
      <c r="I26" s="139"/>
      <c r="J26" s="46">
        <v>95290.24</v>
      </c>
      <c r="K26" s="46">
        <v>89283.06</v>
      </c>
      <c r="L26" s="38">
        <f>J26-K26</f>
        <v>6007.180000000008</v>
      </c>
      <c r="M26" s="46">
        <v>0</v>
      </c>
      <c r="N26" s="46">
        <v>0</v>
      </c>
      <c r="O26" s="38">
        <f>E26+H26-J26</f>
        <v>-4136.029999999999</v>
      </c>
      <c r="P26" s="39">
        <f>F26+G26-H26</f>
        <v>14259.61999999998</v>
      </c>
      <c r="Q26" s="47">
        <f>H26/(F26+G26)</f>
        <v>0.8647272374032896</v>
      </c>
      <c r="R26" s="41"/>
      <c r="S26" s="41"/>
      <c r="T26" s="41"/>
      <c r="U26" s="41"/>
      <c r="V26" s="41"/>
    </row>
    <row r="27" spans="1:22" s="53" customFormat="1" ht="17.25" customHeight="1" thickBot="1">
      <c r="A27" s="48" t="s">
        <v>50</v>
      </c>
      <c r="B27" s="49"/>
      <c r="C27" s="50"/>
      <c r="D27" s="24">
        <f>SUM(D24:D26)</f>
        <v>0</v>
      </c>
      <c r="E27" s="24">
        <f>SUM(E24:E26)</f>
        <v>80261.41</v>
      </c>
      <c r="F27" s="24">
        <f>SUM(F24:F26)</f>
        <v>178800.04</v>
      </c>
      <c r="G27" s="24">
        <f>SUM(G24:G26)</f>
        <v>661819.15</v>
      </c>
      <c r="H27" s="24">
        <f>SUM(H24:H26)</f>
        <v>721257.73</v>
      </c>
      <c r="I27" s="24"/>
      <c r="J27" s="24">
        <f aca="true" t="shared" si="6" ref="J27:P27">SUM(J24:J26)</f>
        <v>661819.15</v>
      </c>
      <c r="K27" s="24">
        <f t="shared" si="6"/>
        <v>496716.17</v>
      </c>
      <c r="L27" s="24">
        <f t="shared" si="6"/>
        <v>165102.97999999998</v>
      </c>
      <c r="M27" s="24">
        <f t="shared" si="6"/>
        <v>0</v>
      </c>
      <c r="N27" s="24">
        <f t="shared" si="6"/>
        <v>0</v>
      </c>
      <c r="O27" s="24">
        <f t="shared" si="6"/>
        <v>139699.99000000002</v>
      </c>
      <c r="P27" s="51">
        <f t="shared" si="6"/>
        <v>119361.46</v>
      </c>
      <c r="Q27" s="25">
        <f>H27/(F27+G27)</f>
        <v>0.8580076907356825</v>
      </c>
      <c r="R27" s="52"/>
      <c r="S27" s="52"/>
      <c r="T27" s="52"/>
      <c r="U27" s="52"/>
      <c r="V27" s="52"/>
    </row>
    <row r="28" spans="1:17" ht="15">
      <c r="A28" s="26"/>
      <c r="B28" s="27"/>
      <c r="C28" s="27"/>
      <c r="D28" s="27"/>
      <c r="E28" s="27"/>
      <c r="F28" s="55"/>
      <c r="G28" s="55"/>
      <c r="H28" s="55"/>
      <c r="I28" s="28"/>
      <c r="J28" s="28"/>
      <c r="K28" s="28"/>
      <c r="L28" s="28"/>
      <c r="M28" s="27"/>
      <c r="N28" s="27"/>
      <c r="O28" s="27"/>
      <c r="P28" s="56"/>
      <c r="Q28" s="26"/>
    </row>
    <row r="29" spans="1:22" s="60" customFormat="1" ht="15">
      <c r="A29" s="57" t="s">
        <v>51</v>
      </c>
      <c r="B29" s="2"/>
      <c r="C29" s="2"/>
      <c r="D29" s="2"/>
      <c r="E29" s="2"/>
      <c r="F29" s="58"/>
      <c r="G29" s="28"/>
      <c r="H29" s="28"/>
      <c r="I29" s="28"/>
      <c r="J29" s="28"/>
      <c r="K29" s="28"/>
      <c r="L29" s="28"/>
      <c r="M29" s="2"/>
      <c r="N29" s="2"/>
      <c r="O29" s="2"/>
      <c r="P29" s="26"/>
      <c r="Q29" s="26"/>
      <c r="R29" s="26"/>
      <c r="S29" s="26"/>
      <c r="T29" s="59"/>
      <c r="U29" s="59"/>
      <c r="V29" s="59"/>
    </row>
    <row r="30" spans="1:22" s="60" customFormat="1" ht="49.5" customHeight="1">
      <c r="A30" s="61" t="s">
        <v>52</v>
      </c>
      <c r="B30" s="61" t="s">
        <v>34</v>
      </c>
      <c r="C30" s="61" t="s">
        <v>53</v>
      </c>
      <c r="D30" s="61" t="s">
        <v>54</v>
      </c>
      <c r="E30" s="124" t="s">
        <v>55</v>
      </c>
      <c r="F30" s="124"/>
      <c r="G30" s="124" t="s">
        <v>56</v>
      </c>
      <c r="H30" s="124"/>
      <c r="I30" s="125" t="s">
        <v>57</v>
      </c>
      <c r="J30" s="125"/>
      <c r="K30" s="125"/>
      <c r="L30" s="125"/>
      <c r="M30" s="125"/>
      <c r="N30" s="125"/>
      <c r="O30" s="62"/>
      <c r="P30" s="62"/>
      <c r="Q30" s="62"/>
      <c r="R30" s="62"/>
      <c r="S30" s="26"/>
      <c r="T30" s="59"/>
      <c r="U30" s="59"/>
      <c r="V30" s="59"/>
    </row>
    <row r="31" spans="1:22" s="60" customFormat="1" ht="15.75">
      <c r="A31" s="126" t="s">
        <v>58</v>
      </c>
      <c r="B31" s="127"/>
      <c r="C31" s="128"/>
      <c r="D31" s="63">
        <f>D32+D38+D42+D47+D49+D50+D48</f>
        <v>1016118.1400000001</v>
      </c>
      <c r="E31" s="129"/>
      <c r="F31" s="129"/>
      <c r="G31" s="130"/>
      <c r="H31" s="130"/>
      <c r="I31" s="131"/>
      <c r="J31" s="131"/>
      <c r="K31" s="131"/>
      <c r="L31" s="131"/>
      <c r="M31" s="131"/>
      <c r="N31" s="131"/>
      <c r="O31" s="64"/>
      <c r="P31" s="64"/>
      <c r="Q31" s="64"/>
      <c r="R31" s="64"/>
      <c r="S31" s="26"/>
      <c r="T31" s="59"/>
      <c r="U31" s="59"/>
      <c r="V31" s="59"/>
    </row>
    <row r="32" spans="1:22" s="67" customFormat="1" ht="41.25" customHeight="1">
      <c r="A32" s="115" t="s">
        <v>59</v>
      </c>
      <c r="B32" s="116"/>
      <c r="C32" s="117"/>
      <c r="D32" s="65">
        <f>SUM(D33:D37)</f>
        <v>21098</v>
      </c>
      <c r="E32" s="96"/>
      <c r="F32" s="96"/>
      <c r="G32" s="118" t="s">
        <v>60</v>
      </c>
      <c r="H32" s="119"/>
      <c r="I32" s="106" t="s">
        <v>61</v>
      </c>
      <c r="J32" s="107"/>
      <c r="K32" s="107"/>
      <c r="L32" s="107"/>
      <c r="M32" s="107"/>
      <c r="N32" s="108"/>
      <c r="O32" s="66"/>
      <c r="P32" s="66"/>
      <c r="Q32" s="66"/>
      <c r="R32" s="66"/>
      <c r="S32" s="26"/>
      <c r="T32" s="26"/>
      <c r="U32" s="26"/>
      <c r="V32" s="26"/>
    </row>
    <row r="33" spans="1:22" s="67" customFormat="1" ht="28.5" customHeight="1">
      <c r="A33" s="68" t="s">
        <v>62</v>
      </c>
      <c r="B33" s="69" t="s">
        <v>63</v>
      </c>
      <c r="C33" s="18">
        <f>32*137</f>
        <v>4384</v>
      </c>
      <c r="D33" s="18">
        <f>C33</f>
        <v>4384</v>
      </c>
      <c r="E33" s="96" t="s">
        <v>64</v>
      </c>
      <c r="F33" s="96"/>
      <c r="G33" s="120"/>
      <c r="H33" s="121"/>
      <c r="I33" s="109"/>
      <c r="J33" s="110"/>
      <c r="K33" s="110"/>
      <c r="L33" s="110"/>
      <c r="M33" s="110"/>
      <c r="N33" s="111"/>
      <c r="O33" s="66"/>
      <c r="P33" s="66"/>
      <c r="Q33" s="66"/>
      <c r="R33" s="66"/>
      <c r="S33" s="26"/>
      <c r="T33" s="26"/>
      <c r="U33" s="26"/>
      <c r="V33" s="26"/>
    </row>
    <row r="34" spans="1:22" s="67" customFormat="1" ht="30.75" customHeight="1">
      <c r="A34" s="68" t="s">
        <v>65</v>
      </c>
      <c r="B34" s="69" t="s">
        <v>63</v>
      </c>
      <c r="C34" s="18">
        <f>18*137</f>
        <v>2466</v>
      </c>
      <c r="D34" s="18">
        <f>C34</f>
        <v>2466</v>
      </c>
      <c r="E34" s="96" t="s">
        <v>66</v>
      </c>
      <c r="F34" s="96"/>
      <c r="G34" s="120"/>
      <c r="H34" s="121"/>
      <c r="I34" s="109"/>
      <c r="J34" s="110"/>
      <c r="K34" s="110"/>
      <c r="L34" s="110"/>
      <c r="M34" s="110"/>
      <c r="N34" s="111"/>
      <c r="O34" s="66"/>
      <c r="P34" s="66"/>
      <c r="Q34" s="66"/>
      <c r="R34" s="66"/>
      <c r="S34" s="26"/>
      <c r="T34" s="26"/>
      <c r="U34" s="26"/>
      <c r="V34" s="26"/>
    </row>
    <row r="35" spans="1:22" s="67" customFormat="1" ht="15.75" customHeight="1">
      <c r="A35" s="68" t="s">
        <v>67</v>
      </c>
      <c r="B35" s="69" t="s">
        <v>63</v>
      </c>
      <c r="C35" s="18">
        <f>24*137</f>
        <v>3288</v>
      </c>
      <c r="D35" s="18">
        <f>C35</f>
        <v>3288</v>
      </c>
      <c r="E35" s="96" t="s">
        <v>68</v>
      </c>
      <c r="F35" s="96"/>
      <c r="G35" s="120"/>
      <c r="H35" s="121"/>
      <c r="I35" s="109"/>
      <c r="J35" s="110"/>
      <c r="K35" s="110"/>
      <c r="L35" s="110"/>
      <c r="M35" s="110"/>
      <c r="N35" s="111"/>
      <c r="O35" s="66"/>
      <c r="P35" s="66"/>
      <c r="Q35" s="66"/>
      <c r="R35" s="66"/>
      <c r="S35" s="26"/>
      <c r="T35" s="26"/>
      <c r="U35" s="26"/>
      <c r="V35" s="26"/>
    </row>
    <row r="36" spans="1:22" s="67" customFormat="1" ht="27" customHeight="1">
      <c r="A36" s="68" t="s">
        <v>69</v>
      </c>
      <c r="B36" s="69" t="s">
        <v>63</v>
      </c>
      <c r="C36" s="18">
        <f>64*137</f>
        <v>8768</v>
      </c>
      <c r="D36" s="18">
        <f>C36</f>
        <v>8768</v>
      </c>
      <c r="E36" s="96" t="s">
        <v>66</v>
      </c>
      <c r="F36" s="96"/>
      <c r="G36" s="120"/>
      <c r="H36" s="121"/>
      <c r="I36" s="109"/>
      <c r="J36" s="110"/>
      <c r="K36" s="110"/>
      <c r="L36" s="110"/>
      <c r="M36" s="110"/>
      <c r="N36" s="111"/>
      <c r="O36" s="66"/>
      <c r="P36" s="66"/>
      <c r="Q36" s="66"/>
      <c r="R36" s="66"/>
      <c r="S36" s="26"/>
      <c r="T36" s="26"/>
      <c r="U36" s="26"/>
      <c r="V36" s="26"/>
    </row>
    <row r="37" spans="1:22" s="67" customFormat="1" ht="29.25" customHeight="1">
      <c r="A37" s="68" t="s">
        <v>70</v>
      </c>
      <c r="B37" s="69" t="s">
        <v>63</v>
      </c>
      <c r="C37" s="18">
        <f>16*137</f>
        <v>2192</v>
      </c>
      <c r="D37" s="18">
        <f>C37</f>
        <v>2192</v>
      </c>
      <c r="E37" s="96" t="s">
        <v>71</v>
      </c>
      <c r="F37" s="96"/>
      <c r="G37" s="122"/>
      <c r="H37" s="123"/>
      <c r="I37" s="112"/>
      <c r="J37" s="113"/>
      <c r="K37" s="113"/>
      <c r="L37" s="113"/>
      <c r="M37" s="113"/>
      <c r="N37" s="114"/>
      <c r="O37" s="66"/>
      <c r="P37" s="66"/>
      <c r="Q37" s="66"/>
      <c r="R37" s="66"/>
      <c r="S37" s="26"/>
      <c r="T37" s="26"/>
      <c r="U37" s="26"/>
      <c r="V37" s="26"/>
    </row>
    <row r="38" spans="1:22" s="67" customFormat="1" ht="28.5" customHeight="1">
      <c r="A38" s="101" t="s">
        <v>72</v>
      </c>
      <c r="B38" s="102"/>
      <c r="C38" s="103"/>
      <c r="D38" s="65">
        <f>SUM(D39:D41)</f>
        <v>21509</v>
      </c>
      <c r="E38" s="96"/>
      <c r="F38" s="96"/>
      <c r="G38" s="98" t="s">
        <v>60</v>
      </c>
      <c r="H38" s="98"/>
      <c r="I38" s="106" t="s">
        <v>73</v>
      </c>
      <c r="J38" s="107"/>
      <c r="K38" s="107"/>
      <c r="L38" s="107"/>
      <c r="M38" s="107"/>
      <c r="N38" s="108"/>
      <c r="O38" s="70"/>
      <c r="P38" s="70"/>
      <c r="Q38" s="70"/>
      <c r="R38" s="70"/>
      <c r="S38" s="26"/>
      <c r="T38" s="26"/>
      <c r="U38" s="26"/>
      <c r="V38" s="26"/>
    </row>
    <row r="39" spans="1:22" s="60" customFormat="1" ht="30.75" customHeight="1">
      <c r="A39" s="68" t="s">
        <v>74</v>
      </c>
      <c r="B39" s="69" t="s">
        <v>63</v>
      </c>
      <c r="C39" s="18">
        <f>56*137</f>
        <v>7672</v>
      </c>
      <c r="D39" s="18">
        <f>C39</f>
        <v>7672</v>
      </c>
      <c r="E39" s="96" t="s">
        <v>68</v>
      </c>
      <c r="F39" s="96"/>
      <c r="G39" s="98"/>
      <c r="H39" s="98"/>
      <c r="I39" s="109"/>
      <c r="J39" s="110"/>
      <c r="K39" s="110"/>
      <c r="L39" s="110"/>
      <c r="M39" s="110"/>
      <c r="N39" s="111"/>
      <c r="O39" s="71"/>
      <c r="P39" s="71"/>
      <c r="Q39" s="71"/>
      <c r="R39" s="71"/>
      <c r="S39" s="26"/>
      <c r="T39" s="59"/>
      <c r="U39" s="59"/>
      <c r="V39" s="59"/>
    </row>
    <row r="40" spans="1:22" s="67" customFormat="1" ht="30.75" customHeight="1">
      <c r="A40" s="68" t="s">
        <v>75</v>
      </c>
      <c r="B40" s="69" t="s">
        <v>63</v>
      </c>
      <c r="C40" s="18">
        <f>89*137</f>
        <v>12193</v>
      </c>
      <c r="D40" s="18">
        <f>C40</f>
        <v>12193</v>
      </c>
      <c r="E40" s="96" t="s">
        <v>68</v>
      </c>
      <c r="F40" s="96"/>
      <c r="G40" s="98"/>
      <c r="H40" s="98"/>
      <c r="I40" s="109"/>
      <c r="J40" s="110"/>
      <c r="K40" s="110"/>
      <c r="L40" s="110"/>
      <c r="M40" s="110"/>
      <c r="N40" s="111"/>
      <c r="O40" s="71"/>
      <c r="P40" s="71"/>
      <c r="Q40" s="71"/>
      <c r="R40" s="71"/>
      <c r="S40" s="26"/>
      <c r="T40" s="26"/>
      <c r="U40" s="26"/>
      <c r="V40" s="26"/>
    </row>
    <row r="41" spans="1:22" s="67" customFormat="1" ht="31.5" customHeight="1">
      <c r="A41" s="68" t="s">
        <v>76</v>
      </c>
      <c r="B41" s="69" t="s">
        <v>63</v>
      </c>
      <c r="C41" s="18">
        <f>12*137</f>
        <v>1644</v>
      </c>
      <c r="D41" s="18">
        <f>C41</f>
        <v>1644</v>
      </c>
      <c r="E41" s="96" t="s">
        <v>68</v>
      </c>
      <c r="F41" s="96"/>
      <c r="G41" s="98"/>
      <c r="H41" s="98"/>
      <c r="I41" s="112"/>
      <c r="J41" s="113"/>
      <c r="K41" s="113"/>
      <c r="L41" s="113"/>
      <c r="M41" s="113"/>
      <c r="N41" s="114"/>
      <c r="O41" s="71"/>
      <c r="P41" s="71"/>
      <c r="Q41" s="71"/>
      <c r="R41" s="71"/>
      <c r="S41" s="26"/>
      <c r="T41" s="26"/>
      <c r="U41" s="26"/>
      <c r="V41" s="26"/>
    </row>
    <row r="42" spans="1:22" s="67" customFormat="1" ht="35.25" customHeight="1">
      <c r="A42" s="101" t="s">
        <v>77</v>
      </c>
      <c r="B42" s="102"/>
      <c r="C42" s="103"/>
      <c r="D42" s="65">
        <f>SUM(D43:D46)</f>
        <v>278092</v>
      </c>
      <c r="E42" s="104"/>
      <c r="F42" s="105"/>
      <c r="G42" s="98" t="s">
        <v>60</v>
      </c>
      <c r="H42" s="98"/>
      <c r="I42" s="106" t="s">
        <v>78</v>
      </c>
      <c r="J42" s="107"/>
      <c r="K42" s="107"/>
      <c r="L42" s="107"/>
      <c r="M42" s="107"/>
      <c r="N42" s="108"/>
      <c r="O42" s="71"/>
      <c r="P42" s="71"/>
      <c r="Q42" s="71"/>
      <c r="R42" s="71"/>
      <c r="S42" s="26"/>
      <c r="T42" s="26"/>
      <c r="U42" s="26"/>
      <c r="V42" s="26"/>
    </row>
    <row r="43" spans="1:22" s="67" customFormat="1" ht="18" customHeight="1">
      <c r="A43" s="68" t="s">
        <v>79</v>
      </c>
      <c r="B43" s="69" t="s">
        <v>63</v>
      </c>
      <c r="C43" s="18">
        <f>80*137</f>
        <v>10960</v>
      </c>
      <c r="D43" s="18">
        <f aca="true" t="shared" si="7" ref="D43:D49">C43</f>
        <v>10960</v>
      </c>
      <c r="E43" s="96" t="s">
        <v>66</v>
      </c>
      <c r="F43" s="96"/>
      <c r="G43" s="98"/>
      <c r="H43" s="98"/>
      <c r="I43" s="109"/>
      <c r="J43" s="110"/>
      <c r="K43" s="110"/>
      <c r="L43" s="110"/>
      <c r="M43" s="110"/>
      <c r="N43" s="111"/>
      <c r="O43" s="71"/>
      <c r="P43" s="71"/>
      <c r="Q43" s="71"/>
      <c r="R43" s="71"/>
      <c r="S43" s="26"/>
      <c r="T43" s="26"/>
      <c r="U43" s="26"/>
      <c r="V43" s="26"/>
    </row>
    <row r="44" spans="1:22" s="67" customFormat="1" ht="18" customHeight="1">
      <c r="A44" s="68" t="s">
        <v>80</v>
      </c>
      <c r="B44" s="69" t="s">
        <v>63</v>
      </c>
      <c r="C44" s="18">
        <f>72*137</f>
        <v>9864</v>
      </c>
      <c r="D44" s="18">
        <f t="shared" si="7"/>
        <v>9864</v>
      </c>
      <c r="E44" s="96"/>
      <c r="F44" s="96"/>
      <c r="G44" s="98"/>
      <c r="H44" s="98"/>
      <c r="I44" s="109"/>
      <c r="J44" s="110"/>
      <c r="K44" s="110"/>
      <c r="L44" s="110"/>
      <c r="M44" s="110"/>
      <c r="N44" s="111"/>
      <c r="O44" s="71"/>
      <c r="P44" s="71"/>
      <c r="Q44" s="71"/>
      <c r="R44" s="71"/>
      <c r="S44" s="26"/>
      <c r="T44" s="26"/>
      <c r="U44" s="26"/>
      <c r="V44" s="26"/>
    </row>
    <row r="45" spans="1:22" s="67" customFormat="1" ht="18" customHeight="1">
      <c r="A45" s="68" t="s">
        <v>134</v>
      </c>
      <c r="B45" s="69" t="s">
        <v>63</v>
      </c>
      <c r="C45" s="18">
        <v>248500</v>
      </c>
      <c r="D45" s="18">
        <f t="shared" si="7"/>
        <v>248500</v>
      </c>
      <c r="E45" s="96"/>
      <c r="F45" s="96"/>
      <c r="G45" s="98"/>
      <c r="H45" s="98"/>
      <c r="I45" s="109"/>
      <c r="J45" s="110"/>
      <c r="K45" s="110"/>
      <c r="L45" s="110"/>
      <c r="M45" s="110"/>
      <c r="N45" s="111"/>
      <c r="O45" s="71"/>
      <c r="P45" s="71"/>
      <c r="Q45" s="71"/>
      <c r="R45" s="71"/>
      <c r="S45" s="26"/>
      <c r="T45" s="26"/>
      <c r="U45" s="26"/>
      <c r="V45" s="26"/>
    </row>
    <row r="46" spans="1:22" s="67" customFormat="1" ht="27.75" customHeight="1">
      <c r="A46" s="68" t="s">
        <v>122</v>
      </c>
      <c r="B46" s="69" t="s">
        <v>63</v>
      </c>
      <c r="C46" s="18">
        <f>64*137</f>
        <v>8768</v>
      </c>
      <c r="D46" s="18">
        <f t="shared" si="7"/>
        <v>8768</v>
      </c>
      <c r="E46" s="96"/>
      <c r="F46" s="96"/>
      <c r="G46" s="98"/>
      <c r="H46" s="98"/>
      <c r="I46" s="112"/>
      <c r="J46" s="113"/>
      <c r="K46" s="113"/>
      <c r="L46" s="113"/>
      <c r="M46" s="113"/>
      <c r="N46" s="114"/>
      <c r="O46" s="71"/>
      <c r="P46" s="71"/>
      <c r="Q46" s="71"/>
      <c r="R46" s="71"/>
      <c r="S46" s="26"/>
      <c r="T46" s="26"/>
      <c r="U46" s="26"/>
      <c r="V46" s="26"/>
    </row>
    <row r="47" spans="1:22" s="67" customFormat="1" ht="30.75" customHeight="1">
      <c r="A47" s="72" t="s">
        <v>82</v>
      </c>
      <c r="B47" s="69" t="s">
        <v>63</v>
      </c>
      <c r="C47" s="18">
        <v>373437.5</v>
      </c>
      <c r="D47" s="65">
        <f t="shared" si="7"/>
        <v>373437.5</v>
      </c>
      <c r="E47" s="96" t="s">
        <v>83</v>
      </c>
      <c r="F47" s="96"/>
      <c r="G47" s="98" t="s">
        <v>84</v>
      </c>
      <c r="H47" s="98"/>
      <c r="I47" s="99" t="s">
        <v>82</v>
      </c>
      <c r="J47" s="99"/>
      <c r="K47" s="99"/>
      <c r="L47" s="99"/>
      <c r="M47" s="99"/>
      <c r="N47" s="99"/>
      <c r="O47" s="70"/>
      <c r="P47" s="70"/>
      <c r="Q47" s="70"/>
      <c r="R47" s="70"/>
      <c r="S47" s="26"/>
      <c r="T47" s="26"/>
      <c r="U47" s="26"/>
      <c r="V47" s="26"/>
    </row>
    <row r="48" spans="1:22" s="67" customFormat="1" ht="32.25" customHeight="1">
      <c r="A48" s="72" t="s">
        <v>85</v>
      </c>
      <c r="B48" s="69" t="s">
        <v>63</v>
      </c>
      <c r="C48" s="18">
        <f>E17</f>
        <v>273331.56</v>
      </c>
      <c r="D48" s="73">
        <f t="shared" si="7"/>
        <v>273331.56</v>
      </c>
      <c r="E48" s="96" t="s">
        <v>86</v>
      </c>
      <c r="F48" s="96"/>
      <c r="G48" s="98" t="s">
        <v>87</v>
      </c>
      <c r="H48" s="98"/>
      <c r="I48" s="99" t="s">
        <v>88</v>
      </c>
      <c r="J48" s="99"/>
      <c r="K48" s="99"/>
      <c r="L48" s="99"/>
      <c r="M48" s="99"/>
      <c r="N48" s="99"/>
      <c r="O48" s="70"/>
      <c r="P48" s="70"/>
      <c r="Q48" s="70"/>
      <c r="R48" s="70"/>
      <c r="S48" s="26"/>
      <c r="T48" s="26"/>
      <c r="U48" s="26"/>
      <c r="V48" s="26"/>
    </row>
    <row r="49" spans="1:22" s="67" customFormat="1" ht="17.25" customHeight="1">
      <c r="A49" s="72" t="s">
        <v>89</v>
      </c>
      <c r="B49" s="69" t="s">
        <v>63</v>
      </c>
      <c r="C49" s="18">
        <f>E20</f>
        <v>11654.68</v>
      </c>
      <c r="D49" s="65">
        <f t="shared" si="7"/>
        <v>11654.68</v>
      </c>
      <c r="E49" s="96" t="s">
        <v>86</v>
      </c>
      <c r="F49" s="96"/>
      <c r="G49" s="97" t="s">
        <v>60</v>
      </c>
      <c r="H49" s="97"/>
      <c r="I49" s="100" t="s">
        <v>89</v>
      </c>
      <c r="J49" s="100"/>
      <c r="K49" s="100"/>
      <c r="L49" s="100"/>
      <c r="M49" s="100"/>
      <c r="N49" s="100"/>
      <c r="O49" s="74"/>
      <c r="P49" s="74"/>
      <c r="Q49" s="74"/>
      <c r="R49" s="74"/>
      <c r="S49" s="26"/>
      <c r="T49" s="26"/>
      <c r="U49" s="26"/>
      <c r="V49" s="26"/>
    </row>
    <row r="50" spans="1:22" s="78" customFormat="1" ht="15">
      <c r="A50" s="75" t="s">
        <v>90</v>
      </c>
      <c r="B50" s="69"/>
      <c r="C50" s="63"/>
      <c r="D50" s="65">
        <f>SUM(D51:D54)</f>
        <v>36995.4</v>
      </c>
      <c r="E50" s="93"/>
      <c r="F50" s="93"/>
      <c r="G50" s="94"/>
      <c r="H50" s="95"/>
      <c r="I50" s="76"/>
      <c r="J50" s="76"/>
      <c r="K50" s="76"/>
      <c r="L50" s="76"/>
      <c r="M50" s="76"/>
      <c r="N50" s="2"/>
      <c r="O50" s="2"/>
      <c r="P50" s="2"/>
      <c r="Q50" s="77"/>
      <c r="R50" s="77"/>
      <c r="S50" s="77"/>
      <c r="T50" s="77"/>
      <c r="U50" s="77"/>
      <c r="V50" s="77"/>
    </row>
    <row r="51" spans="1:22" s="78" customFormat="1" ht="17.25" customHeight="1">
      <c r="A51" s="68" t="s">
        <v>93</v>
      </c>
      <c r="B51" s="69" t="s">
        <v>63</v>
      </c>
      <c r="C51" s="18">
        <f>56*137</f>
        <v>7672</v>
      </c>
      <c r="D51" s="18">
        <f>C51</f>
        <v>7672</v>
      </c>
      <c r="E51" s="96" t="s">
        <v>123</v>
      </c>
      <c r="F51" s="96"/>
      <c r="G51" s="97" t="s">
        <v>60</v>
      </c>
      <c r="H51" s="97"/>
      <c r="I51" s="76"/>
      <c r="J51" s="76"/>
      <c r="K51" s="76"/>
      <c r="L51" s="76"/>
      <c r="M51" s="2"/>
      <c r="N51" s="2"/>
      <c r="O51" s="2"/>
      <c r="P51" s="77"/>
      <c r="Q51" s="77"/>
      <c r="R51" s="77"/>
      <c r="S51" s="77"/>
      <c r="T51" s="77"/>
      <c r="U51" s="77"/>
      <c r="V51" s="77"/>
    </row>
    <row r="52" spans="1:22" s="78" customFormat="1" ht="17.25" customHeight="1">
      <c r="A52" s="68" t="s">
        <v>91</v>
      </c>
      <c r="B52" s="69" t="s">
        <v>63</v>
      </c>
      <c r="C52" s="18">
        <f>68*137</f>
        <v>9316</v>
      </c>
      <c r="D52" s="18">
        <f>C52</f>
        <v>9316</v>
      </c>
      <c r="E52" s="96" t="s">
        <v>92</v>
      </c>
      <c r="F52" s="96"/>
      <c r="G52" s="97" t="s">
        <v>60</v>
      </c>
      <c r="H52" s="97"/>
      <c r="I52" s="76"/>
      <c r="J52" s="76"/>
      <c r="K52" s="76"/>
      <c r="L52" s="76"/>
      <c r="M52" s="2"/>
      <c r="N52" s="2"/>
      <c r="O52" s="2"/>
      <c r="P52" s="77"/>
      <c r="Q52" s="77"/>
      <c r="R52" s="77"/>
      <c r="S52" s="77"/>
      <c r="T52" s="77"/>
      <c r="U52" s="77"/>
      <c r="V52" s="77"/>
    </row>
    <row r="53" spans="1:22" s="78" customFormat="1" ht="17.25" customHeight="1">
      <c r="A53" s="68" t="s">
        <v>135</v>
      </c>
      <c r="B53" s="69" t="s">
        <v>63</v>
      </c>
      <c r="C53" s="18">
        <f>16*137</f>
        <v>2192</v>
      </c>
      <c r="D53" s="18">
        <f>C53</f>
        <v>2192</v>
      </c>
      <c r="E53" s="96" t="s">
        <v>136</v>
      </c>
      <c r="F53" s="96"/>
      <c r="G53" s="97" t="s">
        <v>60</v>
      </c>
      <c r="H53" s="97"/>
      <c r="I53" s="76"/>
      <c r="J53" s="76"/>
      <c r="K53" s="76"/>
      <c r="L53" s="76"/>
      <c r="M53" s="2"/>
      <c r="N53" s="2"/>
      <c r="O53" s="2"/>
      <c r="P53" s="77"/>
      <c r="Q53" s="77"/>
      <c r="R53" s="77"/>
      <c r="S53" s="77"/>
      <c r="T53" s="77"/>
      <c r="U53" s="77"/>
      <c r="V53" s="77"/>
    </row>
    <row r="54" spans="1:22" s="78" customFormat="1" ht="17.25" customHeight="1">
      <c r="A54" s="68" t="s">
        <v>126</v>
      </c>
      <c r="B54" s="69" t="s">
        <v>63</v>
      </c>
      <c r="C54" s="18">
        <f>17491.4+324</f>
        <v>17815.4</v>
      </c>
      <c r="D54" s="18">
        <f>C54</f>
        <v>17815.4</v>
      </c>
      <c r="E54" s="96" t="s">
        <v>127</v>
      </c>
      <c r="F54" s="96"/>
      <c r="G54" s="97" t="s">
        <v>60</v>
      </c>
      <c r="H54" s="97"/>
      <c r="I54" s="76"/>
      <c r="J54" s="76"/>
      <c r="K54" s="76"/>
      <c r="L54" s="76"/>
      <c r="M54" s="2"/>
      <c r="N54" s="2"/>
      <c r="O54" s="2"/>
      <c r="P54" s="77"/>
      <c r="Q54" s="77"/>
      <c r="R54" s="77"/>
      <c r="S54" s="77"/>
      <c r="T54" s="77"/>
      <c r="U54" s="77"/>
      <c r="V54" s="77"/>
    </row>
    <row r="56" ht="15.75">
      <c r="A56" s="1" t="s">
        <v>94</v>
      </c>
    </row>
    <row r="57" spans="2:22" s="79" customFormat="1" ht="15">
      <c r="B57" s="2"/>
      <c r="C57" s="2"/>
      <c r="D57" s="2"/>
      <c r="E57" s="80" t="s">
        <v>95</v>
      </c>
      <c r="F57" s="80" t="s">
        <v>96</v>
      </c>
      <c r="G57" s="81" t="s">
        <v>97</v>
      </c>
      <c r="H57" s="3"/>
      <c r="I57" s="3"/>
      <c r="J57" s="3"/>
      <c r="K57" s="3"/>
      <c r="L57" s="3"/>
      <c r="M57" s="2"/>
      <c r="N57" s="2"/>
      <c r="O57" s="2"/>
      <c r="P57" s="4"/>
      <c r="Q57" s="4"/>
      <c r="R57" s="4"/>
      <c r="S57" s="4"/>
      <c r="T57" s="4"/>
      <c r="U57" s="4"/>
      <c r="V57" s="4"/>
    </row>
    <row r="58" spans="1:22" s="79" customFormat="1" ht="29.25" customHeight="1">
      <c r="A58" s="90" t="s">
        <v>98</v>
      </c>
      <c r="B58" s="90"/>
      <c r="C58" s="90"/>
      <c r="D58" s="82" t="s">
        <v>99</v>
      </c>
      <c r="E58" s="69">
        <v>3</v>
      </c>
      <c r="F58" s="69">
        <v>1</v>
      </c>
      <c r="G58" s="91" t="s">
        <v>100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4"/>
      <c r="T58" s="4"/>
      <c r="U58" s="4"/>
      <c r="V58" s="4"/>
    </row>
    <row r="59" spans="1:22" s="79" customFormat="1" ht="33" customHeight="1">
      <c r="A59" s="90" t="s">
        <v>101</v>
      </c>
      <c r="B59" s="90"/>
      <c r="C59" s="90"/>
      <c r="D59" s="82" t="s">
        <v>99</v>
      </c>
      <c r="E59" s="69">
        <v>3</v>
      </c>
      <c r="F59" s="69">
        <v>1</v>
      </c>
      <c r="G59" s="92" t="s">
        <v>102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4"/>
      <c r="T59" s="4"/>
      <c r="U59" s="4"/>
      <c r="V59" s="4"/>
    </row>
    <row r="60" spans="1:22" s="79" customFormat="1" ht="32.25" customHeight="1">
      <c r="A60" s="90" t="s">
        <v>103</v>
      </c>
      <c r="B60" s="90"/>
      <c r="C60" s="90"/>
      <c r="D60" s="82" t="s">
        <v>99</v>
      </c>
      <c r="E60" s="69">
        <v>0</v>
      </c>
      <c r="F60" s="69">
        <v>0</v>
      </c>
      <c r="R60" s="4"/>
      <c r="S60" s="4"/>
      <c r="T60" s="4"/>
      <c r="U60" s="4"/>
      <c r="V60" s="4"/>
    </row>
    <row r="61" spans="1:22" s="79" customFormat="1" ht="30" customHeight="1">
      <c r="A61" s="90" t="s">
        <v>104</v>
      </c>
      <c r="B61" s="90"/>
      <c r="C61" s="90"/>
      <c r="D61" s="82" t="s">
        <v>105</v>
      </c>
      <c r="E61" s="18">
        <v>0</v>
      </c>
      <c r="F61" s="18">
        <v>1099.96</v>
      </c>
      <c r="R61" s="4"/>
      <c r="S61" s="4"/>
      <c r="T61" s="4"/>
      <c r="U61" s="4"/>
      <c r="V61" s="4"/>
    </row>
    <row r="62" spans="1:22" s="79" customFormat="1" ht="19.5" customHeight="1">
      <c r="A62" s="4"/>
      <c r="B62" s="2"/>
      <c r="C62" s="2"/>
      <c r="D62" s="2"/>
      <c r="E62" s="2"/>
      <c r="F62" s="3"/>
      <c r="R62" s="4"/>
      <c r="S62" s="4"/>
      <c r="T62" s="4"/>
      <c r="U62" s="4"/>
      <c r="V62" s="4"/>
    </row>
    <row r="63" spans="1:22" s="79" customFormat="1" ht="24" customHeight="1">
      <c r="A63" s="1" t="s">
        <v>106</v>
      </c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2"/>
      <c r="N63" s="2"/>
      <c r="O63" s="2"/>
      <c r="P63" s="4"/>
      <c r="Q63" s="4"/>
      <c r="R63" s="4"/>
      <c r="S63" s="4"/>
      <c r="T63" s="4"/>
      <c r="U63" s="4"/>
      <c r="V63" s="4"/>
    </row>
    <row r="64" spans="1:22" s="79" customFormat="1" ht="24" customHeight="1">
      <c r="A64" s="90" t="s">
        <v>107</v>
      </c>
      <c r="B64" s="90"/>
      <c r="C64" s="90"/>
      <c r="D64" s="69" t="s">
        <v>99</v>
      </c>
      <c r="E64" s="69">
        <v>9</v>
      </c>
      <c r="F64" s="3"/>
      <c r="G64" s="3"/>
      <c r="H64" s="3"/>
      <c r="I64" s="3"/>
      <c r="J64" s="3"/>
      <c r="K64" s="3"/>
      <c r="L64" s="3"/>
      <c r="M64" s="2"/>
      <c r="N64" s="2"/>
      <c r="O64" s="2"/>
      <c r="P64" s="4"/>
      <c r="Q64" s="4"/>
      <c r="R64" s="4"/>
      <c r="S64" s="4"/>
      <c r="T64" s="4"/>
      <c r="U64" s="4"/>
      <c r="V64" s="4"/>
    </row>
    <row r="65" spans="1:22" s="79" customFormat="1" ht="24" customHeight="1">
      <c r="A65" s="90" t="s">
        <v>108</v>
      </c>
      <c r="B65" s="90"/>
      <c r="C65" s="90"/>
      <c r="D65" s="69" t="s">
        <v>99</v>
      </c>
      <c r="E65" s="69">
        <v>2</v>
      </c>
      <c r="F65" s="3"/>
      <c r="G65" s="3"/>
      <c r="H65" s="3"/>
      <c r="I65" s="3"/>
      <c r="J65" s="3"/>
      <c r="K65" s="3"/>
      <c r="L65" s="3"/>
      <c r="M65" s="2"/>
      <c r="N65" s="2"/>
      <c r="O65" s="2"/>
      <c r="P65" s="4"/>
      <c r="Q65" s="4"/>
      <c r="R65" s="4"/>
      <c r="S65" s="4"/>
      <c r="T65" s="4"/>
      <c r="U65" s="4"/>
      <c r="V65" s="4"/>
    </row>
    <row r="66" spans="1:22" s="79" customFormat="1" ht="31.5" customHeight="1">
      <c r="A66" s="90" t="s">
        <v>109</v>
      </c>
      <c r="B66" s="90"/>
      <c r="C66" s="90"/>
      <c r="D66" s="69" t="s">
        <v>105</v>
      </c>
      <c r="E66" s="18">
        <v>126100</v>
      </c>
      <c r="F66" s="3"/>
      <c r="G66" s="3"/>
      <c r="H66" s="3"/>
      <c r="I66" s="3"/>
      <c r="J66" s="3"/>
      <c r="K66" s="3"/>
      <c r="L66" s="3"/>
      <c r="M66" s="2"/>
      <c r="N66" s="2"/>
      <c r="O66" s="2"/>
      <c r="P66" s="4"/>
      <c r="Q66" s="4"/>
      <c r="R66" s="4"/>
      <c r="S66" s="4"/>
      <c r="T66" s="4"/>
      <c r="U66" s="4"/>
      <c r="V66" s="4"/>
    </row>
    <row r="70" spans="1:2" ht="15">
      <c r="A70" s="4" t="s">
        <v>110</v>
      </c>
      <c r="B70" s="2" t="s">
        <v>111</v>
      </c>
    </row>
  </sheetData>
  <sheetProtection/>
  <mergeCells count="68">
    <mergeCell ref="A10:A11"/>
    <mergeCell ref="B10:B11"/>
    <mergeCell ref="C10:C11"/>
    <mergeCell ref="D10:D11"/>
    <mergeCell ref="E10:E11"/>
    <mergeCell ref="F10:K10"/>
    <mergeCell ref="L10:L11"/>
    <mergeCell ref="M10:M11"/>
    <mergeCell ref="N10:N11"/>
    <mergeCell ref="O10:O11"/>
    <mergeCell ref="P10:P11"/>
    <mergeCell ref="I25:I26"/>
    <mergeCell ref="E30:F30"/>
    <mergeCell ref="G30:H30"/>
    <mergeCell ref="I30:N30"/>
    <mergeCell ref="A31:C31"/>
    <mergeCell ref="E31:F31"/>
    <mergeCell ref="G31:H31"/>
    <mergeCell ref="I31:N31"/>
    <mergeCell ref="A32:C32"/>
    <mergeCell ref="E32:F32"/>
    <mergeCell ref="G32:H37"/>
    <mergeCell ref="I32:N37"/>
    <mergeCell ref="E33:F33"/>
    <mergeCell ref="E34:F34"/>
    <mergeCell ref="E35:F35"/>
    <mergeCell ref="E36:F36"/>
    <mergeCell ref="E37:F37"/>
    <mergeCell ref="A38:C38"/>
    <mergeCell ref="E38:F38"/>
    <mergeCell ref="G38:H41"/>
    <mergeCell ref="I38:N41"/>
    <mergeCell ref="E39:F39"/>
    <mergeCell ref="E40:F40"/>
    <mergeCell ref="E41:F41"/>
    <mergeCell ref="A42:C42"/>
    <mergeCell ref="E42:F42"/>
    <mergeCell ref="G42:H46"/>
    <mergeCell ref="I42:N46"/>
    <mergeCell ref="E43:F46"/>
    <mergeCell ref="E47:F47"/>
    <mergeCell ref="G47:H47"/>
    <mergeCell ref="I47:N47"/>
    <mergeCell ref="E48:F48"/>
    <mergeCell ref="G48:H48"/>
    <mergeCell ref="I48:N48"/>
    <mergeCell ref="E49:F49"/>
    <mergeCell ref="G49:H49"/>
    <mergeCell ref="I49:N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A58:C58"/>
    <mergeCell ref="G58:Q58"/>
    <mergeCell ref="A66:C66"/>
    <mergeCell ref="A59:C59"/>
    <mergeCell ref="G59:Q59"/>
    <mergeCell ref="A60:C60"/>
    <mergeCell ref="A61:C61"/>
    <mergeCell ref="A64:C64"/>
    <mergeCell ref="A65:C65"/>
  </mergeCells>
  <printOptions/>
  <pageMargins left="0.15748031496062992" right="0.1968503937007874" top="0.4724409448818898" bottom="0.2755905511811024" header="0.4724409448818898" footer="0.2362204724409449"/>
  <pageSetup fitToHeight="2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6" zoomScaleNormal="86" zoomScalePageLayoutView="0" workbookViewId="0" topLeftCell="A22">
      <selection activeCell="A36" sqref="A36"/>
    </sheetView>
  </sheetViews>
  <sheetFormatPr defaultColWidth="9.140625" defaultRowHeight="15"/>
  <cols>
    <col min="1" max="1" width="47.421875" style="4" customWidth="1"/>
    <col min="2" max="2" width="12.7109375" style="2" customWidth="1"/>
    <col min="3" max="3" width="14.00390625" style="2" customWidth="1"/>
    <col min="4" max="4" width="14.140625" style="2" customWidth="1"/>
    <col min="5" max="5" width="13.7109375" style="2" customWidth="1"/>
    <col min="6" max="6" width="14.28125" style="3" customWidth="1"/>
    <col min="7" max="7" width="15.28125" style="3" customWidth="1"/>
    <col min="8" max="8" width="15.57421875" style="3" customWidth="1"/>
    <col min="9" max="9" width="16.28125" style="3" customWidth="1"/>
    <col min="10" max="10" width="14.421875" style="3" customWidth="1"/>
    <col min="11" max="11" width="13.57421875" style="3" customWidth="1"/>
    <col min="12" max="12" width="14.140625" style="3" customWidth="1"/>
    <col min="13" max="13" width="14.57421875" style="2" customWidth="1"/>
    <col min="14" max="14" width="14.28125" style="2" customWidth="1"/>
    <col min="15" max="15" width="14.421875" style="2" customWidth="1"/>
    <col min="16" max="16" width="13.7109375" style="4" customWidth="1"/>
    <col min="17" max="17" width="8.421875" style="4" customWidth="1"/>
    <col min="18" max="22" width="9.140625" style="5" customWidth="1"/>
  </cols>
  <sheetData>
    <row r="1" ht="15.75">
      <c r="A1" s="1" t="s">
        <v>0</v>
      </c>
    </row>
    <row r="3" ht="15">
      <c r="A3" s="6" t="s">
        <v>1</v>
      </c>
    </row>
    <row r="4" ht="15">
      <c r="A4" s="4" t="s">
        <v>137</v>
      </c>
    </row>
    <row r="5" ht="15">
      <c r="A5" s="4" t="s">
        <v>3</v>
      </c>
    </row>
    <row r="6" ht="15">
      <c r="A6" s="4" t="s">
        <v>4</v>
      </c>
    </row>
    <row r="7" ht="15">
      <c r="A7" s="4" t="s">
        <v>138</v>
      </c>
    </row>
    <row r="8" ht="15">
      <c r="A8" s="4" t="s">
        <v>115</v>
      </c>
    </row>
    <row r="9" ht="15.75" thickBot="1"/>
    <row r="10" spans="1:22" s="8" customFormat="1" ht="15.75" customHeight="1">
      <c r="A10" s="136" t="s">
        <v>7</v>
      </c>
      <c r="B10" s="140" t="s">
        <v>8</v>
      </c>
      <c r="C10" s="132" t="s">
        <v>9</v>
      </c>
      <c r="D10" s="132" t="s">
        <v>10</v>
      </c>
      <c r="E10" s="132" t="s">
        <v>11</v>
      </c>
      <c r="F10" s="132" t="s">
        <v>12</v>
      </c>
      <c r="G10" s="132"/>
      <c r="H10" s="132"/>
      <c r="I10" s="132"/>
      <c r="J10" s="132"/>
      <c r="K10" s="132"/>
      <c r="L10" s="132" t="s">
        <v>13</v>
      </c>
      <c r="M10" s="132" t="s">
        <v>14</v>
      </c>
      <c r="N10" s="132" t="s">
        <v>15</v>
      </c>
      <c r="O10" s="134" t="s">
        <v>16</v>
      </c>
      <c r="P10" s="136" t="s">
        <v>17</v>
      </c>
      <c r="Q10" s="7"/>
      <c r="R10" s="7"/>
      <c r="S10" s="7"/>
      <c r="T10" s="7"/>
      <c r="U10" s="7"/>
      <c r="V10" s="7"/>
    </row>
    <row r="11" spans="1:22" s="8" customFormat="1" ht="63" customHeight="1" thickBot="1">
      <c r="A11" s="137"/>
      <c r="B11" s="141"/>
      <c r="C11" s="133"/>
      <c r="D11" s="133"/>
      <c r="E11" s="133"/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33"/>
      <c r="M11" s="133"/>
      <c r="N11" s="133"/>
      <c r="O11" s="135"/>
      <c r="P11" s="137"/>
      <c r="Q11" s="7"/>
      <c r="R11" s="7"/>
      <c r="S11" s="7"/>
      <c r="T11" s="7"/>
      <c r="U11" s="7"/>
      <c r="V11" s="7"/>
    </row>
    <row r="12" spans="1:22" s="15" customFormat="1" ht="15.75" customHeight="1">
      <c r="A12" s="10" t="s">
        <v>24</v>
      </c>
      <c r="B12" s="11">
        <f>SUM(B13:B18)</f>
        <v>0</v>
      </c>
      <c r="C12" s="12">
        <f>SUM(C13:C18)</f>
        <v>4530.1900000000005</v>
      </c>
      <c r="D12" s="12">
        <f>SUM(D13:D18)</f>
        <v>13093.35</v>
      </c>
      <c r="E12" s="12">
        <f>SUM(E13:E18)</f>
        <v>125663.93999999999</v>
      </c>
      <c r="F12" s="12">
        <f aca="true" t="shared" si="0" ref="F12:O12">SUM(F13:F18)</f>
        <v>82804.25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87334.44</v>
      </c>
      <c r="L12" s="12">
        <f t="shared" si="0"/>
        <v>125977.16999999998</v>
      </c>
      <c r="M12" s="12">
        <f t="shared" si="0"/>
        <v>0</v>
      </c>
      <c r="N12" s="12">
        <f t="shared" si="0"/>
        <v>-38642.729999999996</v>
      </c>
      <c r="O12" s="12">
        <f t="shared" si="0"/>
        <v>55953.04000000001</v>
      </c>
      <c r="P12" s="13">
        <f aca="true" t="shared" si="1" ref="P12:P19">F12/(D12+E12)</f>
        <v>0.5967560335028164</v>
      </c>
      <c r="Q12" s="14"/>
      <c r="R12" s="14"/>
      <c r="S12" s="14"/>
      <c r="T12" s="14"/>
      <c r="U12" s="14"/>
      <c r="V12" s="14"/>
    </row>
    <row r="13" spans="1:22" s="22" customFormat="1" ht="57" customHeight="1">
      <c r="A13" s="16" t="s">
        <v>25</v>
      </c>
      <c r="B13" s="17">
        <v>0</v>
      </c>
      <c r="C13" s="18">
        <v>3368.82</v>
      </c>
      <c r="D13" s="18">
        <v>1353.78</v>
      </c>
      <c r="E13" s="18">
        <v>14634.689999999999</v>
      </c>
      <c r="F13" s="18">
        <v>9641.05</v>
      </c>
      <c r="G13" s="18">
        <v>0</v>
      </c>
      <c r="H13" s="18">
        <v>0</v>
      </c>
      <c r="I13" s="18">
        <v>0</v>
      </c>
      <c r="J13" s="18">
        <v>0</v>
      </c>
      <c r="K13" s="18">
        <f aca="true" t="shared" si="2" ref="K13:K18">F13+G13+H13+I13+J13+C13</f>
        <v>13009.869999999999</v>
      </c>
      <c r="L13" s="18">
        <f>D29</f>
        <v>14933</v>
      </c>
      <c r="M13" s="18">
        <v>0</v>
      </c>
      <c r="N13" s="18">
        <f aca="true" t="shared" si="3" ref="N13:N18">K13-L13</f>
        <v>-1923.130000000001</v>
      </c>
      <c r="O13" s="19">
        <f aca="true" t="shared" si="4" ref="O13:O18">D13+E13-F13</f>
        <v>6347.42</v>
      </c>
      <c r="P13" s="20">
        <f t="shared" si="1"/>
        <v>0.6030001619917352</v>
      </c>
      <c r="Q13" s="21"/>
      <c r="R13" s="21"/>
      <c r="S13" s="21"/>
      <c r="T13" s="21"/>
      <c r="U13" s="21"/>
      <c r="V13" s="21"/>
    </row>
    <row r="14" spans="1:22" s="22" customFormat="1" ht="29.25" customHeight="1">
      <c r="A14" s="16" t="s">
        <v>26</v>
      </c>
      <c r="B14" s="17">
        <v>0</v>
      </c>
      <c r="C14" s="18">
        <v>2980.11</v>
      </c>
      <c r="D14" s="18">
        <v>1197.57</v>
      </c>
      <c r="E14" s="18">
        <v>12979.819999999998</v>
      </c>
      <c r="F14" s="18">
        <v>8552.48</v>
      </c>
      <c r="G14" s="18">
        <v>0</v>
      </c>
      <c r="H14" s="18">
        <v>0</v>
      </c>
      <c r="I14" s="18">
        <v>0</v>
      </c>
      <c r="J14" s="18">
        <v>0</v>
      </c>
      <c r="K14" s="18">
        <f t="shared" si="2"/>
        <v>11532.59</v>
      </c>
      <c r="L14" s="18">
        <f>D35</f>
        <v>13015</v>
      </c>
      <c r="M14" s="18">
        <v>0</v>
      </c>
      <c r="N14" s="18">
        <f t="shared" si="3"/>
        <v>-1482.4099999999999</v>
      </c>
      <c r="O14" s="19">
        <f t="shared" si="4"/>
        <v>5624.909999999998</v>
      </c>
      <c r="P14" s="20">
        <f t="shared" si="1"/>
        <v>0.6032478474528811</v>
      </c>
      <c r="Q14" s="21"/>
      <c r="R14" s="21"/>
      <c r="S14" s="21"/>
      <c r="T14" s="21"/>
      <c r="U14" s="21"/>
      <c r="V14" s="21"/>
    </row>
    <row r="15" spans="1:22" s="22" customFormat="1" ht="48.75" customHeight="1">
      <c r="A15" s="16" t="s">
        <v>27</v>
      </c>
      <c r="B15" s="17">
        <v>0</v>
      </c>
      <c r="C15" s="18">
        <v>4000.75</v>
      </c>
      <c r="D15" s="18">
        <v>2380.27</v>
      </c>
      <c r="E15" s="18">
        <v>25588.400000000005</v>
      </c>
      <c r="F15" s="18">
        <v>16866.53</v>
      </c>
      <c r="G15" s="18">
        <v>0</v>
      </c>
      <c r="H15" s="18">
        <v>0</v>
      </c>
      <c r="I15" s="18">
        <v>0</v>
      </c>
      <c r="J15" s="18">
        <v>0</v>
      </c>
      <c r="K15" s="18">
        <f t="shared" si="2"/>
        <v>20867.28</v>
      </c>
      <c r="L15" s="18">
        <f>D38</f>
        <v>25619</v>
      </c>
      <c r="M15" s="18">
        <v>0</v>
      </c>
      <c r="N15" s="18">
        <f t="shared" si="3"/>
        <v>-4751.720000000001</v>
      </c>
      <c r="O15" s="19">
        <f t="shared" si="4"/>
        <v>11102.140000000007</v>
      </c>
      <c r="P15" s="20">
        <f t="shared" si="1"/>
        <v>0.6030508422459844</v>
      </c>
      <c r="Q15" s="21"/>
      <c r="R15" s="21"/>
      <c r="S15" s="21"/>
      <c r="T15" s="21"/>
      <c r="U15" s="21"/>
      <c r="V15" s="21"/>
    </row>
    <row r="16" spans="1:22" s="22" customFormat="1" ht="28.5" customHeight="1">
      <c r="A16" s="16" t="s">
        <v>28</v>
      </c>
      <c r="B16" s="17">
        <v>0</v>
      </c>
      <c r="C16" s="18">
        <v>-469.81</v>
      </c>
      <c r="D16" s="18">
        <v>3252.42</v>
      </c>
      <c r="E16" s="18">
        <v>19339.030000000002</v>
      </c>
      <c r="F16" s="18">
        <v>12746</v>
      </c>
      <c r="G16" s="18">
        <v>0</v>
      </c>
      <c r="H16" s="18">
        <v>0</v>
      </c>
      <c r="I16" s="18">
        <v>0</v>
      </c>
      <c r="J16" s="18">
        <v>0</v>
      </c>
      <c r="K16" s="18">
        <f t="shared" si="2"/>
        <v>12276.19</v>
      </c>
      <c r="L16" s="18">
        <f>D42</f>
        <v>19339.030000000002</v>
      </c>
      <c r="M16" s="18">
        <v>0</v>
      </c>
      <c r="N16" s="18">
        <f t="shared" si="3"/>
        <v>-7062.840000000002</v>
      </c>
      <c r="O16" s="19">
        <f t="shared" si="4"/>
        <v>9845.450000000004</v>
      </c>
      <c r="P16" s="20">
        <f t="shared" si="1"/>
        <v>0.5641957466209561</v>
      </c>
      <c r="Q16" s="21"/>
      <c r="R16" s="21"/>
      <c r="S16" s="21"/>
      <c r="T16" s="21"/>
      <c r="U16" s="21"/>
      <c r="V16" s="21"/>
    </row>
    <row r="17" spans="1:22" s="22" customFormat="1" ht="15" customHeight="1">
      <c r="A17" s="16" t="s">
        <v>30</v>
      </c>
      <c r="B17" s="17">
        <v>0</v>
      </c>
      <c r="C17" s="18">
        <v>-4251.3</v>
      </c>
      <c r="D17" s="18">
        <v>3548.09</v>
      </c>
      <c r="E17" s="18">
        <v>38412.13999999999</v>
      </c>
      <c r="F17" s="18">
        <v>25307.88</v>
      </c>
      <c r="G17" s="18">
        <v>0</v>
      </c>
      <c r="H17" s="18">
        <v>0</v>
      </c>
      <c r="I17" s="18">
        <v>0</v>
      </c>
      <c r="J17" s="18">
        <v>0</v>
      </c>
      <c r="K17" s="18">
        <f t="shared" si="2"/>
        <v>21056.58</v>
      </c>
      <c r="L17" s="18">
        <f>D43</f>
        <v>38412.13999999999</v>
      </c>
      <c r="M17" s="18">
        <v>0</v>
      </c>
      <c r="N17" s="18">
        <f t="shared" si="3"/>
        <v>-17355.55999999999</v>
      </c>
      <c r="O17" s="19">
        <f t="shared" si="4"/>
        <v>16652.349999999995</v>
      </c>
      <c r="P17" s="20">
        <f t="shared" si="1"/>
        <v>0.6031396872705418</v>
      </c>
      <c r="Q17" s="21"/>
      <c r="R17" s="21"/>
      <c r="S17" s="21"/>
      <c r="T17" s="21"/>
      <c r="U17" s="21"/>
      <c r="V17" s="21"/>
    </row>
    <row r="18" spans="1:22" s="22" customFormat="1" ht="18" customHeight="1" thickBot="1">
      <c r="A18" s="16" t="s">
        <v>31</v>
      </c>
      <c r="B18" s="17">
        <v>0</v>
      </c>
      <c r="C18" s="18">
        <v>-1098.38</v>
      </c>
      <c r="D18" s="18">
        <v>1361.22</v>
      </c>
      <c r="E18" s="18">
        <v>14709.860000000002</v>
      </c>
      <c r="F18" s="18">
        <v>9690.31</v>
      </c>
      <c r="G18" s="18">
        <v>0</v>
      </c>
      <c r="H18" s="18">
        <v>0</v>
      </c>
      <c r="I18" s="18">
        <v>0</v>
      </c>
      <c r="J18" s="18">
        <v>0</v>
      </c>
      <c r="K18" s="18">
        <f t="shared" si="2"/>
        <v>8591.93</v>
      </c>
      <c r="L18" s="18">
        <f>D44</f>
        <v>14659</v>
      </c>
      <c r="M18" s="18">
        <v>0</v>
      </c>
      <c r="N18" s="18">
        <f t="shared" si="3"/>
        <v>-6067.07</v>
      </c>
      <c r="O18" s="19">
        <f t="shared" si="4"/>
        <v>6380.770000000002</v>
      </c>
      <c r="P18" s="20">
        <f t="shared" si="1"/>
        <v>0.6029656998782906</v>
      </c>
      <c r="Q18" s="21"/>
      <c r="R18" s="21"/>
      <c r="S18" s="21"/>
      <c r="T18" s="21"/>
      <c r="U18" s="21"/>
      <c r="V18" s="21"/>
    </row>
    <row r="19" spans="1:22" s="15" customFormat="1" ht="17.25" customHeight="1" thickBot="1">
      <c r="A19" s="23" t="s">
        <v>32</v>
      </c>
      <c r="B19" s="24">
        <f aca="true" t="shared" si="5" ref="B19:O19">SUM(B13:B18)</f>
        <v>0</v>
      </c>
      <c r="C19" s="24">
        <f t="shared" si="5"/>
        <v>4530.1900000000005</v>
      </c>
      <c r="D19" s="24">
        <f t="shared" si="5"/>
        <v>13093.35</v>
      </c>
      <c r="E19" s="24">
        <f t="shared" si="5"/>
        <v>125663.93999999999</v>
      </c>
      <c r="F19" s="24">
        <f t="shared" si="5"/>
        <v>82804.25</v>
      </c>
      <c r="G19" s="24">
        <f t="shared" si="5"/>
        <v>0</v>
      </c>
      <c r="H19" s="24">
        <f t="shared" si="5"/>
        <v>0</v>
      </c>
      <c r="I19" s="24">
        <f t="shared" si="5"/>
        <v>0</v>
      </c>
      <c r="J19" s="24">
        <f t="shared" si="5"/>
        <v>0</v>
      </c>
      <c r="K19" s="24">
        <f t="shared" si="5"/>
        <v>87334.44</v>
      </c>
      <c r="L19" s="24">
        <f t="shared" si="5"/>
        <v>125977.16999999998</v>
      </c>
      <c r="M19" s="24">
        <f t="shared" si="5"/>
        <v>0</v>
      </c>
      <c r="N19" s="24">
        <f t="shared" si="5"/>
        <v>-38642.729999999996</v>
      </c>
      <c r="O19" s="24">
        <f t="shared" si="5"/>
        <v>55953.04000000001</v>
      </c>
      <c r="P19" s="25">
        <f t="shared" si="1"/>
        <v>0.5967560335028164</v>
      </c>
      <c r="Q19" s="14"/>
      <c r="R19" s="14"/>
      <c r="S19" s="14"/>
      <c r="T19" s="14"/>
      <c r="U19" s="14"/>
      <c r="V19" s="14"/>
    </row>
    <row r="20" spans="1:17" ht="15.75" thickBot="1">
      <c r="A20" s="26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7"/>
      <c r="N20" s="27"/>
      <c r="O20" s="27"/>
      <c r="P20" s="26"/>
      <c r="Q20" s="26"/>
    </row>
    <row r="21" spans="1:22" s="8" customFormat="1" ht="86.25" customHeight="1" thickBot="1">
      <c r="A21" s="29" t="s">
        <v>33</v>
      </c>
      <c r="B21" s="30" t="s">
        <v>34</v>
      </c>
      <c r="C21" s="31" t="s">
        <v>35</v>
      </c>
      <c r="D21" s="31" t="s">
        <v>8</v>
      </c>
      <c r="E21" s="31" t="s">
        <v>9</v>
      </c>
      <c r="F21" s="31" t="s">
        <v>10</v>
      </c>
      <c r="G21" s="31" t="s">
        <v>36</v>
      </c>
      <c r="H21" s="31" t="s">
        <v>37</v>
      </c>
      <c r="I21" s="31" t="s">
        <v>38</v>
      </c>
      <c r="J21" s="31" t="s">
        <v>39</v>
      </c>
      <c r="K21" s="31" t="s">
        <v>40</v>
      </c>
      <c r="L21" s="31" t="s">
        <v>41</v>
      </c>
      <c r="M21" s="31" t="s">
        <v>42</v>
      </c>
      <c r="N21" s="31" t="s">
        <v>14</v>
      </c>
      <c r="O21" s="31" t="s">
        <v>15</v>
      </c>
      <c r="P21" s="32" t="s">
        <v>16</v>
      </c>
      <c r="Q21" s="33" t="s">
        <v>17</v>
      </c>
      <c r="R21" s="7"/>
      <c r="S21" s="7"/>
      <c r="T21" s="7"/>
      <c r="U21" s="7"/>
      <c r="V21" s="7"/>
    </row>
    <row r="22" spans="1:22" s="42" customFormat="1" ht="17.25" customHeight="1">
      <c r="A22" s="34" t="s">
        <v>46</v>
      </c>
      <c r="B22" s="35" t="s">
        <v>47</v>
      </c>
      <c r="C22" s="36">
        <v>348.725</v>
      </c>
      <c r="D22" s="18">
        <v>0</v>
      </c>
      <c r="E22" s="18">
        <v>0</v>
      </c>
      <c r="F22" s="18">
        <v>690.43</v>
      </c>
      <c r="G22" s="18">
        <v>6174.710000000001</v>
      </c>
      <c r="H22" s="18">
        <v>6530.360000000001</v>
      </c>
      <c r="I22" s="138" t="s">
        <v>48</v>
      </c>
      <c r="J22" s="18">
        <v>6174.71</v>
      </c>
      <c r="K22" s="18">
        <v>6396.31</v>
      </c>
      <c r="L22" s="38">
        <f>J22-K22</f>
        <v>-221.60000000000036</v>
      </c>
      <c r="M22" s="18">
        <v>0</v>
      </c>
      <c r="N22" s="18">
        <v>0</v>
      </c>
      <c r="O22" s="38">
        <f>E22+H22-J22</f>
        <v>355.65000000000055</v>
      </c>
      <c r="P22" s="39">
        <f>F22+G22-H22</f>
        <v>334.78000000000065</v>
      </c>
      <c r="Q22" s="40">
        <f>H22/(F22+G22)</f>
        <v>0.9512347890938858</v>
      </c>
      <c r="R22" s="41"/>
      <c r="S22" s="41"/>
      <c r="T22" s="41"/>
      <c r="U22" s="41"/>
      <c r="V22" s="41"/>
    </row>
    <row r="23" spans="1:22" s="42" customFormat="1" ht="17.25" customHeight="1" thickBot="1">
      <c r="A23" s="43" t="s">
        <v>49</v>
      </c>
      <c r="B23" s="44" t="s">
        <v>47</v>
      </c>
      <c r="C23" s="45">
        <v>352.659</v>
      </c>
      <c r="D23" s="46">
        <v>0</v>
      </c>
      <c r="E23" s="46">
        <v>0</v>
      </c>
      <c r="F23" s="46">
        <v>981.17</v>
      </c>
      <c r="G23" s="46">
        <v>8322.81</v>
      </c>
      <c r="H23" s="46">
        <v>8830.43</v>
      </c>
      <c r="I23" s="139"/>
      <c r="J23" s="46">
        <v>8322.81</v>
      </c>
      <c r="K23" s="46">
        <v>8649.17</v>
      </c>
      <c r="L23" s="38">
        <f>J23-K23</f>
        <v>-326.3600000000006</v>
      </c>
      <c r="M23" s="46">
        <v>0</v>
      </c>
      <c r="N23" s="46">
        <v>0</v>
      </c>
      <c r="O23" s="38">
        <f>E23+H23-J23</f>
        <v>507.6200000000008</v>
      </c>
      <c r="P23" s="39">
        <f>F23+G23-H23</f>
        <v>473.5499999999993</v>
      </c>
      <c r="Q23" s="47">
        <f>H23/(F23+G23)</f>
        <v>0.9491024271333344</v>
      </c>
      <c r="R23" s="41"/>
      <c r="S23" s="41"/>
      <c r="T23" s="41"/>
      <c r="U23" s="41"/>
      <c r="V23" s="41"/>
    </row>
    <row r="24" spans="1:22" s="53" customFormat="1" ht="17.25" customHeight="1" thickBot="1">
      <c r="A24" s="48" t="s">
        <v>50</v>
      </c>
      <c r="B24" s="49"/>
      <c r="C24" s="50"/>
      <c r="D24" s="24">
        <f>SUM(D22:D23)</f>
        <v>0</v>
      </c>
      <c r="E24" s="24">
        <f>SUM(E22:E23)</f>
        <v>0</v>
      </c>
      <c r="F24" s="24">
        <f>SUM(F22:F23)</f>
        <v>1671.6</v>
      </c>
      <c r="G24" s="24">
        <f>SUM(G22:G23)</f>
        <v>14497.52</v>
      </c>
      <c r="H24" s="24">
        <f>SUM(H22:H23)</f>
        <v>15360.79</v>
      </c>
      <c r="I24" s="24"/>
      <c r="J24" s="24">
        <f aca="true" t="shared" si="6" ref="J24:P24">SUM(J22:J23)</f>
        <v>14497.52</v>
      </c>
      <c r="K24" s="24">
        <f t="shared" si="6"/>
        <v>15045.48</v>
      </c>
      <c r="L24" s="24">
        <f t="shared" si="6"/>
        <v>-547.960000000001</v>
      </c>
      <c r="M24" s="24">
        <f t="shared" si="6"/>
        <v>0</v>
      </c>
      <c r="N24" s="24">
        <f t="shared" si="6"/>
        <v>0</v>
      </c>
      <c r="O24" s="24">
        <f t="shared" si="6"/>
        <v>863.2700000000013</v>
      </c>
      <c r="P24" s="51">
        <f t="shared" si="6"/>
        <v>808.3299999999999</v>
      </c>
      <c r="Q24" s="25">
        <f>H24/(F24+G24)</f>
        <v>0.9500077926318811</v>
      </c>
      <c r="R24" s="52"/>
      <c r="S24" s="52"/>
      <c r="T24" s="52"/>
      <c r="U24" s="52"/>
      <c r="V24" s="52"/>
    </row>
    <row r="25" spans="1:17" ht="15">
      <c r="A25" s="26"/>
      <c r="B25" s="27"/>
      <c r="C25" s="27"/>
      <c r="D25" s="27"/>
      <c r="E25" s="27"/>
      <c r="F25" s="55"/>
      <c r="G25" s="55"/>
      <c r="H25" s="55"/>
      <c r="I25" s="28"/>
      <c r="J25" s="28"/>
      <c r="K25" s="28"/>
      <c r="L25" s="28"/>
      <c r="M25" s="27"/>
      <c r="N25" s="27"/>
      <c r="O25" s="27"/>
      <c r="P25" s="56"/>
      <c r="Q25" s="26"/>
    </row>
    <row r="26" spans="1:22" s="60" customFormat="1" ht="15">
      <c r="A26" s="57" t="s">
        <v>51</v>
      </c>
      <c r="B26" s="2"/>
      <c r="C26" s="2"/>
      <c r="D26" s="2"/>
      <c r="E26" s="2"/>
      <c r="F26" s="58"/>
      <c r="G26" s="28"/>
      <c r="H26" s="28"/>
      <c r="I26" s="28"/>
      <c r="J26" s="28"/>
      <c r="K26" s="28"/>
      <c r="L26" s="28"/>
      <c r="M26" s="2"/>
      <c r="N26" s="2"/>
      <c r="O26" s="2"/>
      <c r="P26" s="26"/>
      <c r="Q26" s="26"/>
      <c r="R26" s="26"/>
      <c r="S26" s="26"/>
      <c r="T26" s="59"/>
      <c r="U26" s="59"/>
      <c r="V26" s="59"/>
    </row>
    <row r="27" spans="1:22" s="60" customFormat="1" ht="49.5" customHeight="1">
      <c r="A27" s="61" t="s">
        <v>52</v>
      </c>
      <c r="B27" s="61" t="s">
        <v>34</v>
      </c>
      <c r="C27" s="61" t="s">
        <v>53</v>
      </c>
      <c r="D27" s="61" t="s">
        <v>54</v>
      </c>
      <c r="E27" s="124" t="s">
        <v>55</v>
      </c>
      <c r="F27" s="124"/>
      <c r="G27" s="124" t="s">
        <v>56</v>
      </c>
      <c r="H27" s="124"/>
      <c r="I27" s="125" t="s">
        <v>57</v>
      </c>
      <c r="J27" s="125"/>
      <c r="K27" s="125"/>
      <c r="L27" s="125"/>
      <c r="M27" s="125"/>
      <c r="N27" s="125"/>
      <c r="O27" s="62"/>
      <c r="P27" s="62"/>
      <c r="Q27" s="62"/>
      <c r="R27" s="62"/>
      <c r="S27" s="26"/>
      <c r="T27" s="59"/>
      <c r="U27" s="59"/>
      <c r="V27" s="59"/>
    </row>
    <row r="28" spans="1:22" s="60" customFormat="1" ht="15.75">
      <c r="A28" s="126" t="s">
        <v>58</v>
      </c>
      <c r="B28" s="127"/>
      <c r="C28" s="128"/>
      <c r="D28" s="63">
        <f>D29+D35+D38+D42+D43+D44</f>
        <v>125977.16999999998</v>
      </c>
      <c r="E28" s="129"/>
      <c r="F28" s="129"/>
      <c r="G28" s="130"/>
      <c r="H28" s="130"/>
      <c r="I28" s="131"/>
      <c r="J28" s="131"/>
      <c r="K28" s="131"/>
      <c r="L28" s="131"/>
      <c r="M28" s="131"/>
      <c r="N28" s="131"/>
      <c r="O28" s="64"/>
      <c r="P28" s="64"/>
      <c r="Q28" s="64"/>
      <c r="R28" s="64"/>
      <c r="S28" s="26"/>
      <c r="T28" s="59"/>
      <c r="U28" s="59"/>
      <c r="V28" s="59"/>
    </row>
    <row r="29" spans="1:22" s="67" customFormat="1" ht="41.25" customHeight="1">
      <c r="A29" s="115" t="s">
        <v>59</v>
      </c>
      <c r="B29" s="116"/>
      <c r="C29" s="117"/>
      <c r="D29" s="65">
        <f>SUM(D30:D34)</f>
        <v>14933</v>
      </c>
      <c r="E29" s="96"/>
      <c r="F29" s="96"/>
      <c r="G29" s="118" t="s">
        <v>60</v>
      </c>
      <c r="H29" s="119"/>
      <c r="I29" s="106" t="s">
        <v>61</v>
      </c>
      <c r="J29" s="107"/>
      <c r="K29" s="107"/>
      <c r="L29" s="107"/>
      <c r="M29" s="107"/>
      <c r="N29" s="108"/>
      <c r="O29" s="66"/>
      <c r="P29" s="66"/>
      <c r="Q29" s="66"/>
      <c r="R29" s="66"/>
      <c r="S29" s="26"/>
      <c r="T29" s="26"/>
      <c r="U29" s="26"/>
      <c r="V29" s="26"/>
    </row>
    <row r="30" spans="1:22" s="67" customFormat="1" ht="28.5" customHeight="1">
      <c r="A30" s="68" t="s">
        <v>62</v>
      </c>
      <c r="B30" s="69" t="s">
        <v>63</v>
      </c>
      <c r="C30" s="18">
        <f>16*137</f>
        <v>2192</v>
      </c>
      <c r="D30" s="18">
        <f>C30</f>
        <v>2192</v>
      </c>
      <c r="E30" s="96" t="s">
        <v>64</v>
      </c>
      <c r="F30" s="96"/>
      <c r="G30" s="120"/>
      <c r="H30" s="121"/>
      <c r="I30" s="109"/>
      <c r="J30" s="110"/>
      <c r="K30" s="110"/>
      <c r="L30" s="110"/>
      <c r="M30" s="110"/>
      <c r="N30" s="111"/>
      <c r="O30" s="66"/>
      <c r="P30" s="66"/>
      <c r="Q30" s="66"/>
      <c r="R30" s="66"/>
      <c r="S30" s="26"/>
      <c r="T30" s="26"/>
      <c r="U30" s="26"/>
      <c r="V30" s="26"/>
    </row>
    <row r="31" spans="1:22" s="67" customFormat="1" ht="30.75" customHeight="1">
      <c r="A31" s="68" t="s">
        <v>65</v>
      </c>
      <c r="B31" s="69" t="s">
        <v>63</v>
      </c>
      <c r="C31" s="18">
        <f>43*137</f>
        <v>5891</v>
      </c>
      <c r="D31" s="18">
        <f>C31</f>
        <v>5891</v>
      </c>
      <c r="E31" s="96" t="s">
        <v>66</v>
      </c>
      <c r="F31" s="96"/>
      <c r="G31" s="120"/>
      <c r="H31" s="121"/>
      <c r="I31" s="109"/>
      <c r="J31" s="110"/>
      <c r="K31" s="110"/>
      <c r="L31" s="110"/>
      <c r="M31" s="110"/>
      <c r="N31" s="111"/>
      <c r="O31" s="66"/>
      <c r="P31" s="66"/>
      <c r="Q31" s="66"/>
      <c r="R31" s="66"/>
      <c r="S31" s="26"/>
      <c r="T31" s="26"/>
      <c r="U31" s="26"/>
      <c r="V31" s="26"/>
    </row>
    <row r="32" spans="1:22" s="67" customFormat="1" ht="15.75" customHeight="1">
      <c r="A32" s="68" t="s">
        <v>67</v>
      </c>
      <c r="B32" s="69" t="s">
        <v>63</v>
      </c>
      <c r="C32" s="18">
        <f>13*137</f>
        <v>1781</v>
      </c>
      <c r="D32" s="18">
        <f>C32</f>
        <v>1781</v>
      </c>
      <c r="E32" s="96" t="s">
        <v>68</v>
      </c>
      <c r="F32" s="96"/>
      <c r="G32" s="120"/>
      <c r="H32" s="121"/>
      <c r="I32" s="109"/>
      <c r="J32" s="110"/>
      <c r="K32" s="110"/>
      <c r="L32" s="110"/>
      <c r="M32" s="110"/>
      <c r="N32" s="111"/>
      <c r="O32" s="66"/>
      <c r="P32" s="66"/>
      <c r="Q32" s="66"/>
      <c r="R32" s="66"/>
      <c r="S32" s="26"/>
      <c r="T32" s="26"/>
      <c r="U32" s="26"/>
      <c r="V32" s="26"/>
    </row>
    <row r="33" spans="1:22" s="67" customFormat="1" ht="27" customHeight="1">
      <c r="A33" s="68" t="s">
        <v>69</v>
      </c>
      <c r="B33" s="69" t="s">
        <v>63</v>
      </c>
      <c r="C33" s="18">
        <f>23*137</f>
        <v>3151</v>
      </c>
      <c r="D33" s="18">
        <f>C33</f>
        <v>3151</v>
      </c>
      <c r="E33" s="96" t="s">
        <v>66</v>
      </c>
      <c r="F33" s="96"/>
      <c r="G33" s="120"/>
      <c r="H33" s="121"/>
      <c r="I33" s="109"/>
      <c r="J33" s="110"/>
      <c r="K33" s="110"/>
      <c r="L33" s="110"/>
      <c r="M33" s="110"/>
      <c r="N33" s="111"/>
      <c r="O33" s="66"/>
      <c r="P33" s="66"/>
      <c r="Q33" s="66"/>
      <c r="R33" s="66"/>
      <c r="S33" s="26"/>
      <c r="T33" s="26"/>
      <c r="U33" s="26"/>
      <c r="V33" s="26"/>
    </row>
    <row r="34" spans="1:22" s="67" customFormat="1" ht="29.25" customHeight="1">
      <c r="A34" s="68" t="s">
        <v>70</v>
      </c>
      <c r="B34" s="69" t="s">
        <v>63</v>
      </c>
      <c r="C34" s="18">
        <f>14*137</f>
        <v>1918</v>
      </c>
      <c r="D34" s="18">
        <f>C34</f>
        <v>1918</v>
      </c>
      <c r="E34" s="96" t="s">
        <v>71</v>
      </c>
      <c r="F34" s="96"/>
      <c r="G34" s="122"/>
      <c r="H34" s="123"/>
      <c r="I34" s="112"/>
      <c r="J34" s="113"/>
      <c r="K34" s="113"/>
      <c r="L34" s="113"/>
      <c r="M34" s="113"/>
      <c r="N34" s="114"/>
      <c r="O34" s="66"/>
      <c r="P34" s="66"/>
      <c r="Q34" s="66"/>
      <c r="R34" s="66"/>
      <c r="S34" s="26"/>
      <c r="T34" s="26"/>
      <c r="U34" s="26"/>
      <c r="V34" s="26"/>
    </row>
    <row r="35" spans="1:22" s="67" customFormat="1" ht="28.5" customHeight="1">
      <c r="A35" s="101" t="s">
        <v>72</v>
      </c>
      <c r="B35" s="102"/>
      <c r="C35" s="103"/>
      <c r="D35" s="65">
        <f>SUM(D36:D37)</f>
        <v>13015</v>
      </c>
      <c r="E35" s="96"/>
      <c r="F35" s="96"/>
      <c r="G35" s="98" t="s">
        <v>60</v>
      </c>
      <c r="H35" s="98"/>
      <c r="I35" s="106" t="s">
        <v>73</v>
      </c>
      <c r="J35" s="107"/>
      <c r="K35" s="107"/>
      <c r="L35" s="107"/>
      <c r="M35" s="107"/>
      <c r="N35" s="108"/>
      <c r="O35" s="70"/>
      <c r="P35" s="70"/>
      <c r="Q35" s="70"/>
      <c r="R35" s="70"/>
      <c r="S35" s="26"/>
      <c r="T35" s="26"/>
      <c r="U35" s="26"/>
      <c r="V35" s="26"/>
    </row>
    <row r="36" spans="1:22" s="67" customFormat="1" ht="30.75" customHeight="1">
      <c r="A36" s="68" t="s">
        <v>139</v>
      </c>
      <c r="B36" s="69" t="s">
        <v>63</v>
      </c>
      <c r="C36" s="18">
        <f>83*137</f>
        <v>11371</v>
      </c>
      <c r="D36" s="18">
        <f>C36</f>
        <v>11371</v>
      </c>
      <c r="E36" s="96" t="s">
        <v>68</v>
      </c>
      <c r="F36" s="96"/>
      <c r="G36" s="98"/>
      <c r="H36" s="98"/>
      <c r="I36" s="109"/>
      <c r="J36" s="110"/>
      <c r="K36" s="110"/>
      <c r="L36" s="110"/>
      <c r="M36" s="110"/>
      <c r="N36" s="111"/>
      <c r="O36" s="71"/>
      <c r="P36" s="71"/>
      <c r="Q36" s="71"/>
      <c r="R36" s="71"/>
      <c r="S36" s="26"/>
      <c r="T36" s="26"/>
      <c r="U36" s="26"/>
      <c r="V36" s="26"/>
    </row>
    <row r="37" spans="1:22" s="67" customFormat="1" ht="31.5" customHeight="1">
      <c r="A37" s="68" t="s">
        <v>76</v>
      </c>
      <c r="B37" s="69" t="s">
        <v>63</v>
      </c>
      <c r="C37" s="18">
        <f>12*137</f>
        <v>1644</v>
      </c>
      <c r="D37" s="18">
        <f>C37</f>
        <v>1644</v>
      </c>
      <c r="E37" s="96" t="s">
        <v>68</v>
      </c>
      <c r="F37" s="96"/>
      <c r="G37" s="98"/>
      <c r="H37" s="98"/>
      <c r="I37" s="112"/>
      <c r="J37" s="113"/>
      <c r="K37" s="113"/>
      <c r="L37" s="113"/>
      <c r="M37" s="113"/>
      <c r="N37" s="114"/>
      <c r="O37" s="71"/>
      <c r="P37" s="71"/>
      <c r="Q37" s="71"/>
      <c r="R37" s="71"/>
      <c r="S37" s="26"/>
      <c r="T37" s="26"/>
      <c r="U37" s="26"/>
      <c r="V37" s="26"/>
    </row>
    <row r="38" spans="1:22" s="67" customFormat="1" ht="35.25" customHeight="1">
      <c r="A38" s="101" t="s">
        <v>77</v>
      </c>
      <c r="B38" s="102"/>
      <c r="C38" s="103"/>
      <c r="D38" s="65">
        <f>SUM(D39:D41)</f>
        <v>25619</v>
      </c>
      <c r="E38" s="104"/>
      <c r="F38" s="105"/>
      <c r="G38" s="98" t="s">
        <v>60</v>
      </c>
      <c r="H38" s="98"/>
      <c r="I38" s="106" t="s">
        <v>78</v>
      </c>
      <c r="J38" s="107"/>
      <c r="K38" s="107"/>
      <c r="L38" s="107"/>
      <c r="M38" s="107"/>
      <c r="N38" s="108"/>
      <c r="O38" s="71"/>
      <c r="P38" s="71"/>
      <c r="Q38" s="71"/>
      <c r="R38" s="71"/>
      <c r="S38" s="26"/>
      <c r="T38" s="26"/>
      <c r="U38" s="26"/>
      <c r="V38" s="26"/>
    </row>
    <row r="39" spans="1:22" s="67" customFormat="1" ht="18" customHeight="1">
      <c r="A39" s="68" t="s">
        <v>79</v>
      </c>
      <c r="B39" s="69" t="s">
        <v>63</v>
      </c>
      <c r="C39" s="18">
        <f>80*137</f>
        <v>10960</v>
      </c>
      <c r="D39" s="18">
        <f>C39</f>
        <v>10960</v>
      </c>
      <c r="E39" s="96" t="s">
        <v>66</v>
      </c>
      <c r="F39" s="96"/>
      <c r="G39" s="98"/>
      <c r="H39" s="98"/>
      <c r="I39" s="109"/>
      <c r="J39" s="110"/>
      <c r="K39" s="110"/>
      <c r="L39" s="110"/>
      <c r="M39" s="110"/>
      <c r="N39" s="111"/>
      <c r="O39" s="71"/>
      <c r="P39" s="71"/>
      <c r="Q39" s="71"/>
      <c r="R39" s="71"/>
      <c r="S39" s="26"/>
      <c r="T39" s="26"/>
      <c r="U39" s="26"/>
      <c r="V39" s="26"/>
    </row>
    <row r="40" spans="1:22" s="67" customFormat="1" ht="18" customHeight="1">
      <c r="A40" s="68" t="s">
        <v>80</v>
      </c>
      <c r="B40" s="69" t="s">
        <v>63</v>
      </c>
      <c r="C40" s="18">
        <f>62*137</f>
        <v>8494</v>
      </c>
      <c r="D40" s="18">
        <f>C40</f>
        <v>8494</v>
      </c>
      <c r="E40" s="96"/>
      <c r="F40" s="96"/>
      <c r="G40" s="98"/>
      <c r="H40" s="98"/>
      <c r="I40" s="109"/>
      <c r="J40" s="110"/>
      <c r="K40" s="110"/>
      <c r="L40" s="110"/>
      <c r="M40" s="110"/>
      <c r="N40" s="111"/>
      <c r="O40" s="71"/>
      <c r="P40" s="71"/>
      <c r="Q40" s="71"/>
      <c r="R40" s="71"/>
      <c r="S40" s="26"/>
      <c r="T40" s="26"/>
      <c r="U40" s="26"/>
      <c r="V40" s="26"/>
    </row>
    <row r="41" spans="1:22" s="67" customFormat="1" ht="27.75" customHeight="1">
      <c r="A41" s="68" t="s">
        <v>140</v>
      </c>
      <c r="B41" s="69" t="s">
        <v>63</v>
      </c>
      <c r="C41" s="18">
        <f>45*137</f>
        <v>6165</v>
      </c>
      <c r="D41" s="18">
        <f>C41</f>
        <v>6165</v>
      </c>
      <c r="E41" s="96"/>
      <c r="F41" s="96"/>
      <c r="G41" s="98"/>
      <c r="H41" s="98"/>
      <c r="I41" s="112"/>
      <c r="J41" s="113"/>
      <c r="K41" s="113"/>
      <c r="L41" s="113"/>
      <c r="M41" s="113"/>
      <c r="N41" s="114"/>
      <c r="O41" s="71"/>
      <c r="P41" s="71"/>
      <c r="Q41" s="71"/>
      <c r="R41" s="71"/>
      <c r="S41" s="26"/>
      <c r="T41" s="26"/>
      <c r="U41" s="26"/>
      <c r="V41" s="26"/>
    </row>
    <row r="42" spans="1:22" s="67" customFormat="1" ht="30.75" customHeight="1">
      <c r="A42" s="72" t="s">
        <v>82</v>
      </c>
      <c r="B42" s="69" t="s">
        <v>63</v>
      </c>
      <c r="C42" s="18">
        <f>E16</f>
        <v>19339.030000000002</v>
      </c>
      <c r="D42" s="65">
        <f>C42</f>
        <v>19339.030000000002</v>
      </c>
      <c r="E42" s="96" t="s">
        <v>83</v>
      </c>
      <c r="F42" s="96"/>
      <c r="G42" s="98" t="s">
        <v>84</v>
      </c>
      <c r="H42" s="98"/>
      <c r="I42" s="99" t="s">
        <v>82</v>
      </c>
      <c r="J42" s="99"/>
      <c r="K42" s="99"/>
      <c r="L42" s="99"/>
      <c r="M42" s="99"/>
      <c r="N42" s="99"/>
      <c r="O42" s="70"/>
      <c r="P42" s="70"/>
      <c r="Q42" s="70"/>
      <c r="R42" s="70"/>
      <c r="S42" s="26"/>
      <c r="T42" s="26"/>
      <c r="U42" s="26"/>
      <c r="V42" s="26"/>
    </row>
    <row r="43" spans="1:22" s="67" customFormat="1" ht="17.25" customHeight="1">
      <c r="A43" s="72" t="s">
        <v>89</v>
      </c>
      <c r="B43" s="69" t="s">
        <v>63</v>
      </c>
      <c r="C43" s="18">
        <f>E17</f>
        <v>38412.13999999999</v>
      </c>
      <c r="D43" s="65">
        <f>C43</f>
        <v>38412.13999999999</v>
      </c>
      <c r="E43" s="96" t="s">
        <v>86</v>
      </c>
      <c r="F43" s="96"/>
      <c r="G43" s="97" t="s">
        <v>60</v>
      </c>
      <c r="H43" s="97"/>
      <c r="I43" s="100" t="s">
        <v>89</v>
      </c>
      <c r="J43" s="100"/>
      <c r="K43" s="100"/>
      <c r="L43" s="100"/>
      <c r="M43" s="100"/>
      <c r="N43" s="100"/>
      <c r="O43" s="74"/>
      <c r="P43" s="74"/>
      <c r="Q43" s="74"/>
      <c r="R43" s="74"/>
      <c r="S43" s="26"/>
      <c r="T43" s="26"/>
      <c r="U43" s="26"/>
      <c r="V43" s="26"/>
    </row>
    <row r="44" spans="1:22" s="78" customFormat="1" ht="15">
      <c r="A44" s="75" t="s">
        <v>90</v>
      </c>
      <c r="B44" s="69"/>
      <c r="C44" s="63"/>
      <c r="D44" s="65">
        <f>SUM(D45:D45)</f>
        <v>14659</v>
      </c>
      <c r="E44" s="93"/>
      <c r="F44" s="93"/>
      <c r="G44" s="94"/>
      <c r="H44" s="95"/>
      <c r="I44" s="76"/>
      <c r="J44" s="76"/>
      <c r="K44" s="76"/>
      <c r="L44" s="76"/>
      <c r="M44" s="76"/>
      <c r="N44" s="2"/>
      <c r="O44" s="2"/>
      <c r="P44" s="2"/>
      <c r="Q44" s="77"/>
      <c r="R44" s="77"/>
      <c r="S44" s="77"/>
      <c r="T44" s="77"/>
      <c r="U44" s="77"/>
      <c r="V44" s="77"/>
    </row>
    <row r="45" spans="1:22" s="78" customFormat="1" ht="17.25" customHeight="1">
      <c r="A45" s="68" t="s">
        <v>141</v>
      </c>
      <c r="B45" s="69" t="s">
        <v>63</v>
      </c>
      <c r="C45" s="18">
        <f>107*137</f>
        <v>14659</v>
      </c>
      <c r="D45" s="18">
        <f>C45</f>
        <v>14659</v>
      </c>
      <c r="E45" s="96"/>
      <c r="F45" s="96"/>
      <c r="G45" s="97" t="s">
        <v>60</v>
      </c>
      <c r="H45" s="97"/>
      <c r="I45" s="76"/>
      <c r="J45" s="76"/>
      <c r="K45" s="76"/>
      <c r="L45" s="76"/>
      <c r="M45" s="2"/>
      <c r="N45" s="2"/>
      <c r="O45" s="2"/>
      <c r="P45" s="77"/>
      <c r="Q45" s="77"/>
      <c r="R45" s="77"/>
      <c r="S45" s="77"/>
      <c r="T45" s="77"/>
      <c r="U45" s="77"/>
      <c r="V45" s="77"/>
    </row>
    <row r="47" ht="15.75">
      <c r="A47" s="1" t="s">
        <v>94</v>
      </c>
    </row>
    <row r="48" spans="2:22" s="79" customFormat="1" ht="15">
      <c r="B48" s="2"/>
      <c r="C48" s="2"/>
      <c r="D48" s="2"/>
      <c r="E48" s="80" t="s">
        <v>95</v>
      </c>
      <c r="F48" s="80" t="s">
        <v>96</v>
      </c>
      <c r="G48" s="81" t="s">
        <v>97</v>
      </c>
      <c r="H48" s="3"/>
      <c r="I48" s="3"/>
      <c r="J48" s="3"/>
      <c r="K48" s="3"/>
      <c r="L48" s="3"/>
      <c r="M48" s="2"/>
      <c r="N48" s="2"/>
      <c r="O48" s="2"/>
      <c r="P48" s="4"/>
      <c r="Q48" s="4"/>
      <c r="R48" s="4"/>
      <c r="S48" s="4"/>
      <c r="T48" s="4"/>
      <c r="U48" s="4"/>
      <c r="V48" s="4"/>
    </row>
    <row r="49" spans="1:22" s="79" customFormat="1" ht="29.25" customHeight="1">
      <c r="A49" s="90" t="s">
        <v>98</v>
      </c>
      <c r="B49" s="90"/>
      <c r="C49" s="90"/>
      <c r="D49" s="82" t="s">
        <v>99</v>
      </c>
      <c r="E49" s="69">
        <v>0</v>
      </c>
      <c r="F49" s="69">
        <v>0</v>
      </c>
      <c r="G49" s="142" t="s">
        <v>142</v>
      </c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4"/>
      <c r="S49" s="4"/>
      <c r="T49" s="4"/>
      <c r="U49" s="4"/>
      <c r="V49" s="4"/>
    </row>
    <row r="50" spans="1:22" s="79" customFormat="1" ht="33" customHeight="1">
      <c r="A50" s="90" t="s">
        <v>101</v>
      </c>
      <c r="B50" s="90"/>
      <c r="C50" s="90"/>
      <c r="D50" s="82" t="s">
        <v>99</v>
      </c>
      <c r="E50" s="69">
        <v>0</v>
      </c>
      <c r="F50" s="69">
        <v>0</v>
      </c>
      <c r="G50" s="91" t="s">
        <v>143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4"/>
      <c r="S50" s="4"/>
      <c r="T50" s="4"/>
      <c r="U50" s="4"/>
      <c r="V50" s="4"/>
    </row>
    <row r="51" spans="1:22" s="79" customFormat="1" ht="32.25" customHeight="1">
      <c r="A51" s="90" t="s">
        <v>103</v>
      </c>
      <c r="B51" s="90"/>
      <c r="C51" s="90"/>
      <c r="D51" s="82" t="s">
        <v>99</v>
      </c>
      <c r="E51" s="69">
        <v>0</v>
      </c>
      <c r="F51" s="69">
        <v>0</v>
      </c>
      <c r="G51" s="91" t="s">
        <v>128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4"/>
      <c r="S51" s="4"/>
      <c r="T51" s="4"/>
      <c r="U51" s="4"/>
      <c r="V51" s="4"/>
    </row>
    <row r="52" spans="1:22" s="79" customFormat="1" ht="30" customHeight="1">
      <c r="A52" s="90" t="s">
        <v>104</v>
      </c>
      <c r="B52" s="90"/>
      <c r="C52" s="90"/>
      <c r="D52" s="82" t="s">
        <v>105</v>
      </c>
      <c r="E52" s="18">
        <v>0</v>
      </c>
      <c r="F52" s="18">
        <v>0</v>
      </c>
      <c r="G52" s="92" t="s">
        <v>129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4"/>
      <c r="S52" s="4"/>
      <c r="T52" s="4"/>
      <c r="U52" s="4"/>
      <c r="V52" s="4"/>
    </row>
    <row r="53" spans="1:22" s="79" customFormat="1" ht="19.5" customHeight="1">
      <c r="A53" s="4"/>
      <c r="B53" s="2"/>
      <c r="C53" s="2"/>
      <c r="D53" s="2"/>
      <c r="E53" s="2"/>
      <c r="F53" s="3"/>
      <c r="R53" s="4"/>
      <c r="S53" s="4"/>
      <c r="T53" s="4"/>
      <c r="U53" s="4"/>
      <c r="V53" s="4"/>
    </row>
    <row r="54" spans="1:22" s="79" customFormat="1" ht="24" customHeight="1">
      <c r="A54" s="1" t="s">
        <v>106</v>
      </c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2"/>
      <c r="N54" s="2"/>
      <c r="O54" s="2"/>
      <c r="P54" s="4"/>
      <c r="Q54" s="4"/>
      <c r="R54" s="4"/>
      <c r="S54" s="4"/>
      <c r="T54" s="4"/>
      <c r="U54" s="4"/>
      <c r="V54" s="4"/>
    </row>
    <row r="55" spans="1:22" s="79" customFormat="1" ht="24" customHeight="1">
      <c r="A55" s="90" t="s">
        <v>107</v>
      </c>
      <c r="B55" s="90"/>
      <c r="C55" s="90"/>
      <c r="D55" s="69" t="s">
        <v>99</v>
      </c>
      <c r="E55" s="69">
        <v>5</v>
      </c>
      <c r="F55" s="3"/>
      <c r="G55" s="3"/>
      <c r="H55" s="3"/>
      <c r="I55" s="3"/>
      <c r="J55" s="3"/>
      <c r="K55" s="3"/>
      <c r="L55" s="3"/>
      <c r="M55" s="2"/>
      <c r="N55" s="2"/>
      <c r="O55" s="2"/>
      <c r="P55" s="4"/>
      <c r="Q55" s="4"/>
      <c r="R55" s="4"/>
      <c r="S55" s="4"/>
      <c r="T55" s="4"/>
      <c r="U55" s="4"/>
      <c r="V55" s="4"/>
    </row>
    <row r="56" spans="1:22" s="79" customFormat="1" ht="24" customHeight="1">
      <c r="A56" s="90" t="s">
        <v>108</v>
      </c>
      <c r="B56" s="90"/>
      <c r="C56" s="90"/>
      <c r="D56" s="69" t="s">
        <v>99</v>
      </c>
      <c r="E56" s="69">
        <v>1</v>
      </c>
      <c r="F56" s="3"/>
      <c r="G56" s="3"/>
      <c r="H56" s="3"/>
      <c r="I56" s="3"/>
      <c r="J56" s="3"/>
      <c r="K56" s="3"/>
      <c r="L56" s="3"/>
      <c r="M56" s="2"/>
      <c r="N56" s="2"/>
      <c r="O56" s="2"/>
      <c r="P56" s="4"/>
      <c r="Q56" s="4"/>
      <c r="R56" s="4"/>
      <c r="S56" s="4"/>
      <c r="T56" s="4"/>
      <c r="U56" s="4"/>
      <c r="V56" s="4"/>
    </row>
    <row r="57" spans="1:22" s="79" customFormat="1" ht="31.5" customHeight="1">
      <c r="A57" s="90" t="s">
        <v>109</v>
      </c>
      <c r="B57" s="90"/>
      <c r="C57" s="90"/>
      <c r="D57" s="69" t="s">
        <v>105</v>
      </c>
      <c r="E57" s="18">
        <v>9500</v>
      </c>
      <c r="F57" s="3"/>
      <c r="G57" s="3"/>
      <c r="H57" s="3"/>
      <c r="I57" s="3"/>
      <c r="J57" s="3"/>
      <c r="K57" s="3"/>
      <c r="L57" s="3"/>
      <c r="M57" s="2"/>
      <c r="N57" s="2"/>
      <c r="O57" s="2"/>
      <c r="P57" s="4"/>
      <c r="Q57" s="4"/>
      <c r="R57" s="4"/>
      <c r="S57" s="4"/>
      <c r="T57" s="4"/>
      <c r="U57" s="4"/>
      <c r="V57" s="4"/>
    </row>
    <row r="61" spans="1:2" ht="15">
      <c r="A61" s="4" t="s">
        <v>110</v>
      </c>
      <c r="B61" s="2" t="s">
        <v>111</v>
      </c>
    </row>
  </sheetData>
  <sheetProtection/>
  <mergeCells count="60">
    <mergeCell ref="A10:A11"/>
    <mergeCell ref="B10:B11"/>
    <mergeCell ref="C10:C11"/>
    <mergeCell ref="D10:D11"/>
    <mergeCell ref="E10:E11"/>
    <mergeCell ref="F10:K10"/>
    <mergeCell ref="L10:L11"/>
    <mergeCell ref="M10:M11"/>
    <mergeCell ref="N10:N11"/>
    <mergeCell ref="O10:O11"/>
    <mergeCell ref="P10:P11"/>
    <mergeCell ref="I22:I23"/>
    <mergeCell ref="E27:F27"/>
    <mergeCell ref="G27:H27"/>
    <mergeCell ref="I27:N27"/>
    <mergeCell ref="A28:C28"/>
    <mergeCell ref="E28:F28"/>
    <mergeCell ref="G28:H28"/>
    <mergeCell ref="I28:N28"/>
    <mergeCell ref="A29:C29"/>
    <mergeCell ref="E29:F29"/>
    <mergeCell ref="G29:H34"/>
    <mergeCell ref="I29:N34"/>
    <mergeCell ref="E30:F30"/>
    <mergeCell ref="E31:F31"/>
    <mergeCell ref="E32:F32"/>
    <mergeCell ref="E33:F33"/>
    <mergeCell ref="E34:F34"/>
    <mergeCell ref="A35:C35"/>
    <mergeCell ref="E35:F35"/>
    <mergeCell ref="G35:H37"/>
    <mergeCell ref="I35:N37"/>
    <mergeCell ref="E36:F36"/>
    <mergeCell ref="E37:F37"/>
    <mergeCell ref="A38:C38"/>
    <mergeCell ref="E38:F38"/>
    <mergeCell ref="G38:H41"/>
    <mergeCell ref="I38:N41"/>
    <mergeCell ref="E39:F41"/>
    <mergeCell ref="E42:F42"/>
    <mergeCell ref="G42:H42"/>
    <mergeCell ref="I42:N42"/>
    <mergeCell ref="G51:Q51"/>
    <mergeCell ref="E43:F43"/>
    <mergeCell ref="G43:H43"/>
    <mergeCell ref="I43:N43"/>
    <mergeCell ref="E44:F44"/>
    <mergeCell ref="G44:H44"/>
    <mergeCell ref="E45:F45"/>
    <mergeCell ref="G45:H45"/>
    <mergeCell ref="A52:C52"/>
    <mergeCell ref="G52:Q52"/>
    <mergeCell ref="A55:C55"/>
    <mergeCell ref="A56:C56"/>
    <mergeCell ref="A57:C57"/>
    <mergeCell ref="A49:C49"/>
    <mergeCell ref="G49:Q49"/>
    <mergeCell ref="A50:C50"/>
    <mergeCell ref="G50:Q50"/>
    <mergeCell ref="A51:C51"/>
  </mergeCells>
  <printOptions/>
  <pageMargins left="0.15748031496062992" right="0.1968503937007874" top="0.4724409448818898" bottom="0.2755905511811024" header="0.4724409448818898" footer="0.2362204724409449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2016-03-09T06:13:05Z</dcterms:created>
  <dcterms:modified xsi:type="dcterms:W3CDTF">2016-03-16T03:23:29Z</dcterms:modified>
  <cp:category/>
  <cp:version/>
  <cp:contentType/>
  <cp:contentStatus/>
</cp:coreProperties>
</file>