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прилож.4!$A$8:$G$465</definedName>
    <definedName name="_xlnm.Print_Area" localSheetId="0">прилож.4!$A$1:$F$467</definedName>
  </definedNames>
  <calcPr calcId="125725"/>
</workbook>
</file>

<file path=xl/calcChain.xml><?xml version="1.0" encoding="utf-8"?>
<calcChain xmlns="http://schemas.openxmlformats.org/spreadsheetml/2006/main">
  <c r="F253" i="6"/>
  <c r="F165"/>
  <c r="F167"/>
  <c r="F25"/>
  <c r="F71"/>
  <c r="F430"/>
  <c r="F23"/>
  <c r="F381"/>
  <c r="F400"/>
  <c r="F393"/>
  <c r="F308" l="1"/>
  <c r="F279"/>
  <c r="F53" l="1"/>
  <c r="F54"/>
  <c r="F257"/>
  <c r="F447"/>
  <c r="F446"/>
  <c r="F101"/>
  <c r="F100"/>
  <c r="F57"/>
  <c r="F52"/>
  <c r="F112"/>
  <c r="F111"/>
  <c r="F178"/>
  <c r="F286"/>
  <c r="F287"/>
  <c r="F34"/>
  <c r="F247"/>
  <c r="F241"/>
  <c r="F243"/>
  <c r="F314" l="1"/>
  <c r="F171"/>
  <c r="F445"/>
  <c r="F330"/>
  <c r="F362" l="1"/>
  <c r="F379"/>
  <c r="F356"/>
  <c r="F358"/>
  <c r="F230"/>
  <c r="F38"/>
  <c r="F188"/>
  <c r="F86"/>
  <c r="F17"/>
  <c r="F19"/>
  <c r="F40"/>
  <c r="F259"/>
  <c r="F75"/>
  <c r="F255"/>
  <c r="F120"/>
  <c r="F150"/>
  <c r="F209"/>
  <c r="F80" l="1"/>
  <c r="F35"/>
  <c r="F74"/>
  <c r="F338"/>
  <c r="F301"/>
  <c r="F387"/>
  <c r="F434"/>
  <c r="F435"/>
  <c r="F399"/>
  <c r="F395"/>
  <c r="F397"/>
  <c r="F427"/>
  <c r="F425"/>
  <c r="F423"/>
  <c r="F372" l="1"/>
  <c r="F366"/>
  <c r="F401"/>
  <c r="F402"/>
  <c r="F394"/>
  <c r="F396"/>
  <c r="F56"/>
  <c r="F288"/>
  <c r="F285"/>
  <c r="F274"/>
  <c r="F273"/>
  <c r="F245"/>
  <c r="F264"/>
  <c r="F262"/>
  <c r="F79"/>
  <c r="F268"/>
  <c r="F232"/>
  <c r="F72"/>
  <c r="F413"/>
  <c r="F364" l="1"/>
  <c r="F375"/>
  <c r="F370"/>
  <c r="F173"/>
  <c r="F194"/>
  <c r="F66"/>
  <c r="F65"/>
  <c r="F124"/>
  <c r="F359"/>
  <c r="F258"/>
  <c r="F244"/>
  <c r="F73"/>
  <c r="F339"/>
  <c r="F303"/>
  <c r="F248"/>
  <c r="F94"/>
  <c r="F294" l="1"/>
  <c r="F311"/>
  <c r="F270"/>
  <c r="F448"/>
  <c r="F368"/>
  <c r="F374"/>
  <c r="F407" l="1"/>
  <c r="F411"/>
  <c r="F412"/>
  <c r="F110"/>
  <c r="F443"/>
  <c r="F357"/>
  <c r="F363"/>
  <c r="F43"/>
  <c r="F42" s="1"/>
  <c r="F41" s="1"/>
  <c r="F92" l="1"/>
  <c r="F87" l="1"/>
  <c r="F204"/>
  <c r="F207"/>
  <c r="F419"/>
  <c r="F418" s="1"/>
  <c r="F417"/>
  <c r="F331"/>
  <c r="F350"/>
  <c r="F349" s="1"/>
  <c r="F348" s="1"/>
  <c r="F347" s="1"/>
  <c r="F169"/>
  <c r="F83"/>
  <c r="F82" s="1"/>
  <c r="F299" l="1"/>
  <c r="F343"/>
  <c r="F346"/>
  <c r="F345"/>
  <c r="F337"/>
  <c r="F233"/>
  <c r="F108"/>
  <c r="F106"/>
  <c r="F90"/>
  <c r="F344" l="1"/>
  <c r="F307"/>
  <c r="F341"/>
  <c r="F336"/>
  <c r="F335" s="1"/>
  <c r="F323"/>
  <c r="F325"/>
  <c r="F322"/>
  <c r="F313"/>
  <c r="F312" s="1"/>
  <c r="F310"/>
  <c r="F309" s="1"/>
  <c r="F306"/>
  <c r="F302"/>
  <c r="F300"/>
  <c r="F218"/>
  <c r="F334" l="1"/>
  <c r="F298"/>
  <c r="F210"/>
  <c r="F398" l="1"/>
  <c r="F391"/>
  <c r="F70"/>
  <c r="F69" s="1"/>
  <c r="F424"/>
  <c r="F426"/>
  <c r="F224"/>
  <c r="F405"/>
  <c r="F404" s="1"/>
  <c r="F355" l="1"/>
  <c r="G312" l="1"/>
  <c r="F272"/>
  <c r="F271" s="1"/>
  <c r="F267"/>
  <c r="F208"/>
  <c r="F193" l="1"/>
  <c r="F166"/>
  <c r="F147" l="1"/>
  <c r="F149"/>
  <c r="F151"/>
  <c r="F146" l="1"/>
  <c r="F129" l="1"/>
  <c r="F128" s="1"/>
  <c r="F127" s="1"/>
  <c r="F78"/>
  <c r="F77" s="1"/>
  <c r="F76" s="1"/>
  <c r="F172" l="1"/>
  <c r="F222" l="1"/>
  <c r="F221" s="1"/>
  <c r="F220" s="1"/>
  <c r="F170" l="1"/>
  <c r="F109"/>
  <c r="F242"/>
  <c r="F22" l="1"/>
  <c r="F444" l="1"/>
  <c r="F185"/>
  <c r="F187"/>
  <c r="F183"/>
  <c r="F213"/>
  <c r="F212" s="1"/>
  <c r="F191"/>
  <c r="F189"/>
  <c r="F329"/>
  <c r="F328" s="1"/>
  <c r="F182" l="1"/>
  <c r="F422" l="1"/>
  <c r="F421" s="1"/>
  <c r="F420" s="1"/>
  <c r="F416" l="1"/>
  <c r="F415" l="1"/>
  <c r="F414" s="1"/>
  <c r="F433"/>
  <c r="F456"/>
  <c r="F263" l="1"/>
  <c r="F254" l="1"/>
  <c r="F236"/>
  <c r="F235" s="1"/>
  <c r="F231" l="1"/>
  <c r="F156"/>
  <c r="F155" s="1"/>
  <c r="F206"/>
  <c r="F203" s="1"/>
  <c r="F179"/>
  <c r="F28"/>
  <c r="F27" s="1"/>
  <c r="F26" s="1"/>
  <c r="F37"/>
  <c r="F33"/>
  <c r="F18" l="1"/>
  <c r="F380" l="1"/>
  <c r="F142" l="1"/>
  <c r="F144"/>
  <c r="F216"/>
  <c r="F215" s="1"/>
  <c r="F141" l="1"/>
  <c r="F196"/>
  <c r="F117"/>
  <c r="F261"/>
  <c r="F260" s="1"/>
  <c r="F246" l="1"/>
  <c r="F453" l="1"/>
  <c r="P321"/>
  <c r="F321" l="1"/>
  <c r="F320" s="1"/>
  <c r="F319" s="1"/>
  <c r="F318" l="1"/>
  <c r="F55"/>
  <c r="F139" l="1"/>
  <c r="F137"/>
  <c r="F132"/>
  <c r="F134"/>
  <c r="F316"/>
  <c r="F315" s="1"/>
  <c r="F131" l="1"/>
  <c r="F136"/>
  <c r="F200"/>
  <c r="F177"/>
  <c r="F176" s="1"/>
  <c r="F39"/>
  <c r="F126" l="1"/>
  <c r="F361"/>
  <c r="F442" l="1"/>
  <c r="F441" s="1"/>
  <c r="F436"/>
  <c r="F432" s="1"/>
  <c r="F122" l="1"/>
  <c r="F85" l="1"/>
  <c r="F81" s="1"/>
  <c r="F293" l="1"/>
  <c r="F291"/>
  <c r="F290" l="1"/>
  <c r="F305"/>
  <c r="F284"/>
  <c r="F283" s="1"/>
  <c r="F51"/>
  <c r="F12" l="1"/>
  <c r="F11" s="1"/>
  <c r="F10" s="1"/>
  <c r="F16"/>
  <c r="F24"/>
  <c r="F32"/>
  <c r="F31" s="1"/>
  <c r="F47"/>
  <c r="F46" s="1"/>
  <c r="F45" s="1"/>
  <c r="F59"/>
  <c r="F62"/>
  <c r="F64"/>
  <c r="F67"/>
  <c r="F99"/>
  <c r="F98" s="1"/>
  <c r="F97" s="1"/>
  <c r="F96" s="1"/>
  <c r="F105"/>
  <c r="F107"/>
  <c r="F119"/>
  <c r="F116" s="1"/>
  <c r="F154"/>
  <c r="F160"/>
  <c r="F159" s="1"/>
  <c r="F164"/>
  <c r="F168"/>
  <c r="F198"/>
  <c r="F195" s="1"/>
  <c r="F202"/>
  <c r="F229"/>
  <c r="F228" s="1"/>
  <c r="F240"/>
  <c r="F239" s="1"/>
  <c r="F252"/>
  <c r="F256"/>
  <c r="F269"/>
  <c r="F266" s="1"/>
  <c r="F278"/>
  <c r="F277" s="1"/>
  <c r="F282"/>
  <c r="F297"/>
  <c r="F327"/>
  <c r="F376"/>
  <c r="F378"/>
  <c r="F385"/>
  <c r="F390"/>
  <c r="F410"/>
  <c r="F409" s="1"/>
  <c r="F429"/>
  <c r="F428" s="1"/>
  <c r="F452"/>
  <c r="F455"/>
  <c r="F461"/>
  <c r="F460" s="1"/>
  <c r="F459" s="1"/>
  <c r="F384" l="1"/>
  <c r="F383" s="1"/>
  <c r="F354"/>
  <c r="F353" s="1"/>
  <c r="F352" s="1"/>
  <c r="F296"/>
  <c r="F295" s="1"/>
  <c r="F251"/>
  <c r="F250" s="1"/>
  <c r="F265"/>
  <c r="F181"/>
  <c r="F389"/>
  <c r="F333"/>
  <c r="F326" s="1"/>
  <c r="F163"/>
  <c r="F162" s="1"/>
  <c r="F115"/>
  <c r="F114" s="1"/>
  <c r="F227"/>
  <c r="F21"/>
  <c r="F20" s="1"/>
  <c r="F276"/>
  <c r="F275" s="1"/>
  <c r="F451"/>
  <c r="F450" s="1"/>
  <c r="F458"/>
  <c r="F431"/>
  <c r="F175"/>
  <c r="F174" s="1"/>
  <c r="F158"/>
  <c r="F104"/>
  <c r="F103" s="1"/>
  <c r="F61"/>
  <c r="F36"/>
  <c r="F30" s="1"/>
  <c r="F14"/>
  <c r="F440"/>
  <c r="F439" s="1"/>
  <c r="F281"/>
  <c r="F15"/>
  <c r="G12"/>
  <c r="G11" s="1"/>
  <c r="G10" s="1"/>
  <c r="G16"/>
  <c r="G15" s="1"/>
  <c r="G14" s="1"/>
  <c r="G22"/>
  <c r="G24"/>
  <c r="G33"/>
  <c r="G37"/>
  <c r="G47"/>
  <c r="G46" s="1"/>
  <c r="G45" s="1"/>
  <c r="G99"/>
  <c r="G98" s="1"/>
  <c r="G97" s="1"/>
  <c r="G96" s="1"/>
  <c r="G105"/>
  <c r="G104" s="1"/>
  <c r="G103" s="1"/>
  <c r="G102" s="1"/>
  <c r="G127"/>
  <c r="G160"/>
  <c r="G199"/>
  <c r="G230"/>
  <c r="G241"/>
  <c r="G240" s="1"/>
  <c r="G239" s="1"/>
  <c r="G280"/>
  <c r="G279" s="1"/>
  <c r="G278" s="1"/>
  <c r="G277" s="1"/>
  <c r="G296"/>
  <c r="G335"/>
  <c r="G361"/>
  <c r="G355" s="1"/>
  <c r="G354" s="1"/>
  <c r="G379"/>
  <c r="G378" s="1"/>
  <c r="G377" s="1"/>
  <c r="G389"/>
  <c r="G386" s="1"/>
  <c r="G383" s="1"/>
  <c r="G438"/>
  <c r="G437" s="1"/>
  <c r="G436" s="1"/>
  <c r="G439"/>
  <c r="G446"/>
  <c r="G462"/>
  <c r="G458" s="1"/>
  <c r="G49"/>
  <c r="F50" l="1"/>
  <c r="F49" s="1"/>
  <c r="F9" s="1"/>
  <c r="F280"/>
  <c r="F382"/>
  <c r="F153"/>
  <c r="F102"/>
  <c r="F238"/>
  <c r="F226" s="1"/>
  <c r="G21"/>
  <c r="G20" s="1"/>
  <c r="G31"/>
  <c r="G30" s="1"/>
  <c r="G251"/>
  <c r="G229"/>
  <c r="G228" s="1"/>
  <c r="G432"/>
  <c r="F463" l="1"/>
  <c r="G9"/>
  <c r="G463" s="1"/>
</calcChain>
</file>

<file path=xl/sharedStrings.xml><?xml version="1.0" encoding="utf-8"?>
<sst xmlns="http://schemas.openxmlformats.org/spreadsheetml/2006/main" count="1072" uniqueCount="477">
  <si>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</si>
  <si>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</si>
  <si>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</si>
  <si>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</si>
  <si>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</si>
  <si>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</si>
  <si>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</si>
  <si>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</si>
  <si>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</si>
  <si>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</si>
  <si>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</si>
  <si>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</si>
  <si>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</si>
  <si>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</si>
  <si>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</si>
  <si>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</si>
  <si>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</si>
  <si>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</si>
  <si>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</si>
  <si>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</si>
  <si>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</si>
  <si>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</si>
  <si>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</si>
  <si>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</si>
  <si>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</si>
  <si>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</si>
  <si>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</si>
  <si>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</si>
  <si>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</si>
  <si>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</si>
  <si>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</si>
  <si>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</si>
  <si>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</si>
  <si>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</si>
  <si>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</si>
  <si>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</si>
  <si>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</si>
  <si>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</si>
  <si>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</si>
  <si>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</si>
  <si>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</si>
  <si>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</si>
  <si>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</si>
  <si>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</si>
  <si>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</si>
  <si>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</si>
  <si>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</si>
  <si>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</si>
  <si>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</si>
  <si>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</si>
  <si>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</si>
  <si>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</si>
  <si>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</si>
  <si>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</si>
  <si>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</si>
  <si>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</si>
  <si>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</si>
  <si>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</si>
  <si>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</si>
  <si>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</si>
  <si>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</si>
  <si>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</si>
  <si>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</si>
  <si>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</si>
  <si>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</si>
  <si>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</si>
  <si>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</si>
  <si>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</si>
  <si>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</si>
  <si>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</si>
  <si>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</si>
  <si>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</si>
  <si>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</si>
  <si>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</si>
  <si>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</si>
  <si>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</si>
  <si>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</si>
  <si>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</si>
  <si>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</si>
  <si>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</si>
  <si>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</si>
  <si>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</si>
  <si>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</si>
  <si>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</si>
  <si>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</si>
  <si>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</si>
  <si>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</si>
  <si>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</si>
  <si>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</si>
  <si>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</si>
  <si>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</si>
  <si>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</si>
  <si>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</si>
  <si>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</si>
  <si>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</si>
  <si>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</si>
  <si>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</si>
  <si>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</si>
  <si>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</si>
  <si>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</si>
  <si>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</si>
  <si>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</si>
  <si>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</si>
  <si>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</si>
  <si>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</si>
  <si>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</si>
  <si>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</si>
  <si>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</si>
  <si>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</si>
  <si>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</si>
  <si>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</si>
  <si>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</si>
  <si>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</si>
  <si>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</si>
  <si>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</si>
  <si>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</si>
  <si>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</si>
  <si>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</si>
  <si>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</si>
  <si>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</si>
  <si>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</si>
  <si>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</si>
  <si>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</si>
  <si>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</si>
  <si>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</si>
  <si>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</si>
  <si>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</si>
  <si>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</si>
  <si>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</si>
  <si>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</si>
  <si>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</si>
  <si>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</si>
  <si>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</si>
  <si>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</si>
  <si>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</si>
  <si>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</si>
  <si>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</si>
  <si>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</si>
  <si>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</si>
  <si>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</si>
  <si>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</si>
  <si>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</si>
  <si>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</si>
  <si>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</si>
  <si>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</si>
  <si>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</si>
  <si>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</si>
  <si>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</si>
  <si>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</si>
  <si>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</si>
  <si>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</si>
  <si>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</si>
  <si>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</si>
  <si>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</si>
  <si>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</si>
  <si>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</si>
  <si>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</si>
  <si>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</si>
  <si>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</si>
  <si>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</si>
  <si>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</si>
  <si>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</si>
  <si>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</si>
  <si>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</si>
  <si>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</si>
  <si>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</si>
  <si>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</si>
  <si>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</si>
  <si>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</si>
  <si>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</si>
  <si>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</si>
  <si>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</si>
  <si>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</si>
  <si>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</si>
  <si>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</si>
  <si>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</si>
  <si>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</si>
  <si>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</si>
  <si>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</si>
  <si>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</si>
  <si>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</si>
  <si>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</si>
  <si>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</si>
  <si>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</si>
  <si>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</si>
  <si>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</si>
  <si>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</si>
  <si>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</si>
  <si>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</si>
  <si>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</si>
  <si>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</si>
  <si>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</si>
  <si>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</si>
  <si>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</si>
  <si>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</si>
  <si>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</si>
  <si>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</si>
  <si>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</si>
  <si>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</si>
  <si>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</si>
  <si>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</si>
  <si>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</si>
  <si>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</si>
  <si>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</si>
  <si>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</si>
  <si>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</si>
  <si>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</si>
  <si>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</si>
  <si>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</si>
  <si>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</si>
  <si>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</si>
  <si>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</si>
  <si>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</si>
  <si>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</si>
  <si>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</si>
  <si>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</si>
  <si>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</si>
  <si>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</si>
  <si>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</si>
  <si>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</si>
  <si>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</si>
  <si>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</si>
  <si>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</si>
  <si>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</si>
  <si>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</si>
  <si>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</si>
  <si>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</si>
  <si>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</si>
  <si>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</si>
  <si>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</si>
  <si>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</si>
  <si>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</si>
  <si>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</si>
  <si>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</si>
  <si>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</si>
  <si>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</si>
  <si>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</si>
  <si>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</si>
  <si>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</si>
  <si>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</si>
  <si>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</si>
  <si>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</si>
  <si>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</si>
  <si>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</si>
  <si>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</si>
  <si>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</si>
  <si>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</si>
  <si>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</si>
  <si>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</si>
  <si>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</si>
  <si>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</si>
  <si>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</si>
  <si>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</si>
  <si>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</si>
  <si>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</si>
  <si>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</si>
  <si>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</si>
  <si>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</si>
  <si>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</si>
  <si>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</si>
  <si>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</si>
  <si>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</si>
  <si>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</si>
  <si>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</si>
  <si>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</si>
  <si>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</si>
  <si>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</si>
  <si>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</si>
  <si>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</si>
  <si>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</si>
  <si>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</si>
  <si>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</si>
  <si>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</si>
  <si>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</si>
  <si>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</si>
  <si>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</si>
  <si>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</si>
  <si>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</si>
  <si>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</si>
  <si>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</si>
  <si>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</si>
  <si>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</si>
  <si>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</si>
  <si>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</si>
  <si>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</si>
  <si>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</si>
  <si>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</si>
  <si>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</si>
  <si>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</si>
  <si>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</si>
  <si>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</si>
  <si>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</si>
  <si>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</si>
  <si>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</si>
  <si>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</si>
  <si>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</si>
  <si>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</si>
  <si>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</si>
  <si>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</si>
  <si>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</si>
  <si>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</si>
  <si>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</si>
  <si>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</si>
  <si>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</si>
  <si>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</si>
  <si>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</si>
  <si>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</si>
  <si>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</si>
  <si>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</si>
  <si>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</si>
  <si>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</si>
  <si>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</si>
  <si>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</si>
  <si>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</si>
  <si>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</si>
  <si>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</si>
  <si>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</si>
  <si>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</si>
  <si>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</si>
  <si>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</si>
  <si>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</si>
  <si>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</si>
  <si>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</si>
  <si>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</si>
  <si>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</si>
  <si>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</si>
  <si>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</si>
  <si>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</si>
  <si>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</si>
  <si>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</si>
  <si>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</si>
  <si>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</si>
  <si>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</si>
  <si>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</si>
  <si>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</si>
  <si>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</si>
  <si>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</si>
  <si>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</si>
  <si>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</si>
  <si>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</si>
  <si>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</si>
  <si>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</si>
  <si>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</si>
  <si>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</si>
  <si>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</si>
  <si>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</si>
  <si>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</si>
  <si>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</si>
  <si>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</si>
  <si>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</si>
  <si>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</si>
  <si>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</si>
  <si>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</si>
  <si>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</si>
  <si>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</si>
  <si>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</si>
  <si>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</si>
  <si>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</si>
  <si>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</si>
  <si>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</si>
  <si>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</si>
  <si>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</si>
  <si>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</si>
  <si>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</si>
  <si>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</si>
  <si>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</si>
  <si>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</si>
  <si>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</si>
  <si>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</si>
  <si>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</si>
  <si>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</si>
  <si>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</si>
  <si>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</si>
  <si>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</si>
  <si>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</si>
  <si>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</si>
  <si>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</si>
  <si>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</si>
  <si>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</si>
  <si>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</si>
  <si>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</si>
  <si>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</si>
  <si>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</si>
  <si>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</si>
  <si>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</si>
  <si>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</si>
  <si>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</si>
  <si>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</si>
  <si>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</si>
  <si>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</si>
  <si>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</si>
  <si>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</si>
  <si>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</si>
  <si>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</si>
  <si>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</si>
  <si>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</si>
  <si>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</si>
  <si>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18003R4620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</si>
  <si>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</si>
  <si>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1200343600</t>
  </si>
  <si>
    <t xml:space="preserve">Разработка документации по планировке территории </t>
  </si>
  <si>
    <t>2600143800</t>
  </si>
  <si>
    <t>2600100000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</si>
  <si>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</si>
  <si>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610</t>
  </si>
  <si>
    <t>Субсидии бюджетным учреждениям</t>
  </si>
  <si>
    <t>Исполнение судебных актов</t>
  </si>
  <si>
    <t>7001221106</t>
  </si>
  <si>
    <t>7001321107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</si>
  <si>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</si>
  <si>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Реконструкция жилищного фонда</t>
  </si>
  <si>
    <t>1300823300</t>
  </si>
  <si>
    <t>Другие вопросы в области образования</t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</si>
  <si>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</si>
  <si>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</si>
  <si>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2900100000</t>
  </si>
  <si>
    <t>0700148700</t>
  </si>
  <si>
    <t>Организация и проведение военно-спортивных игр, военно-спортивных мероприятий</t>
  </si>
  <si>
    <t>0700100000</t>
  </si>
  <si>
    <t>1200123110</t>
  </si>
  <si>
    <t>Внесение изменений в Генеральные планы и правила землепользования и застройки Махнёвского МО</t>
  </si>
  <si>
    <t>830</t>
  </si>
  <si>
    <t xml:space="preserve"> Исполнение судебных актов
</t>
  </si>
  <si>
    <t xml:space="preserve">Исполнительский сбор по Постановленниям  УФССП по Свердловской области </t>
  </si>
  <si>
    <t>7001421108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</si>
  <si>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</si>
  <si>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</si>
  <si>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</si>
  <si>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</si>
  <si>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</si>
  <si>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</si>
  <si>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</si>
  <si>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2019 год </t>
  </si>
  <si>
    <t>20001L5670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</si>
  <si>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</si>
  <si>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</si>
  <si>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</si>
  <si>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</si>
  <si>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 xml:space="preserve">Уплата налогов, сборов и иных платежей
</t>
  </si>
  <si>
    <t>0700340700</t>
  </si>
  <si>
    <t>Приобретение беговой дорожки и детской футбольной формы</t>
  </si>
  <si>
    <t>Исполнение муниципальных гарантий</t>
  </si>
  <si>
    <t>7001540500</t>
  </si>
  <si>
    <t>Предоставление муниципальных гарантий             (стимулирование МО)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</si>
  <si>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</si>
  <si>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</si>
  <si>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</si>
  <si>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</si>
  <si>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</si>
  <si>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</si>
  <si>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</si>
  <si>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</si>
  <si>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</si>
  <si>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</si>
  <si>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</si>
  <si>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</si>
  <si>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</si>
  <si>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</si>
  <si>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</si>
  <si>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</si>
  <si>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</si>
  <si>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</si>
  <si>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</si>
  <si>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</si>
  <si>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</si>
  <si>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</si>
  <si>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</si>
  <si>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</si>
  <si>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1700246500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</si>
  <si>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</si>
  <si>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1700346500</t>
  </si>
  <si>
    <t>0100740500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</si>
  <si>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</si>
  <si>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Глава Махнёвского муниципального образования                                                                А.В.Лызлов</t>
  </si>
  <si>
    <t>Осуществление обслуживания органов местного самоуправления (стимулирование МО)</t>
  </si>
  <si>
    <t>0100140500</t>
  </si>
  <si>
    <t xml:space="preserve"> от 18.12.2019   № 463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</si>
</sst>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9" fillId="0" borderId="0" xfId="0" applyFont="1" applyBorder="1" applyAlignment="1"/>
    <xf numFmtId="167" fontId="1" fillId="0" borderId="0" xfId="0" applyNumberFormat="1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166" fontId="11" fillId="7" borderId="1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>
      <alignment wrapText="1"/>
    </xf>
    <xf numFmtId="0" fontId="1" fillId="0" borderId="0" xfId="0" applyFont="1" applyBorder="1" applyAlignment="1"/>
    <xf numFmtId="0" fontId="9" fillId="0" borderId="0" xfId="0" applyFont="1" applyBorder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3" xfId="0" applyFont="1" applyBorder="1" applyAlignment="1"/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3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7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85546875" customWidth="1"/>
  </cols>
  <sheetData>
    <row r="1" spans="1:7" ht="12.75" customHeight="1">
      <c r="A1" s="33"/>
      <c r="B1" s="76"/>
      <c r="C1" s="76"/>
      <c r="D1" s="77"/>
      <c r="E1" s="103" t="s">
        <v>194</v>
      </c>
      <c r="F1" s="103"/>
      <c r="G1" s="17"/>
    </row>
    <row r="2" spans="1:7">
      <c r="A2" s="33"/>
      <c r="B2" s="77"/>
      <c r="C2" s="77"/>
      <c r="D2" s="77"/>
      <c r="E2" s="103" t="s">
        <v>34</v>
      </c>
      <c r="F2" s="103"/>
      <c r="G2" s="18"/>
    </row>
    <row r="3" spans="1:7">
      <c r="A3" s="34"/>
      <c r="B3" s="77"/>
      <c r="C3" s="77"/>
      <c r="D3" s="77"/>
      <c r="E3" s="103" t="s">
        <v>51</v>
      </c>
      <c r="F3" s="103"/>
      <c r="G3" s="18"/>
    </row>
    <row r="4" spans="1:7">
      <c r="A4" s="33"/>
      <c r="B4" s="104" t="s">
        <v>476</v>
      </c>
      <c r="C4" s="104"/>
      <c r="D4" s="104"/>
      <c r="E4" s="104"/>
      <c r="F4" s="104"/>
    </row>
    <row r="5" spans="1:7">
      <c r="A5" s="33"/>
      <c r="B5" s="33"/>
      <c r="C5" s="34"/>
      <c r="D5" s="34"/>
      <c r="E5" s="35"/>
      <c r="F5" s="74"/>
    </row>
    <row r="6" spans="1:7" ht="47.25" customHeight="1">
      <c r="A6" s="102" t="s">
        <v>432</v>
      </c>
      <c r="B6" s="102"/>
      <c r="C6" s="102"/>
      <c r="D6" s="102"/>
      <c r="E6" s="102"/>
      <c r="F6" s="102"/>
    </row>
    <row r="7" spans="1:7">
      <c r="A7" s="75"/>
      <c r="B7" s="34"/>
      <c r="C7" s="34"/>
      <c r="D7" s="34"/>
      <c r="E7" s="35"/>
      <c r="F7" s="74"/>
    </row>
    <row r="8" spans="1:7" ht="61.5" customHeight="1">
      <c r="A8" s="36" t="s">
        <v>0</v>
      </c>
      <c r="B8" s="36" t="s">
        <v>2</v>
      </c>
      <c r="C8" s="36" t="s">
        <v>3</v>
      </c>
      <c r="D8" s="36" t="s">
        <v>4</v>
      </c>
      <c r="E8" s="37" t="s">
        <v>1</v>
      </c>
      <c r="F8" s="37" t="s">
        <v>209</v>
      </c>
      <c r="G8" s="3" t="s">
        <v>38</v>
      </c>
    </row>
    <row r="9" spans="1:7" ht="15.75" customHeight="1">
      <c r="A9" s="38">
        <v>1</v>
      </c>
      <c r="B9" s="39">
        <v>100</v>
      </c>
      <c r="C9" s="40"/>
      <c r="D9" s="40"/>
      <c r="E9" s="41" t="s">
        <v>5</v>
      </c>
      <c r="F9" s="42">
        <f>SUM(F10+F14+F20+F26+F30+F41+F45+F49)</f>
        <v>58735.981</v>
      </c>
      <c r="G9" s="9" t="e">
        <f>G10+G14+G20+G30+G45+G49+#REF!</f>
        <v>#REF!</v>
      </c>
    </row>
    <row r="10" spans="1:7" ht="25.5" customHeight="1">
      <c r="A10" s="38">
        <v>2</v>
      </c>
      <c r="B10" s="39">
        <v>102</v>
      </c>
      <c r="C10" s="40"/>
      <c r="D10" s="40"/>
      <c r="E10" s="37" t="s">
        <v>53</v>
      </c>
      <c r="F10" s="42">
        <f t="shared" ref="F10:G12" si="0">F11</f>
        <v>1294.2</v>
      </c>
      <c r="G10" s="10">
        <f t="shared" si="0"/>
        <v>1452</v>
      </c>
    </row>
    <row r="11" spans="1:7" ht="12.75" customHeight="1">
      <c r="A11" s="38">
        <v>3</v>
      </c>
      <c r="B11" s="39">
        <v>102</v>
      </c>
      <c r="C11" s="40" t="s">
        <v>111</v>
      </c>
      <c r="D11" s="40"/>
      <c r="E11" s="37" t="s">
        <v>57</v>
      </c>
      <c r="F11" s="42">
        <f t="shared" si="0"/>
        <v>1294.2</v>
      </c>
      <c r="G11" s="10">
        <f t="shared" si="0"/>
        <v>1452</v>
      </c>
    </row>
    <row r="12" spans="1:7" ht="12.75" customHeight="1">
      <c r="A12" s="38">
        <v>4</v>
      </c>
      <c r="B12" s="39">
        <v>102</v>
      </c>
      <c r="C12" s="40" t="s">
        <v>109</v>
      </c>
      <c r="D12" s="40"/>
      <c r="E12" s="37" t="s">
        <v>30</v>
      </c>
      <c r="F12" s="42">
        <f t="shared" si="0"/>
        <v>1294.2</v>
      </c>
      <c r="G12" s="10">
        <f t="shared" si="0"/>
        <v>1452</v>
      </c>
    </row>
    <row r="13" spans="1:7" ht="27" customHeight="1">
      <c r="A13" s="38">
        <v>5</v>
      </c>
      <c r="B13" s="43">
        <v>102</v>
      </c>
      <c r="C13" s="44" t="s">
        <v>109</v>
      </c>
      <c r="D13" s="44" t="s">
        <v>46</v>
      </c>
      <c r="E13" s="45" t="s">
        <v>191</v>
      </c>
      <c r="F13" s="46">
        <v>1294.2</v>
      </c>
      <c r="G13" s="11">
        <v>1452</v>
      </c>
    </row>
    <row r="14" spans="1:7" ht="38.25" customHeight="1">
      <c r="A14" s="38">
        <v>6</v>
      </c>
      <c r="B14" s="39">
        <v>103</v>
      </c>
      <c r="C14" s="40"/>
      <c r="D14" s="40"/>
      <c r="E14" s="37" t="s">
        <v>27</v>
      </c>
      <c r="F14" s="42">
        <f>SUM(F16+F18)</f>
        <v>1458.537</v>
      </c>
      <c r="G14" s="10">
        <f t="shared" ref="F14:G16" si="1">G15</f>
        <v>1517</v>
      </c>
    </row>
    <row r="15" spans="1:7" ht="12.75" customHeight="1">
      <c r="A15" s="38">
        <v>7</v>
      </c>
      <c r="B15" s="47">
        <v>103</v>
      </c>
      <c r="C15" s="48" t="s">
        <v>111</v>
      </c>
      <c r="D15" s="49"/>
      <c r="E15" s="37" t="s">
        <v>57</v>
      </c>
      <c r="F15" s="42">
        <f>SUM(F16+F18)</f>
        <v>1458.537</v>
      </c>
      <c r="G15" s="10">
        <f t="shared" si="1"/>
        <v>1517</v>
      </c>
    </row>
    <row r="16" spans="1:7" ht="24.75" customHeight="1">
      <c r="A16" s="38">
        <v>8</v>
      </c>
      <c r="B16" s="47">
        <v>103</v>
      </c>
      <c r="C16" s="48" t="s">
        <v>108</v>
      </c>
      <c r="D16" s="49"/>
      <c r="E16" s="37" t="s">
        <v>107</v>
      </c>
      <c r="F16" s="42">
        <f t="shared" si="1"/>
        <v>795.61200000000008</v>
      </c>
      <c r="G16" s="10">
        <f t="shared" si="1"/>
        <v>1517</v>
      </c>
    </row>
    <row r="17" spans="1:9" ht="22.5" customHeight="1">
      <c r="A17" s="38">
        <v>9</v>
      </c>
      <c r="B17" s="50">
        <v>103</v>
      </c>
      <c r="C17" s="51" t="s">
        <v>108</v>
      </c>
      <c r="D17" s="44" t="s">
        <v>46</v>
      </c>
      <c r="E17" s="45" t="s">
        <v>191</v>
      </c>
      <c r="F17" s="46">
        <f>693.1+102.512</f>
        <v>795.61200000000008</v>
      </c>
      <c r="G17" s="11">
        <v>1517</v>
      </c>
    </row>
    <row r="18" spans="1:9" ht="28.5" customHeight="1">
      <c r="A18" s="38">
        <v>10</v>
      </c>
      <c r="B18" s="50">
        <v>103</v>
      </c>
      <c r="C18" s="48" t="s">
        <v>110</v>
      </c>
      <c r="D18" s="44"/>
      <c r="E18" s="37" t="s">
        <v>58</v>
      </c>
      <c r="F18" s="42">
        <f>SUM(F19)</f>
        <v>662.92499999999995</v>
      </c>
      <c r="G18" s="11"/>
    </row>
    <row r="19" spans="1:9" ht="25.5" customHeight="1">
      <c r="A19" s="38">
        <v>11</v>
      </c>
      <c r="B19" s="50">
        <v>103</v>
      </c>
      <c r="C19" s="51" t="s">
        <v>110</v>
      </c>
      <c r="D19" s="44" t="s">
        <v>46</v>
      </c>
      <c r="E19" s="45" t="s">
        <v>191</v>
      </c>
      <c r="F19" s="46">
        <f>777.2-11.763-102.512</f>
        <v>662.92499999999995</v>
      </c>
      <c r="G19" s="11"/>
    </row>
    <row r="20" spans="1:9" ht="44.25" customHeight="1">
      <c r="A20" s="38">
        <v>12</v>
      </c>
      <c r="B20" s="39">
        <v>104</v>
      </c>
      <c r="C20" s="40"/>
      <c r="D20" s="40"/>
      <c r="E20" s="37" t="s">
        <v>32</v>
      </c>
      <c r="F20" s="42">
        <f>F21</f>
        <v>15873.039000000001</v>
      </c>
      <c r="G20" s="10" t="e">
        <f>G21</f>
        <v>#REF!</v>
      </c>
    </row>
    <row r="21" spans="1:9" ht="12.75" customHeight="1">
      <c r="A21" s="38">
        <v>13</v>
      </c>
      <c r="B21" s="39">
        <v>104</v>
      </c>
      <c r="C21" s="40" t="s">
        <v>111</v>
      </c>
      <c r="D21" s="40"/>
      <c r="E21" s="37" t="s">
        <v>57</v>
      </c>
      <c r="F21" s="42">
        <f>SUM(F22+F24)</f>
        <v>15873.039000000001</v>
      </c>
      <c r="G21" s="10" t="e">
        <f>G22+G24+#REF!+#REF!</f>
        <v>#REF!</v>
      </c>
    </row>
    <row r="22" spans="1:9" ht="25.5" customHeight="1">
      <c r="A22" s="38">
        <v>14</v>
      </c>
      <c r="B22" s="39">
        <v>104</v>
      </c>
      <c r="C22" s="40" t="s">
        <v>110</v>
      </c>
      <c r="D22" s="40"/>
      <c r="E22" s="37" t="s">
        <v>58</v>
      </c>
      <c r="F22" s="42">
        <f>SUM(F23:F23)</f>
        <v>12225.522000000001</v>
      </c>
      <c r="G22" s="10">
        <f>G23</f>
        <v>14238</v>
      </c>
    </row>
    <row r="23" spans="1:9" ht="28.5" customHeight="1">
      <c r="A23" s="38">
        <v>15</v>
      </c>
      <c r="B23" s="43">
        <v>104</v>
      </c>
      <c r="C23" s="44" t="s">
        <v>110</v>
      </c>
      <c r="D23" s="44" t="s">
        <v>46</v>
      </c>
      <c r="E23" s="45" t="s">
        <v>191</v>
      </c>
      <c r="F23" s="46">
        <f>12188.022+37.5</f>
        <v>12225.522000000001</v>
      </c>
      <c r="G23" s="11">
        <v>14238</v>
      </c>
      <c r="H23" s="25"/>
    </row>
    <row r="24" spans="1:9" ht="27.75" customHeight="1">
      <c r="A24" s="38">
        <v>17</v>
      </c>
      <c r="B24" s="39">
        <v>104</v>
      </c>
      <c r="C24" s="40" t="s">
        <v>112</v>
      </c>
      <c r="D24" s="40"/>
      <c r="E24" s="37" t="s">
        <v>61</v>
      </c>
      <c r="F24" s="42">
        <f>SUM(F25)</f>
        <v>3647.5169999999998</v>
      </c>
      <c r="G24" s="10">
        <f>G25</f>
        <v>9260</v>
      </c>
    </row>
    <row r="25" spans="1:9" ht="18.75" customHeight="1">
      <c r="A25" s="38">
        <v>18</v>
      </c>
      <c r="B25" s="43">
        <v>104</v>
      </c>
      <c r="C25" s="44" t="s">
        <v>112</v>
      </c>
      <c r="D25" s="44" t="s">
        <v>46</v>
      </c>
      <c r="E25" s="45" t="s">
        <v>191</v>
      </c>
      <c r="F25" s="46">
        <f>3515.951-164.096+13.66+12.3+54.576+76.834+83.2+32.622-20.24-38.465+38.465+20.9-3.121+13.894+0.503+10.534</f>
        <v>3647.5169999999998</v>
      </c>
      <c r="G25" s="11">
        <v>9260</v>
      </c>
    </row>
    <row r="26" spans="1:9" ht="18.75" customHeight="1">
      <c r="A26" s="38">
        <v>19</v>
      </c>
      <c r="B26" s="39">
        <v>105</v>
      </c>
      <c r="C26" s="40"/>
      <c r="D26" s="40"/>
      <c r="E26" s="37" t="s">
        <v>259</v>
      </c>
      <c r="F26" s="42">
        <f>SUM(F27)</f>
        <v>0.8</v>
      </c>
      <c r="G26" s="11"/>
    </row>
    <row r="27" spans="1:9" ht="18.75" customHeight="1">
      <c r="A27" s="38">
        <v>20</v>
      </c>
      <c r="B27" s="39">
        <v>105</v>
      </c>
      <c r="C27" s="40" t="s">
        <v>111</v>
      </c>
      <c r="D27" s="40"/>
      <c r="E27" s="37" t="s">
        <v>57</v>
      </c>
      <c r="F27" s="42">
        <f>SUM(F28)</f>
        <v>0.8</v>
      </c>
      <c r="G27" s="11"/>
    </row>
    <row r="28" spans="1:9" ht="84.75" customHeight="1">
      <c r="A28" s="38">
        <v>21</v>
      </c>
      <c r="B28" s="39">
        <v>105</v>
      </c>
      <c r="C28" s="40" t="s">
        <v>224</v>
      </c>
      <c r="D28" s="40"/>
      <c r="E28" s="52" t="s">
        <v>268</v>
      </c>
      <c r="F28" s="42">
        <f>SUM(F29)</f>
        <v>0.8</v>
      </c>
      <c r="G28" s="11"/>
      <c r="H28" s="5"/>
      <c r="I28" s="5"/>
    </row>
    <row r="29" spans="1:9" ht="30.75" customHeight="1">
      <c r="A29" s="38">
        <v>22</v>
      </c>
      <c r="B29" s="43">
        <v>105</v>
      </c>
      <c r="C29" s="44" t="s">
        <v>224</v>
      </c>
      <c r="D29" s="44" t="s">
        <v>60</v>
      </c>
      <c r="E29" s="45" t="s">
        <v>190</v>
      </c>
      <c r="F29" s="46">
        <v>0.8</v>
      </c>
      <c r="G29" s="11"/>
      <c r="H29" s="25"/>
    </row>
    <row r="30" spans="1:9" ht="39" customHeight="1">
      <c r="A30" s="38">
        <v>23</v>
      </c>
      <c r="B30" s="39">
        <v>106</v>
      </c>
      <c r="C30" s="40"/>
      <c r="D30" s="40"/>
      <c r="E30" s="37" t="s">
        <v>428</v>
      </c>
      <c r="F30" s="42">
        <f>F31+F36</f>
        <v>3597.2609999999995</v>
      </c>
      <c r="G30" s="10" t="e">
        <f>G31+#REF!</f>
        <v>#REF!</v>
      </c>
    </row>
    <row r="31" spans="1:9" ht="39.75" customHeight="1">
      <c r="A31" s="38">
        <v>24</v>
      </c>
      <c r="B31" s="39">
        <v>106</v>
      </c>
      <c r="C31" s="40" t="s">
        <v>179</v>
      </c>
      <c r="D31" s="40"/>
      <c r="E31" s="37" t="s">
        <v>282</v>
      </c>
      <c r="F31" s="42">
        <f>F32</f>
        <v>2380.6989999999996</v>
      </c>
      <c r="G31" s="10" t="e">
        <f>G33+G37</f>
        <v>#REF!</v>
      </c>
    </row>
    <row r="32" spans="1:9" ht="39.75" customHeight="1">
      <c r="A32" s="38">
        <v>25</v>
      </c>
      <c r="B32" s="39">
        <v>106</v>
      </c>
      <c r="C32" s="40" t="s">
        <v>114</v>
      </c>
      <c r="D32" s="40"/>
      <c r="E32" s="53" t="s">
        <v>380</v>
      </c>
      <c r="F32" s="42">
        <f>SUM(F33)</f>
        <v>2380.6989999999996</v>
      </c>
      <c r="G32" s="10"/>
    </row>
    <row r="33" spans="1:7" ht="27" customHeight="1">
      <c r="A33" s="38">
        <v>26</v>
      </c>
      <c r="B33" s="39">
        <v>106</v>
      </c>
      <c r="C33" s="40" t="s">
        <v>113</v>
      </c>
      <c r="D33" s="40"/>
      <c r="E33" s="37" t="s">
        <v>59</v>
      </c>
      <c r="F33" s="42">
        <f>SUM(F34:F35)</f>
        <v>2380.6989999999996</v>
      </c>
      <c r="G33" s="10" t="e">
        <f>G34+#REF!</f>
        <v>#REF!</v>
      </c>
    </row>
    <row r="34" spans="1:7" ht="12.75" customHeight="1">
      <c r="A34" s="38">
        <v>27</v>
      </c>
      <c r="B34" s="43">
        <v>106</v>
      </c>
      <c r="C34" s="44" t="s">
        <v>113</v>
      </c>
      <c r="D34" s="44" t="s">
        <v>46</v>
      </c>
      <c r="E34" s="45" t="s">
        <v>191</v>
      </c>
      <c r="F34" s="46">
        <f>2303.011-13.882-13.66-68.916-1.646</f>
        <v>2204.9069999999997</v>
      </c>
      <c r="G34" s="11">
        <v>809</v>
      </c>
    </row>
    <row r="35" spans="1:7" ht="29.25" customHeight="1">
      <c r="A35" s="38">
        <v>28</v>
      </c>
      <c r="B35" s="43">
        <v>106</v>
      </c>
      <c r="C35" s="44" t="s">
        <v>113</v>
      </c>
      <c r="D35" s="44" t="s">
        <v>60</v>
      </c>
      <c r="E35" s="45" t="s">
        <v>190</v>
      </c>
      <c r="F35" s="46">
        <f>128.41+37+10.382</f>
        <v>175.792</v>
      </c>
      <c r="G35" s="11"/>
    </row>
    <row r="36" spans="1:7" s="5" customFormat="1" ht="16.5" customHeight="1">
      <c r="A36" s="38">
        <v>29</v>
      </c>
      <c r="B36" s="39">
        <v>106</v>
      </c>
      <c r="C36" s="40" t="s">
        <v>111</v>
      </c>
      <c r="D36" s="40"/>
      <c r="E36" s="37" t="s">
        <v>57</v>
      </c>
      <c r="F36" s="42">
        <f>SUM(F37+F39)</f>
        <v>1216.5619999999999</v>
      </c>
      <c r="G36" s="10"/>
    </row>
    <row r="37" spans="1:7" ht="25.5" customHeight="1">
      <c r="A37" s="38">
        <v>30</v>
      </c>
      <c r="B37" s="39">
        <v>106</v>
      </c>
      <c r="C37" s="40" t="s">
        <v>110</v>
      </c>
      <c r="D37" s="40"/>
      <c r="E37" s="37" t="s">
        <v>58</v>
      </c>
      <c r="F37" s="42">
        <f>SUM(F38)</f>
        <v>531.83000000000004</v>
      </c>
      <c r="G37" s="10">
        <f>G38</f>
        <v>847</v>
      </c>
    </row>
    <row r="38" spans="1:7" ht="12.75" customHeight="1">
      <c r="A38" s="38">
        <v>31</v>
      </c>
      <c r="B38" s="43">
        <v>106</v>
      </c>
      <c r="C38" s="44" t="s">
        <v>110</v>
      </c>
      <c r="D38" s="44" t="s">
        <v>46</v>
      </c>
      <c r="E38" s="45" t="s">
        <v>191</v>
      </c>
      <c r="F38" s="46">
        <f>794.7-54.576-2.118-111.232-78.9-16.044</f>
        <v>531.83000000000004</v>
      </c>
      <c r="G38" s="11">
        <v>847</v>
      </c>
    </row>
    <row r="39" spans="1:7" ht="29.25" customHeight="1">
      <c r="A39" s="38">
        <v>32</v>
      </c>
      <c r="B39" s="39">
        <v>106</v>
      </c>
      <c r="C39" s="40" t="s">
        <v>115</v>
      </c>
      <c r="D39" s="40"/>
      <c r="E39" s="37" t="s">
        <v>28</v>
      </c>
      <c r="F39" s="42">
        <f>SUM(F40)</f>
        <v>684.73199999999997</v>
      </c>
      <c r="G39" s="11"/>
    </row>
    <row r="40" spans="1:7" ht="29.25" customHeight="1">
      <c r="A40" s="38">
        <v>33</v>
      </c>
      <c r="B40" s="43">
        <v>106</v>
      </c>
      <c r="C40" s="44" t="s">
        <v>115</v>
      </c>
      <c r="D40" s="44" t="s">
        <v>46</v>
      </c>
      <c r="E40" s="45" t="s">
        <v>191</v>
      </c>
      <c r="F40" s="46">
        <f>573.5+111.232</f>
        <v>684.73199999999997</v>
      </c>
      <c r="G40" s="11"/>
    </row>
    <row r="41" spans="1:7" ht="16.5" customHeight="1">
      <c r="A41" s="38">
        <v>34</v>
      </c>
      <c r="B41" s="39">
        <v>107</v>
      </c>
      <c r="C41" s="40"/>
      <c r="D41" s="40"/>
      <c r="E41" s="37" t="s">
        <v>425</v>
      </c>
      <c r="F41" s="42">
        <f>SUM(F42)</f>
        <v>1027.2940000000001</v>
      </c>
      <c r="G41" s="11"/>
    </row>
    <row r="42" spans="1:7" ht="12.75" customHeight="1">
      <c r="A42" s="38">
        <v>35</v>
      </c>
      <c r="B42" s="39">
        <v>107</v>
      </c>
      <c r="C42" s="40" t="s">
        <v>111</v>
      </c>
      <c r="D42" s="40"/>
      <c r="E42" s="37" t="s">
        <v>57</v>
      </c>
      <c r="F42" s="42">
        <f>SUM(F43)</f>
        <v>1027.2940000000001</v>
      </c>
      <c r="G42" s="11"/>
    </row>
    <row r="43" spans="1:7" ht="14.25" customHeight="1">
      <c r="A43" s="38">
        <v>36</v>
      </c>
      <c r="B43" s="39">
        <v>107</v>
      </c>
      <c r="C43" s="40" t="s">
        <v>426</v>
      </c>
      <c r="D43" s="40"/>
      <c r="E43" s="37" t="s">
        <v>427</v>
      </c>
      <c r="F43" s="42">
        <f>SUM(F44)</f>
        <v>1027.2940000000001</v>
      </c>
      <c r="G43" s="11"/>
    </row>
    <row r="44" spans="1:7" ht="27" customHeight="1">
      <c r="A44" s="38">
        <v>37</v>
      </c>
      <c r="B44" s="43">
        <v>107</v>
      </c>
      <c r="C44" s="44" t="s">
        <v>426</v>
      </c>
      <c r="D44" s="44" t="s">
        <v>60</v>
      </c>
      <c r="E44" s="45" t="s">
        <v>190</v>
      </c>
      <c r="F44" s="46">
        <v>1027.2940000000001</v>
      </c>
      <c r="G44" s="11"/>
    </row>
    <row r="45" spans="1:7" ht="12.75" customHeight="1">
      <c r="A45" s="38">
        <v>38</v>
      </c>
      <c r="B45" s="39">
        <v>111</v>
      </c>
      <c r="C45" s="40"/>
      <c r="D45" s="40"/>
      <c r="E45" s="37" t="s">
        <v>7</v>
      </c>
      <c r="F45" s="42">
        <f t="shared" ref="F45:G47" si="2">F46</f>
        <v>300</v>
      </c>
      <c r="G45" s="10">
        <f t="shared" si="2"/>
        <v>250</v>
      </c>
    </row>
    <row r="46" spans="1:7" ht="12.75" customHeight="1">
      <c r="A46" s="38">
        <v>39</v>
      </c>
      <c r="B46" s="39">
        <v>111</v>
      </c>
      <c r="C46" s="40" t="s">
        <v>111</v>
      </c>
      <c r="D46" s="40"/>
      <c r="E46" s="37" t="s">
        <v>57</v>
      </c>
      <c r="F46" s="42">
        <f t="shared" si="2"/>
        <v>300</v>
      </c>
      <c r="G46" s="10">
        <f t="shared" si="2"/>
        <v>250</v>
      </c>
    </row>
    <row r="47" spans="1:7" ht="12.75" customHeight="1">
      <c r="A47" s="38">
        <v>40</v>
      </c>
      <c r="B47" s="39">
        <v>111</v>
      </c>
      <c r="C47" s="40" t="s">
        <v>127</v>
      </c>
      <c r="D47" s="40"/>
      <c r="E47" s="37" t="s">
        <v>8</v>
      </c>
      <c r="F47" s="42">
        <f t="shared" si="2"/>
        <v>300</v>
      </c>
      <c r="G47" s="10">
        <f t="shared" si="2"/>
        <v>250</v>
      </c>
    </row>
    <row r="48" spans="1:7" ht="12.75" customHeight="1">
      <c r="A48" s="38">
        <v>41</v>
      </c>
      <c r="B48" s="43">
        <v>111</v>
      </c>
      <c r="C48" s="44" t="s">
        <v>127</v>
      </c>
      <c r="D48" s="44" t="s">
        <v>47</v>
      </c>
      <c r="E48" s="45" t="s">
        <v>48</v>
      </c>
      <c r="F48" s="46">
        <v>300</v>
      </c>
      <c r="G48" s="11">
        <v>250</v>
      </c>
    </row>
    <row r="49" spans="1:8" ht="20.25" customHeight="1">
      <c r="A49" s="38">
        <v>42</v>
      </c>
      <c r="B49" s="39">
        <v>113</v>
      </c>
      <c r="C49" s="40"/>
      <c r="D49" s="40"/>
      <c r="E49" s="37" t="s">
        <v>25</v>
      </c>
      <c r="F49" s="42">
        <f>SUM(F50+F69+F76+F81)</f>
        <v>35184.85</v>
      </c>
      <c r="G49" s="10" t="e">
        <f>#REF!+#REF!+#REF!+#REF!+#REF!+#REF!+#REF!+#REF!+#REF!+#REF!</f>
        <v>#REF!</v>
      </c>
    </row>
    <row r="50" spans="1:8" ht="38.25" customHeight="1">
      <c r="A50" s="38">
        <v>43</v>
      </c>
      <c r="B50" s="39">
        <v>113</v>
      </c>
      <c r="C50" s="40" t="s">
        <v>116</v>
      </c>
      <c r="D50" s="44"/>
      <c r="E50" s="37" t="s">
        <v>280</v>
      </c>
      <c r="F50" s="42">
        <f>SUM(F51+F55+F57+F59+F61+F67)</f>
        <v>29490.985000000001</v>
      </c>
      <c r="G50" s="10"/>
    </row>
    <row r="51" spans="1:8" ht="28.5" customHeight="1">
      <c r="A51" s="38">
        <v>44</v>
      </c>
      <c r="B51" s="39">
        <v>113</v>
      </c>
      <c r="C51" s="40" t="s">
        <v>121</v>
      </c>
      <c r="D51" s="40"/>
      <c r="E51" s="61" t="s">
        <v>63</v>
      </c>
      <c r="F51" s="42">
        <f>SUM(F52:F54)</f>
        <v>28371.501</v>
      </c>
      <c r="G51" s="10"/>
    </row>
    <row r="52" spans="1:8" s="4" customFormat="1" ht="21" customHeight="1">
      <c r="A52" s="38">
        <v>45</v>
      </c>
      <c r="B52" s="43">
        <v>113</v>
      </c>
      <c r="C52" s="44" t="s">
        <v>121</v>
      </c>
      <c r="D52" s="44" t="s">
        <v>40</v>
      </c>
      <c r="E52" s="62" t="s">
        <v>64</v>
      </c>
      <c r="F52" s="46">
        <f>14983.655-3.68</f>
        <v>14979.975</v>
      </c>
      <c r="G52" s="12"/>
    </row>
    <row r="53" spans="1:8" ht="30.75" customHeight="1">
      <c r="A53" s="38">
        <v>46</v>
      </c>
      <c r="B53" s="43">
        <v>113</v>
      </c>
      <c r="C53" s="44" t="s">
        <v>121</v>
      </c>
      <c r="D53" s="44" t="s">
        <v>60</v>
      </c>
      <c r="E53" s="45" t="s">
        <v>190</v>
      </c>
      <c r="F53" s="46">
        <f>8770.82+3667.463+279.535-5.7+233.718+365.4-83.906</f>
        <v>13227.329999999998</v>
      </c>
      <c r="G53" s="10"/>
    </row>
    <row r="54" spans="1:8" ht="18" customHeight="1">
      <c r="A54" s="38">
        <v>47</v>
      </c>
      <c r="B54" s="43">
        <v>113</v>
      </c>
      <c r="C54" s="44" t="s">
        <v>121</v>
      </c>
      <c r="D54" s="44" t="s">
        <v>186</v>
      </c>
      <c r="E54" s="62" t="s">
        <v>187</v>
      </c>
      <c r="F54" s="46">
        <f>147.096+5.7-1+12.4</f>
        <v>164.196</v>
      </c>
      <c r="G54" s="10"/>
    </row>
    <row r="55" spans="1:8" ht="32.25" customHeight="1">
      <c r="A55" s="38">
        <v>48</v>
      </c>
      <c r="B55" s="39">
        <v>113</v>
      </c>
      <c r="C55" s="40" t="s">
        <v>378</v>
      </c>
      <c r="D55" s="40"/>
      <c r="E55" s="61" t="s">
        <v>208</v>
      </c>
      <c r="F55" s="42">
        <f>SUM(F56)</f>
        <v>829.07799999999997</v>
      </c>
      <c r="G55" s="10"/>
    </row>
    <row r="56" spans="1:8" ht="28.5" customHeight="1">
      <c r="A56" s="38">
        <v>49</v>
      </c>
      <c r="B56" s="43">
        <v>113</v>
      </c>
      <c r="C56" s="44" t="s">
        <v>378</v>
      </c>
      <c r="D56" s="44" t="s">
        <v>60</v>
      </c>
      <c r="E56" s="45" t="s">
        <v>190</v>
      </c>
      <c r="F56" s="46">
        <f>730-43.722+142.8</f>
        <v>829.07799999999997</v>
      </c>
      <c r="G56" s="10"/>
      <c r="H56" s="25"/>
    </row>
    <row r="57" spans="1:8" ht="28.5" customHeight="1">
      <c r="A57" s="38">
        <v>50</v>
      </c>
      <c r="B57" s="54">
        <v>113</v>
      </c>
      <c r="C57" s="55" t="s">
        <v>475</v>
      </c>
      <c r="D57" s="55"/>
      <c r="E57" s="97" t="s">
        <v>474</v>
      </c>
      <c r="F57" s="56">
        <f>SUM(F58)</f>
        <v>83.906000000000006</v>
      </c>
      <c r="G57" s="10"/>
      <c r="H57" s="25"/>
    </row>
    <row r="58" spans="1:8" ht="28.5" customHeight="1">
      <c r="A58" s="38">
        <v>51</v>
      </c>
      <c r="B58" s="57">
        <v>113</v>
      </c>
      <c r="C58" s="58" t="s">
        <v>475</v>
      </c>
      <c r="D58" s="58" t="s">
        <v>60</v>
      </c>
      <c r="E58" s="59" t="s">
        <v>190</v>
      </c>
      <c r="F58" s="60">
        <v>83.906000000000006</v>
      </c>
      <c r="G58" s="10"/>
      <c r="H58" s="25"/>
    </row>
    <row r="59" spans="1:8" ht="32.25" customHeight="1">
      <c r="A59" s="38">
        <v>52</v>
      </c>
      <c r="B59" s="39">
        <v>113</v>
      </c>
      <c r="C59" s="40" t="s">
        <v>379</v>
      </c>
      <c r="D59" s="40"/>
      <c r="E59" s="61" t="s">
        <v>65</v>
      </c>
      <c r="F59" s="42">
        <f>F60</f>
        <v>50</v>
      </c>
      <c r="G59" s="10"/>
    </row>
    <row r="60" spans="1:8" s="4" customFormat="1" ht="28.5" customHeight="1">
      <c r="A60" s="38">
        <v>53</v>
      </c>
      <c r="B60" s="43">
        <v>113</v>
      </c>
      <c r="C60" s="44" t="s">
        <v>379</v>
      </c>
      <c r="D60" s="44" t="s">
        <v>60</v>
      </c>
      <c r="E60" s="45" t="s">
        <v>190</v>
      </c>
      <c r="F60" s="46">
        <v>50</v>
      </c>
      <c r="G60" s="12"/>
    </row>
    <row r="61" spans="1:8" s="4" customFormat="1" ht="43.5" customHeight="1">
      <c r="A61" s="38">
        <v>54</v>
      </c>
      <c r="B61" s="39">
        <v>113</v>
      </c>
      <c r="C61" s="40" t="s">
        <v>211</v>
      </c>
      <c r="D61" s="44"/>
      <c r="E61" s="61" t="s">
        <v>66</v>
      </c>
      <c r="F61" s="42">
        <f>F62+F64</f>
        <v>106.5</v>
      </c>
      <c r="G61" s="12"/>
    </row>
    <row r="62" spans="1:8" s="4" customFormat="1" ht="68.25" customHeight="1">
      <c r="A62" s="38">
        <v>55</v>
      </c>
      <c r="B62" s="39">
        <v>113</v>
      </c>
      <c r="C62" s="40" t="s">
        <v>122</v>
      </c>
      <c r="D62" s="44"/>
      <c r="E62" s="61" t="s">
        <v>67</v>
      </c>
      <c r="F62" s="42">
        <f>F63</f>
        <v>0.1</v>
      </c>
      <c r="G62" s="12"/>
    </row>
    <row r="63" spans="1:8" s="4" customFormat="1" ht="30.75" customHeight="1">
      <c r="A63" s="38">
        <v>56</v>
      </c>
      <c r="B63" s="43">
        <v>113</v>
      </c>
      <c r="C63" s="44" t="s">
        <v>122</v>
      </c>
      <c r="D63" s="44" t="s">
        <v>60</v>
      </c>
      <c r="E63" s="45" t="s">
        <v>190</v>
      </c>
      <c r="F63" s="46">
        <v>0.1</v>
      </c>
      <c r="G63" s="12"/>
    </row>
    <row r="64" spans="1:8" s="4" customFormat="1" ht="33.75" customHeight="1">
      <c r="A64" s="38">
        <v>57</v>
      </c>
      <c r="B64" s="39">
        <v>113</v>
      </c>
      <c r="C64" s="40" t="s">
        <v>123</v>
      </c>
      <c r="D64" s="44"/>
      <c r="E64" s="61" t="s">
        <v>68</v>
      </c>
      <c r="F64" s="42">
        <f>F65+F66</f>
        <v>106.4</v>
      </c>
      <c r="G64" s="12"/>
    </row>
    <row r="65" spans="1:8" s="4" customFormat="1" ht="28.5" customHeight="1">
      <c r="A65" s="38">
        <v>58</v>
      </c>
      <c r="B65" s="43">
        <v>113</v>
      </c>
      <c r="C65" s="44" t="s">
        <v>123</v>
      </c>
      <c r="D65" s="44" t="s">
        <v>46</v>
      </c>
      <c r="E65" s="45" t="s">
        <v>191</v>
      </c>
      <c r="F65" s="46">
        <f>57.2-22.8</f>
        <v>34.400000000000006</v>
      </c>
      <c r="G65" s="12"/>
    </row>
    <row r="66" spans="1:8" s="4" customFormat="1" ht="34.5" customHeight="1">
      <c r="A66" s="38">
        <v>59</v>
      </c>
      <c r="B66" s="43">
        <v>113</v>
      </c>
      <c r="C66" s="44" t="s">
        <v>123</v>
      </c>
      <c r="D66" s="44" t="s">
        <v>60</v>
      </c>
      <c r="E66" s="45" t="s">
        <v>190</v>
      </c>
      <c r="F66" s="46">
        <f>49.2+22.8</f>
        <v>72</v>
      </c>
      <c r="G66" s="12"/>
    </row>
    <row r="67" spans="1:8" s="4" customFormat="1" ht="27.75" customHeight="1">
      <c r="A67" s="38">
        <v>60</v>
      </c>
      <c r="B67" s="39">
        <v>113</v>
      </c>
      <c r="C67" s="40" t="s">
        <v>124</v>
      </c>
      <c r="D67" s="44"/>
      <c r="E67" s="61" t="s">
        <v>69</v>
      </c>
      <c r="F67" s="42">
        <f>F68</f>
        <v>50</v>
      </c>
      <c r="G67" s="12"/>
    </row>
    <row r="68" spans="1:8" s="5" customFormat="1" ht="34.5" customHeight="1">
      <c r="A68" s="38">
        <v>61</v>
      </c>
      <c r="B68" s="43">
        <v>113</v>
      </c>
      <c r="C68" s="44" t="s">
        <v>124</v>
      </c>
      <c r="D68" s="44" t="s">
        <v>60</v>
      </c>
      <c r="E68" s="45" t="s">
        <v>190</v>
      </c>
      <c r="F68" s="46">
        <v>50</v>
      </c>
      <c r="G68" s="10"/>
    </row>
    <row r="69" spans="1:8" s="4" customFormat="1" ht="40.5" customHeight="1">
      <c r="A69" s="38">
        <v>62</v>
      </c>
      <c r="B69" s="39">
        <v>113</v>
      </c>
      <c r="C69" s="40" t="s">
        <v>125</v>
      </c>
      <c r="D69" s="40"/>
      <c r="E69" s="61" t="s">
        <v>283</v>
      </c>
      <c r="F69" s="42">
        <f>F70+F73</f>
        <v>464.02499999999998</v>
      </c>
      <c r="G69" s="12"/>
    </row>
    <row r="70" spans="1:8" s="4" customFormat="1" ht="54.75" customHeight="1">
      <c r="A70" s="38">
        <v>63</v>
      </c>
      <c r="B70" s="39">
        <v>113</v>
      </c>
      <c r="C70" s="40" t="s">
        <v>126</v>
      </c>
      <c r="D70" s="40"/>
      <c r="E70" s="61" t="s">
        <v>384</v>
      </c>
      <c r="F70" s="42">
        <f>SUM(F71:F72)</f>
        <v>386.21999999999997</v>
      </c>
      <c r="G70" s="12"/>
    </row>
    <row r="71" spans="1:8" s="4" customFormat="1" ht="24.75" customHeight="1">
      <c r="A71" s="91">
        <v>64</v>
      </c>
      <c r="B71" s="43">
        <v>113</v>
      </c>
      <c r="C71" s="44" t="s">
        <v>126</v>
      </c>
      <c r="D71" s="44" t="s">
        <v>46</v>
      </c>
      <c r="E71" s="45" t="s">
        <v>191</v>
      </c>
      <c r="F71" s="46">
        <f>132.9-0.3-12.3-5.8-4.3-5-1.4-4.11+0.3+1.285</f>
        <v>101.27499999999999</v>
      </c>
      <c r="G71" s="12"/>
      <c r="H71" s="25" t="s">
        <v>295</v>
      </c>
    </row>
    <row r="72" spans="1:8" s="4" customFormat="1" ht="24.75" customHeight="1">
      <c r="A72" s="91">
        <v>65</v>
      </c>
      <c r="B72" s="43">
        <v>113</v>
      </c>
      <c r="C72" s="44" t="s">
        <v>126</v>
      </c>
      <c r="D72" s="44" t="s">
        <v>60</v>
      </c>
      <c r="E72" s="45" t="s">
        <v>190</v>
      </c>
      <c r="F72" s="46">
        <f>219.84+65.105</f>
        <v>284.94499999999999</v>
      </c>
      <c r="G72" s="12"/>
      <c r="H72" s="25" t="s">
        <v>296</v>
      </c>
    </row>
    <row r="73" spans="1:8" s="4" customFormat="1" ht="57" customHeight="1">
      <c r="A73" s="91">
        <v>66</v>
      </c>
      <c r="B73" s="82">
        <v>113</v>
      </c>
      <c r="C73" s="83" t="s">
        <v>454</v>
      </c>
      <c r="D73" s="83"/>
      <c r="E73" s="90" t="s">
        <v>453</v>
      </c>
      <c r="F73" s="85">
        <f>SUM(F74:F75)</f>
        <v>77.805000000000007</v>
      </c>
      <c r="G73" s="12"/>
      <c r="H73" s="25"/>
    </row>
    <row r="74" spans="1:8" s="4" customFormat="1" ht="30.75" customHeight="1">
      <c r="A74" s="38">
        <v>67</v>
      </c>
      <c r="B74" s="86">
        <v>113</v>
      </c>
      <c r="C74" s="87" t="s">
        <v>454</v>
      </c>
      <c r="D74" s="87" t="s">
        <v>46</v>
      </c>
      <c r="E74" s="88" t="s">
        <v>191</v>
      </c>
      <c r="F74" s="89">
        <f>68.853+5.452</f>
        <v>74.304999999999993</v>
      </c>
      <c r="G74" s="12"/>
      <c r="H74" s="25"/>
    </row>
    <row r="75" spans="1:8" s="4" customFormat="1" ht="34.5" customHeight="1">
      <c r="A75" s="38">
        <v>68</v>
      </c>
      <c r="B75" s="86">
        <v>113</v>
      </c>
      <c r="C75" s="87" t="s">
        <v>454</v>
      </c>
      <c r="D75" s="87" t="s">
        <v>60</v>
      </c>
      <c r="E75" s="88" t="s">
        <v>190</v>
      </c>
      <c r="F75" s="89">
        <f>87.93-5.452-78.978</f>
        <v>3.5000000000000142</v>
      </c>
      <c r="G75" s="12"/>
      <c r="H75" s="25"/>
    </row>
    <row r="76" spans="1:8" s="4" customFormat="1" ht="37.5" customHeight="1">
      <c r="A76" s="38">
        <v>69</v>
      </c>
      <c r="B76" s="39">
        <v>113</v>
      </c>
      <c r="C76" s="40" t="s">
        <v>179</v>
      </c>
      <c r="D76" s="44"/>
      <c r="E76" s="37" t="s">
        <v>282</v>
      </c>
      <c r="F76" s="42">
        <f>SUM(F77)</f>
        <v>32.78</v>
      </c>
      <c r="G76" s="12"/>
      <c r="H76" s="25"/>
    </row>
    <row r="77" spans="1:8" s="4" customFormat="1" ht="44.25" customHeight="1">
      <c r="A77" s="38">
        <v>70</v>
      </c>
      <c r="B77" s="39">
        <v>113</v>
      </c>
      <c r="C77" s="40" t="s">
        <v>114</v>
      </c>
      <c r="D77" s="44"/>
      <c r="E77" s="53" t="s">
        <v>380</v>
      </c>
      <c r="F77" s="42">
        <f>SUM(F78)</f>
        <v>32.78</v>
      </c>
      <c r="G77" s="12"/>
      <c r="H77" s="25"/>
    </row>
    <row r="78" spans="1:8" s="4" customFormat="1" ht="27.75" customHeight="1">
      <c r="A78" s="38">
        <v>71</v>
      </c>
      <c r="B78" s="39">
        <v>113</v>
      </c>
      <c r="C78" s="40" t="s">
        <v>113</v>
      </c>
      <c r="D78" s="44"/>
      <c r="E78" s="37" t="s">
        <v>59</v>
      </c>
      <c r="F78" s="42">
        <f>SUM(F79:F80)</f>
        <v>32.78</v>
      </c>
      <c r="G78" s="12"/>
      <c r="H78" s="25"/>
    </row>
    <row r="79" spans="1:8" s="4" customFormat="1" ht="27.75" customHeight="1">
      <c r="A79" s="38">
        <v>72</v>
      </c>
      <c r="B79" s="43">
        <v>113</v>
      </c>
      <c r="C79" s="44" t="s">
        <v>113</v>
      </c>
      <c r="D79" s="44" t="s">
        <v>46</v>
      </c>
      <c r="E79" s="45" t="s">
        <v>191</v>
      </c>
      <c r="F79" s="46">
        <f>29.43-28.15</f>
        <v>1.2800000000000011</v>
      </c>
      <c r="G79" s="12"/>
      <c r="H79" s="25"/>
    </row>
    <row r="80" spans="1:8" s="4" customFormat="1" ht="24.75" customHeight="1">
      <c r="A80" s="38">
        <v>73</v>
      </c>
      <c r="B80" s="43">
        <v>113</v>
      </c>
      <c r="C80" s="44" t="s">
        <v>113</v>
      </c>
      <c r="D80" s="44" t="s">
        <v>60</v>
      </c>
      <c r="E80" s="45" t="s">
        <v>190</v>
      </c>
      <c r="F80" s="46">
        <f>81.2-53.2+3.5</f>
        <v>31.5</v>
      </c>
      <c r="G80" s="12"/>
      <c r="H80" s="25"/>
    </row>
    <row r="81" spans="1:10" s="4" customFormat="1" ht="18.75" customHeight="1">
      <c r="A81" s="38">
        <v>74</v>
      </c>
      <c r="B81" s="39">
        <v>113</v>
      </c>
      <c r="C81" s="40" t="s">
        <v>111</v>
      </c>
      <c r="D81" s="44"/>
      <c r="E81" s="37" t="s">
        <v>57</v>
      </c>
      <c r="F81" s="42">
        <f>SUM(F82+F85+F87+F90+F92+F94)</f>
        <v>5197.0599999999995</v>
      </c>
      <c r="G81" s="12"/>
    </row>
    <row r="82" spans="1:10" s="4" customFormat="1" ht="30" customHeight="1">
      <c r="A82" s="38">
        <v>75</v>
      </c>
      <c r="B82" s="39">
        <v>113</v>
      </c>
      <c r="C82" s="40" t="s">
        <v>110</v>
      </c>
      <c r="D82" s="40"/>
      <c r="E82" s="37" t="s">
        <v>58</v>
      </c>
      <c r="F82" s="42">
        <f>SUM(F83:F84)</f>
        <v>18.259999999999998</v>
      </c>
      <c r="G82" s="12"/>
    </row>
    <row r="83" spans="1:10" s="4" customFormat="1" ht="27.75" customHeight="1">
      <c r="A83" s="38">
        <v>76</v>
      </c>
      <c r="B83" s="43">
        <v>113</v>
      </c>
      <c r="C83" s="44" t="s">
        <v>110</v>
      </c>
      <c r="D83" s="44" t="s">
        <v>46</v>
      </c>
      <c r="E83" s="45" t="s">
        <v>191</v>
      </c>
      <c r="F83" s="46">
        <f>3+4.76</f>
        <v>7.76</v>
      </c>
      <c r="G83" s="12"/>
      <c r="H83" s="25" t="s">
        <v>297</v>
      </c>
    </row>
    <row r="84" spans="1:10" s="4" customFormat="1" ht="27.75" customHeight="1">
      <c r="A84" s="38">
        <v>77</v>
      </c>
      <c r="B84" s="43">
        <v>113</v>
      </c>
      <c r="C84" s="44" t="s">
        <v>110</v>
      </c>
      <c r="D84" s="44" t="s">
        <v>60</v>
      </c>
      <c r="E84" s="45" t="s">
        <v>190</v>
      </c>
      <c r="F84" s="46">
        <v>10.5</v>
      </c>
      <c r="G84" s="12"/>
      <c r="H84" s="25"/>
    </row>
    <row r="85" spans="1:10" s="4" customFormat="1" ht="25.5" customHeight="1">
      <c r="A85" s="38">
        <v>78</v>
      </c>
      <c r="B85" s="39">
        <v>113</v>
      </c>
      <c r="C85" s="40" t="s">
        <v>377</v>
      </c>
      <c r="D85" s="40"/>
      <c r="E85" s="63" t="s">
        <v>189</v>
      </c>
      <c r="F85" s="42">
        <f>SUM(F86)</f>
        <v>14.4</v>
      </c>
      <c r="G85" s="21"/>
      <c r="H85" s="22"/>
      <c r="I85" s="22"/>
      <c r="J85" s="22"/>
    </row>
    <row r="86" spans="1:10" s="4" customFormat="1" ht="29.25" customHeight="1">
      <c r="A86" s="38">
        <v>79</v>
      </c>
      <c r="B86" s="43">
        <v>113</v>
      </c>
      <c r="C86" s="44" t="s">
        <v>377</v>
      </c>
      <c r="D86" s="44" t="s">
        <v>46</v>
      </c>
      <c r="E86" s="45" t="s">
        <v>191</v>
      </c>
      <c r="F86" s="64">
        <f>28.8-14.4</f>
        <v>14.4</v>
      </c>
      <c r="G86" s="21"/>
      <c r="H86" s="22"/>
      <c r="I86" s="22"/>
      <c r="J86" s="22"/>
    </row>
    <row r="87" spans="1:10" s="4" customFormat="1" ht="18" customHeight="1">
      <c r="A87" s="38">
        <v>80</v>
      </c>
      <c r="B87" s="39">
        <v>113</v>
      </c>
      <c r="C87" s="40" t="s">
        <v>407</v>
      </c>
      <c r="D87" s="40"/>
      <c r="E87" s="37" t="s">
        <v>406</v>
      </c>
      <c r="F87" s="65">
        <f>SUM(F88:F89)</f>
        <v>933.4</v>
      </c>
      <c r="G87" s="21"/>
      <c r="H87" s="22"/>
      <c r="I87" s="22"/>
      <c r="J87" s="22"/>
    </row>
    <row r="88" spans="1:10" s="4" customFormat="1" ht="14.25" customHeight="1">
      <c r="A88" s="38">
        <v>81</v>
      </c>
      <c r="B88" s="43">
        <v>113</v>
      </c>
      <c r="C88" s="44" t="s">
        <v>407</v>
      </c>
      <c r="D88" s="44" t="s">
        <v>421</v>
      </c>
      <c r="E88" s="45" t="s">
        <v>422</v>
      </c>
      <c r="F88" s="64">
        <v>933</v>
      </c>
      <c r="G88" s="21"/>
      <c r="H88" s="22"/>
      <c r="I88" s="22"/>
      <c r="J88" s="22"/>
    </row>
    <row r="89" spans="1:10" s="4" customFormat="1" ht="18.75" customHeight="1">
      <c r="A89" s="38">
        <v>82</v>
      </c>
      <c r="B89" s="43">
        <v>113</v>
      </c>
      <c r="C89" s="44" t="s">
        <v>407</v>
      </c>
      <c r="D89" s="44" t="s">
        <v>186</v>
      </c>
      <c r="E89" s="45" t="s">
        <v>187</v>
      </c>
      <c r="F89" s="64">
        <v>0.4</v>
      </c>
      <c r="G89" s="21"/>
      <c r="H89" s="22"/>
      <c r="I89" s="22"/>
      <c r="J89" s="22"/>
    </row>
    <row r="90" spans="1:10" s="4" customFormat="1" ht="40.5" customHeight="1">
      <c r="A90" s="38">
        <v>83</v>
      </c>
      <c r="B90" s="39">
        <v>113</v>
      </c>
      <c r="C90" s="40" t="s">
        <v>408</v>
      </c>
      <c r="D90" s="40"/>
      <c r="E90" s="37" t="s">
        <v>409</v>
      </c>
      <c r="F90" s="65">
        <f>SUM(F91)</f>
        <v>31</v>
      </c>
      <c r="G90" s="21"/>
      <c r="H90" s="22"/>
      <c r="I90" s="22"/>
      <c r="J90" s="22"/>
    </row>
    <row r="91" spans="1:10" s="4" customFormat="1" ht="18.75" customHeight="1">
      <c r="A91" s="38">
        <v>84</v>
      </c>
      <c r="B91" s="43">
        <v>113</v>
      </c>
      <c r="C91" s="44" t="s">
        <v>408</v>
      </c>
      <c r="D91" s="44" t="s">
        <v>186</v>
      </c>
      <c r="E91" s="45" t="s">
        <v>187</v>
      </c>
      <c r="F91" s="64">
        <v>31</v>
      </c>
      <c r="G91" s="21"/>
      <c r="H91" s="22"/>
      <c r="I91" s="22"/>
      <c r="J91" s="22"/>
    </row>
    <row r="92" spans="1:10" s="4" customFormat="1" ht="26.25" customHeight="1">
      <c r="A92" s="38">
        <v>85</v>
      </c>
      <c r="B92" s="39">
        <v>113</v>
      </c>
      <c r="C92" s="40" t="s">
        <v>424</v>
      </c>
      <c r="D92" s="40"/>
      <c r="E92" s="37" t="s">
        <v>423</v>
      </c>
      <c r="F92" s="65">
        <f>SUM(F93)</f>
        <v>200</v>
      </c>
      <c r="G92" s="21"/>
      <c r="H92" s="22"/>
      <c r="I92" s="22"/>
      <c r="J92" s="22"/>
    </row>
    <row r="93" spans="1:10" s="4" customFormat="1" ht="18.75" customHeight="1">
      <c r="A93" s="38">
        <v>86</v>
      </c>
      <c r="B93" s="43">
        <v>113</v>
      </c>
      <c r="C93" s="44" t="s">
        <v>424</v>
      </c>
      <c r="D93" s="44" t="s">
        <v>186</v>
      </c>
      <c r="E93" s="45" t="s">
        <v>187</v>
      </c>
      <c r="F93" s="64">
        <v>200</v>
      </c>
      <c r="G93" s="21"/>
      <c r="H93" s="22"/>
      <c r="I93" s="22"/>
      <c r="J93" s="22"/>
    </row>
    <row r="94" spans="1:10" s="4" customFormat="1" ht="30.75" customHeight="1">
      <c r="A94" s="38">
        <v>87</v>
      </c>
      <c r="B94" s="82">
        <v>113</v>
      </c>
      <c r="C94" s="83" t="s">
        <v>442</v>
      </c>
      <c r="D94" s="83"/>
      <c r="E94" s="92" t="s">
        <v>443</v>
      </c>
      <c r="F94" s="93">
        <f>SUM(F95)</f>
        <v>4000</v>
      </c>
      <c r="G94" s="21"/>
      <c r="H94" s="22"/>
      <c r="I94" s="22"/>
      <c r="J94" s="22"/>
    </row>
    <row r="95" spans="1:10" s="4" customFormat="1" ht="18.75" customHeight="1">
      <c r="A95" s="38">
        <v>88</v>
      </c>
      <c r="B95" s="86">
        <v>113</v>
      </c>
      <c r="C95" s="87" t="s">
        <v>442</v>
      </c>
      <c r="D95" s="87" t="s">
        <v>444</v>
      </c>
      <c r="E95" s="94" t="s">
        <v>441</v>
      </c>
      <c r="F95" s="95">
        <v>4000</v>
      </c>
      <c r="G95" s="21"/>
      <c r="H95" s="22"/>
      <c r="I95" s="22"/>
      <c r="J95" s="22"/>
    </row>
    <row r="96" spans="1:10" ht="15.75" customHeight="1">
      <c r="A96" s="38">
        <v>89</v>
      </c>
      <c r="B96" s="39">
        <v>200</v>
      </c>
      <c r="C96" s="40"/>
      <c r="D96" s="40"/>
      <c r="E96" s="41" t="s">
        <v>9</v>
      </c>
      <c r="F96" s="42">
        <f t="shared" ref="F96:G98" si="3">F97</f>
        <v>246.3</v>
      </c>
      <c r="G96" s="10">
        <f t="shared" si="3"/>
        <v>1189</v>
      </c>
    </row>
    <row r="97" spans="1:7" ht="12.75" customHeight="1">
      <c r="A97" s="38">
        <v>90</v>
      </c>
      <c r="B97" s="39">
        <v>203</v>
      </c>
      <c r="C97" s="40"/>
      <c r="D97" s="40"/>
      <c r="E97" s="37" t="s">
        <v>10</v>
      </c>
      <c r="F97" s="42">
        <f t="shared" si="3"/>
        <v>246.3</v>
      </c>
      <c r="G97" s="10">
        <f t="shared" si="3"/>
        <v>1189</v>
      </c>
    </row>
    <row r="98" spans="1:7" ht="12.75" customHeight="1">
      <c r="A98" s="38">
        <v>91</v>
      </c>
      <c r="B98" s="39">
        <v>203</v>
      </c>
      <c r="C98" s="40" t="s">
        <v>111</v>
      </c>
      <c r="D98" s="40"/>
      <c r="E98" s="37" t="s">
        <v>57</v>
      </c>
      <c r="F98" s="42">
        <f t="shared" si="3"/>
        <v>246.3</v>
      </c>
      <c r="G98" s="10">
        <f t="shared" si="3"/>
        <v>1189</v>
      </c>
    </row>
    <row r="99" spans="1:7" ht="25.5" customHeight="1">
      <c r="A99" s="38">
        <v>92</v>
      </c>
      <c r="B99" s="39">
        <v>203</v>
      </c>
      <c r="C99" s="40" t="s">
        <v>171</v>
      </c>
      <c r="D99" s="40"/>
      <c r="E99" s="37" t="s">
        <v>39</v>
      </c>
      <c r="F99" s="42">
        <f>F100+F101</f>
        <v>246.3</v>
      </c>
      <c r="G99" s="13">
        <f>G100</f>
        <v>1189</v>
      </c>
    </row>
    <row r="100" spans="1:7" ht="12.75" customHeight="1">
      <c r="A100" s="38">
        <v>93</v>
      </c>
      <c r="B100" s="43">
        <v>203</v>
      </c>
      <c r="C100" s="44" t="s">
        <v>171</v>
      </c>
      <c r="D100" s="44" t="s">
        <v>46</v>
      </c>
      <c r="E100" s="45" t="s">
        <v>191</v>
      </c>
      <c r="F100" s="46">
        <f>225.9+0.44+0.233-1.189-0.294</f>
        <v>225.09</v>
      </c>
      <c r="G100" s="11">
        <v>1189</v>
      </c>
    </row>
    <row r="101" spans="1:7" ht="24.75" customHeight="1">
      <c r="A101" s="38">
        <v>94</v>
      </c>
      <c r="B101" s="43">
        <v>203</v>
      </c>
      <c r="C101" s="44" t="s">
        <v>171</v>
      </c>
      <c r="D101" s="44" t="s">
        <v>60</v>
      </c>
      <c r="E101" s="45" t="s">
        <v>190</v>
      </c>
      <c r="F101" s="46">
        <f>20.4-0.44-0.233+1.189+0.294</f>
        <v>21.209999999999997</v>
      </c>
      <c r="G101" s="11"/>
    </row>
    <row r="102" spans="1:7" ht="31.5" customHeight="1">
      <c r="A102" s="38">
        <v>95</v>
      </c>
      <c r="B102" s="39">
        <v>300</v>
      </c>
      <c r="C102" s="40"/>
      <c r="D102" s="40"/>
      <c r="E102" s="41" t="s">
        <v>11</v>
      </c>
      <c r="F102" s="42">
        <f>SUM(F103+F114+F126)</f>
        <v>10862.418</v>
      </c>
      <c r="G102" s="10" t="e">
        <f>G103+#REF!+#REF!</f>
        <v>#REF!</v>
      </c>
    </row>
    <row r="103" spans="1:7" ht="38.25" customHeight="1">
      <c r="A103" s="38">
        <v>96</v>
      </c>
      <c r="B103" s="39">
        <v>309</v>
      </c>
      <c r="C103" s="40"/>
      <c r="D103" s="40"/>
      <c r="E103" s="37" t="s">
        <v>177</v>
      </c>
      <c r="F103" s="42">
        <f>SUM(F104+F109)</f>
        <v>5591.0680000000002</v>
      </c>
      <c r="G103" s="10" t="e">
        <f>G104+#REF!</f>
        <v>#REF!</v>
      </c>
    </row>
    <row r="104" spans="1:7" ht="38.25" customHeight="1">
      <c r="A104" s="38">
        <v>97</v>
      </c>
      <c r="B104" s="39">
        <v>309</v>
      </c>
      <c r="C104" s="40" t="s">
        <v>128</v>
      </c>
      <c r="D104" s="40"/>
      <c r="E104" s="37" t="s">
        <v>284</v>
      </c>
      <c r="F104" s="42">
        <f>F105++F107</f>
        <v>925.01800000000003</v>
      </c>
      <c r="G104" s="10">
        <f>G105</f>
        <v>477.6</v>
      </c>
    </row>
    <row r="105" spans="1:7" ht="27" customHeight="1">
      <c r="A105" s="38">
        <v>98</v>
      </c>
      <c r="B105" s="39">
        <v>309</v>
      </c>
      <c r="C105" s="40" t="s">
        <v>129</v>
      </c>
      <c r="D105" s="40"/>
      <c r="E105" s="37" t="s">
        <v>102</v>
      </c>
      <c r="F105" s="42">
        <f>F106</f>
        <v>234.018</v>
      </c>
      <c r="G105" s="10">
        <f>G106</f>
        <v>477.6</v>
      </c>
    </row>
    <row r="106" spans="1:7" ht="27" customHeight="1">
      <c r="A106" s="38">
        <v>99</v>
      </c>
      <c r="B106" s="43">
        <v>309</v>
      </c>
      <c r="C106" s="44" t="s">
        <v>129</v>
      </c>
      <c r="D106" s="44" t="s">
        <v>60</v>
      </c>
      <c r="E106" s="45" t="s">
        <v>190</v>
      </c>
      <c r="F106" s="46">
        <f>200+34.018</f>
        <v>234.018</v>
      </c>
      <c r="G106" s="11">
        <v>477.6</v>
      </c>
    </row>
    <row r="107" spans="1:7" ht="27.75" customHeight="1">
      <c r="A107" s="38">
        <v>100</v>
      </c>
      <c r="B107" s="39">
        <v>309</v>
      </c>
      <c r="C107" s="40" t="s">
        <v>130</v>
      </c>
      <c r="D107" s="40"/>
      <c r="E107" s="68" t="s">
        <v>227</v>
      </c>
      <c r="F107" s="42">
        <f>F108</f>
        <v>691</v>
      </c>
      <c r="G107" s="11"/>
    </row>
    <row r="108" spans="1:7" ht="28.5" customHeight="1">
      <c r="A108" s="38">
        <v>101</v>
      </c>
      <c r="B108" s="43">
        <v>309</v>
      </c>
      <c r="C108" s="44" t="s">
        <v>130</v>
      </c>
      <c r="D108" s="44" t="s">
        <v>60</v>
      </c>
      <c r="E108" s="45" t="s">
        <v>190</v>
      </c>
      <c r="F108" s="46">
        <f>570+121</f>
        <v>691</v>
      </c>
      <c r="G108" s="11"/>
    </row>
    <row r="109" spans="1:7" ht="38.25" customHeight="1">
      <c r="A109" s="38">
        <v>102</v>
      </c>
      <c r="B109" s="39">
        <v>309</v>
      </c>
      <c r="C109" s="40" t="s">
        <v>116</v>
      </c>
      <c r="D109" s="44"/>
      <c r="E109" s="37" t="s">
        <v>281</v>
      </c>
      <c r="F109" s="42">
        <f>SUM(F110)</f>
        <v>4666.05</v>
      </c>
      <c r="G109" s="11"/>
    </row>
    <row r="110" spans="1:7" ht="39" customHeight="1">
      <c r="A110" s="38">
        <v>103</v>
      </c>
      <c r="B110" s="39">
        <v>309</v>
      </c>
      <c r="C110" s="40" t="s">
        <v>131</v>
      </c>
      <c r="D110" s="44"/>
      <c r="E110" s="37" t="s">
        <v>70</v>
      </c>
      <c r="F110" s="42">
        <f>SUM(F111:F113)</f>
        <v>4666.05</v>
      </c>
      <c r="G110" s="11"/>
    </row>
    <row r="111" spans="1:7" ht="25.5" customHeight="1">
      <c r="A111" s="38">
        <v>104</v>
      </c>
      <c r="B111" s="43">
        <v>309</v>
      </c>
      <c r="C111" s="44" t="s">
        <v>131</v>
      </c>
      <c r="D111" s="44" t="s">
        <v>40</v>
      </c>
      <c r="E111" s="45" t="s">
        <v>41</v>
      </c>
      <c r="F111" s="46">
        <f>3808.924-30.878</f>
        <v>3778.0459999999998</v>
      </c>
      <c r="G111" s="11"/>
    </row>
    <row r="112" spans="1:7" ht="35.25" customHeight="1">
      <c r="A112" s="38">
        <v>105</v>
      </c>
      <c r="B112" s="43">
        <v>309</v>
      </c>
      <c r="C112" s="44" t="s">
        <v>131</v>
      </c>
      <c r="D112" s="44" t="s">
        <v>60</v>
      </c>
      <c r="E112" s="45" t="s">
        <v>190</v>
      </c>
      <c r="F112" s="46">
        <f>991.076+129.9+85-10-317.972</f>
        <v>878.00400000000013</v>
      </c>
      <c r="G112" s="11"/>
    </row>
    <row r="113" spans="1:9" ht="18" customHeight="1">
      <c r="A113" s="38">
        <v>106</v>
      </c>
      <c r="B113" s="43">
        <v>309</v>
      </c>
      <c r="C113" s="44" t="s">
        <v>131</v>
      </c>
      <c r="D113" s="44" t="s">
        <v>186</v>
      </c>
      <c r="E113" s="45" t="s">
        <v>187</v>
      </c>
      <c r="F113" s="46">
        <v>10</v>
      </c>
      <c r="G113" s="11"/>
    </row>
    <row r="114" spans="1:9" ht="28.5" customHeight="1">
      <c r="A114" s="38">
        <v>107</v>
      </c>
      <c r="B114" s="39">
        <v>310</v>
      </c>
      <c r="C114" s="40"/>
      <c r="D114" s="40"/>
      <c r="E114" s="37" t="s">
        <v>56</v>
      </c>
      <c r="F114" s="42">
        <f>SUM(F115)</f>
        <v>4964.5159999999996</v>
      </c>
      <c r="G114" s="11"/>
    </row>
    <row r="115" spans="1:9" ht="42.75" customHeight="1">
      <c r="A115" s="38">
        <v>108</v>
      </c>
      <c r="B115" s="39">
        <v>310</v>
      </c>
      <c r="C115" s="40" t="s">
        <v>132</v>
      </c>
      <c r="D115" s="40"/>
      <c r="E115" s="37" t="s">
        <v>393</v>
      </c>
      <c r="F115" s="42">
        <f>SUM(F116)</f>
        <v>4964.5159999999996</v>
      </c>
      <c r="G115" s="11"/>
    </row>
    <row r="116" spans="1:9" ht="55.5" customHeight="1">
      <c r="A116" s="38">
        <v>109</v>
      </c>
      <c r="B116" s="39">
        <v>310</v>
      </c>
      <c r="C116" s="40" t="s">
        <v>132</v>
      </c>
      <c r="D116" s="40"/>
      <c r="E116" s="68" t="s">
        <v>230</v>
      </c>
      <c r="F116" s="56">
        <f>SUM(F117+F119+F122+F124)</f>
        <v>4964.5159999999996</v>
      </c>
      <c r="G116" s="11"/>
    </row>
    <row r="117" spans="1:9" ht="48" customHeight="1">
      <c r="A117" s="38">
        <v>110</v>
      </c>
      <c r="B117" s="39">
        <v>310</v>
      </c>
      <c r="C117" s="40" t="s">
        <v>133</v>
      </c>
      <c r="D117" s="40"/>
      <c r="E117" s="37" t="s">
        <v>195</v>
      </c>
      <c r="F117" s="42">
        <f>SUM(F118:F118)</f>
        <v>4491</v>
      </c>
      <c r="G117" s="11"/>
    </row>
    <row r="118" spans="1:9" ht="45" customHeight="1">
      <c r="A118" s="38">
        <v>111</v>
      </c>
      <c r="B118" s="43">
        <v>310</v>
      </c>
      <c r="C118" s="44" t="s">
        <v>133</v>
      </c>
      <c r="D118" s="44" t="s">
        <v>214</v>
      </c>
      <c r="E118" s="45" t="s">
        <v>298</v>
      </c>
      <c r="F118" s="46">
        <v>4491</v>
      </c>
      <c r="G118" s="11"/>
    </row>
    <row r="119" spans="1:9" ht="29.25" customHeight="1">
      <c r="A119" s="38">
        <v>112</v>
      </c>
      <c r="B119" s="39">
        <v>310</v>
      </c>
      <c r="C119" s="40" t="s">
        <v>385</v>
      </c>
      <c r="D119" s="44"/>
      <c r="E119" s="37" t="s">
        <v>71</v>
      </c>
      <c r="F119" s="42">
        <f>SUM(F120:F121)</f>
        <v>40.015999999999998</v>
      </c>
      <c r="G119" s="11"/>
    </row>
    <row r="120" spans="1:9" ht="29.25" customHeight="1">
      <c r="A120" s="38">
        <v>113</v>
      </c>
      <c r="B120" s="43">
        <v>310</v>
      </c>
      <c r="C120" s="44" t="s">
        <v>385</v>
      </c>
      <c r="D120" s="44" t="s">
        <v>60</v>
      </c>
      <c r="E120" s="45" t="s">
        <v>190</v>
      </c>
      <c r="F120" s="46">
        <f>14-4.984</f>
        <v>9.016</v>
      </c>
      <c r="G120" s="11"/>
    </row>
    <row r="121" spans="1:9" ht="47.25" customHeight="1">
      <c r="A121" s="38">
        <v>114</v>
      </c>
      <c r="B121" s="43">
        <v>310</v>
      </c>
      <c r="C121" s="44" t="s">
        <v>385</v>
      </c>
      <c r="D121" s="44" t="s">
        <v>214</v>
      </c>
      <c r="E121" s="66" t="s">
        <v>381</v>
      </c>
      <c r="F121" s="46">
        <v>31</v>
      </c>
      <c r="G121" s="11"/>
    </row>
    <row r="122" spans="1:9" ht="36" customHeight="1">
      <c r="A122" s="38">
        <v>115</v>
      </c>
      <c r="B122" s="39">
        <v>310</v>
      </c>
      <c r="C122" s="40" t="s">
        <v>134</v>
      </c>
      <c r="D122" s="40"/>
      <c r="E122" s="67" t="s">
        <v>193</v>
      </c>
      <c r="F122" s="42">
        <f>SUM(F123)</f>
        <v>373.5</v>
      </c>
      <c r="G122" s="11"/>
    </row>
    <row r="123" spans="1:9" ht="29.25" customHeight="1">
      <c r="A123" s="38">
        <v>116</v>
      </c>
      <c r="B123" s="43">
        <v>310</v>
      </c>
      <c r="C123" s="44" t="s">
        <v>134</v>
      </c>
      <c r="D123" s="44" t="s">
        <v>60</v>
      </c>
      <c r="E123" s="45" t="s">
        <v>190</v>
      </c>
      <c r="F123" s="46">
        <v>373.5</v>
      </c>
      <c r="G123" s="11"/>
      <c r="H123" s="105"/>
      <c r="I123" s="106"/>
    </row>
    <row r="124" spans="1:9" ht="40.5" customHeight="1">
      <c r="A124" s="38">
        <v>117</v>
      </c>
      <c r="B124" s="82">
        <v>310</v>
      </c>
      <c r="C124" s="83" t="s">
        <v>460</v>
      </c>
      <c r="D124" s="83"/>
      <c r="E124" s="84" t="s">
        <v>459</v>
      </c>
      <c r="F124" s="85">
        <f>SUM(F125)</f>
        <v>60</v>
      </c>
      <c r="G124" s="11"/>
      <c r="H124" s="81"/>
      <c r="I124" s="79"/>
    </row>
    <row r="125" spans="1:9" ht="29.25" customHeight="1">
      <c r="A125" s="38">
        <v>118</v>
      </c>
      <c r="B125" s="86">
        <v>310</v>
      </c>
      <c r="C125" s="87" t="s">
        <v>460</v>
      </c>
      <c r="D125" s="87" t="s">
        <v>60</v>
      </c>
      <c r="E125" s="88" t="s">
        <v>190</v>
      </c>
      <c r="F125" s="89">
        <v>60</v>
      </c>
      <c r="G125" s="11"/>
      <c r="H125" s="81"/>
      <c r="I125" s="79"/>
    </row>
    <row r="126" spans="1:9" s="5" customFormat="1" ht="26.25" customHeight="1">
      <c r="A126" s="38">
        <v>119</v>
      </c>
      <c r="B126" s="39">
        <v>314</v>
      </c>
      <c r="C126" s="40"/>
      <c r="D126" s="40"/>
      <c r="E126" s="37" t="s">
        <v>54</v>
      </c>
      <c r="F126" s="42">
        <f>SUM(F127+F131+F136+F141+F146)</f>
        <v>306.834</v>
      </c>
      <c r="G126" s="10"/>
    </row>
    <row r="127" spans="1:9" ht="51.75" customHeight="1">
      <c r="A127" s="38">
        <v>120</v>
      </c>
      <c r="B127" s="39">
        <v>314</v>
      </c>
      <c r="C127" s="40" t="s">
        <v>386</v>
      </c>
      <c r="D127" s="40"/>
      <c r="E127" s="37" t="s">
        <v>286</v>
      </c>
      <c r="F127" s="42">
        <f>SUM(F128)</f>
        <v>20</v>
      </c>
      <c r="G127" s="10" t="e">
        <f>#REF!+#REF!</f>
        <v>#REF!</v>
      </c>
    </row>
    <row r="128" spans="1:9" ht="51.75" customHeight="1">
      <c r="A128" s="38">
        <v>121</v>
      </c>
      <c r="B128" s="39">
        <v>314</v>
      </c>
      <c r="C128" s="40" t="s">
        <v>387</v>
      </c>
      <c r="D128" s="40"/>
      <c r="E128" s="68" t="s">
        <v>299</v>
      </c>
      <c r="F128" s="42">
        <f>SUM(F129)</f>
        <v>20</v>
      </c>
      <c r="G128" s="10"/>
    </row>
    <row r="129" spans="1:7" ht="39.75" customHeight="1">
      <c r="A129" s="38">
        <v>122</v>
      </c>
      <c r="B129" s="39">
        <v>314</v>
      </c>
      <c r="C129" s="40" t="s">
        <v>389</v>
      </c>
      <c r="D129" s="40"/>
      <c r="E129" s="63" t="s">
        <v>388</v>
      </c>
      <c r="F129" s="42">
        <f>SUM(F130)</f>
        <v>20</v>
      </c>
      <c r="G129" s="10"/>
    </row>
    <row r="130" spans="1:7" ht="27.75" customHeight="1">
      <c r="A130" s="38">
        <v>123</v>
      </c>
      <c r="B130" s="43">
        <v>314</v>
      </c>
      <c r="C130" s="44" t="s">
        <v>389</v>
      </c>
      <c r="D130" s="44" t="s">
        <v>60</v>
      </c>
      <c r="E130" s="45" t="s">
        <v>190</v>
      </c>
      <c r="F130" s="46">
        <v>20</v>
      </c>
      <c r="G130" s="10"/>
    </row>
    <row r="131" spans="1:7" ht="44.25" customHeight="1">
      <c r="A131" s="38">
        <v>124</v>
      </c>
      <c r="B131" s="39">
        <v>314</v>
      </c>
      <c r="C131" s="40" t="s">
        <v>198</v>
      </c>
      <c r="D131" s="40"/>
      <c r="E131" s="37" t="s">
        <v>199</v>
      </c>
      <c r="F131" s="42">
        <f>SUM(F132+F134)</f>
        <v>20</v>
      </c>
      <c r="G131" s="10"/>
    </row>
    <row r="132" spans="1:7" ht="54" customHeight="1">
      <c r="A132" s="38">
        <v>125</v>
      </c>
      <c r="B132" s="39">
        <v>314</v>
      </c>
      <c r="C132" s="40" t="s">
        <v>202</v>
      </c>
      <c r="D132" s="40"/>
      <c r="E132" s="68" t="s">
        <v>228</v>
      </c>
      <c r="F132" s="42">
        <f>SUM(F133)</f>
        <v>10</v>
      </c>
      <c r="G132" s="10"/>
    </row>
    <row r="133" spans="1:7" ht="27.75" customHeight="1">
      <c r="A133" s="38">
        <v>126</v>
      </c>
      <c r="B133" s="43">
        <v>314</v>
      </c>
      <c r="C133" s="44" t="s">
        <v>202</v>
      </c>
      <c r="D133" s="44" t="s">
        <v>60</v>
      </c>
      <c r="E133" s="45" t="s">
        <v>190</v>
      </c>
      <c r="F133" s="46">
        <v>10</v>
      </c>
      <c r="G133" s="10"/>
    </row>
    <row r="134" spans="1:7" ht="27.75" customHeight="1">
      <c r="A134" s="38">
        <v>127</v>
      </c>
      <c r="B134" s="39">
        <v>314</v>
      </c>
      <c r="C134" s="40" t="s">
        <v>203</v>
      </c>
      <c r="D134" s="40"/>
      <c r="E134" s="68" t="s">
        <v>200</v>
      </c>
      <c r="F134" s="42">
        <f>SUM(F135)</f>
        <v>10</v>
      </c>
      <c r="G134" s="10"/>
    </row>
    <row r="135" spans="1:7" ht="27.75" customHeight="1">
      <c r="A135" s="38">
        <v>128</v>
      </c>
      <c r="B135" s="43">
        <v>314</v>
      </c>
      <c r="C135" s="44" t="s">
        <v>203</v>
      </c>
      <c r="D135" s="44" t="s">
        <v>60</v>
      </c>
      <c r="E135" s="45" t="s">
        <v>190</v>
      </c>
      <c r="F135" s="46">
        <v>10</v>
      </c>
      <c r="G135" s="10"/>
    </row>
    <row r="136" spans="1:7" ht="60.75" customHeight="1">
      <c r="A136" s="38">
        <v>129</v>
      </c>
      <c r="B136" s="39">
        <v>314</v>
      </c>
      <c r="C136" s="40" t="s">
        <v>204</v>
      </c>
      <c r="D136" s="40"/>
      <c r="E136" s="69" t="s">
        <v>229</v>
      </c>
      <c r="F136" s="42">
        <f>SUM(F137+F139)</f>
        <v>8</v>
      </c>
      <c r="G136" s="10"/>
    </row>
    <row r="137" spans="1:7" ht="26.25" customHeight="1">
      <c r="A137" s="38">
        <v>130</v>
      </c>
      <c r="B137" s="39">
        <v>314</v>
      </c>
      <c r="C137" s="40" t="s">
        <v>205</v>
      </c>
      <c r="D137" s="40"/>
      <c r="E137" s="68" t="s">
        <v>201</v>
      </c>
      <c r="F137" s="42">
        <f>SUM(F138)</f>
        <v>2</v>
      </c>
      <c r="G137" s="10"/>
    </row>
    <row r="138" spans="1:7" ht="54.75" customHeight="1">
      <c r="A138" s="38">
        <v>131</v>
      </c>
      <c r="B138" s="43">
        <v>314</v>
      </c>
      <c r="C138" s="44" t="s">
        <v>205</v>
      </c>
      <c r="D138" s="44" t="s">
        <v>60</v>
      </c>
      <c r="E138" s="45" t="s">
        <v>190</v>
      </c>
      <c r="F138" s="46">
        <v>2</v>
      </c>
      <c r="G138" s="10"/>
    </row>
    <row r="139" spans="1:7" ht="56.25" customHeight="1">
      <c r="A139" s="38">
        <v>132</v>
      </c>
      <c r="B139" s="39">
        <v>314</v>
      </c>
      <c r="C139" s="40" t="s">
        <v>207</v>
      </c>
      <c r="D139" s="40"/>
      <c r="E139" s="68" t="s">
        <v>206</v>
      </c>
      <c r="F139" s="42">
        <f>SUM(F140)</f>
        <v>6</v>
      </c>
      <c r="G139" s="10"/>
    </row>
    <row r="140" spans="1:7" ht="29.25" customHeight="1">
      <c r="A140" s="38">
        <v>133</v>
      </c>
      <c r="B140" s="43">
        <v>314</v>
      </c>
      <c r="C140" s="44" t="s">
        <v>207</v>
      </c>
      <c r="D140" s="44" t="s">
        <v>60</v>
      </c>
      <c r="E140" s="45" t="s">
        <v>190</v>
      </c>
      <c r="F140" s="46">
        <v>6</v>
      </c>
      <c r="G140" s="10"/>
    </row>
    <row r="141" spans="1:7" ht="42.75" customHeight="1">
      <c r="A141" s="38">
        <v>134</v>
      </c>
      <c r="B141" s="39">
        <v>314</v>
      </c>
      <c r="C141" s="40" t="s">
        <v>258</v>
      </c>
      <c r="D141" s="40"/>
      <c r="E141" s="37" t="s">
        <v>262</v>
      </c>
      <c r="F141" s="42">
        <f>SUM(F142+F144)</f>
        <v>109.5</v>
      </c>
      <c r="G141" s="10"/>
    </row>
    <row r="142" spans="1:7" ht="42" customHeight="1">
      <c r="A142" s="38">
        <v>135</v>
      </c>
      <c r="B142" s="39">
        <v>314</v>
      </c>
      <c r="C142" s="40" t="s">
        <v>217</v>
      </c>
      <c r="D142" s="40"/>
      <c r="E142" s="37" t="s">
        <v>218</v>
      </c>
      <c r="F142" s="42">
        <f>SUM(F143)</f>
        <v>87.6</v>
      </c>
      <c r="G142" s="10"/>
    </row>
    <row r="143" spans="1:7" ht="32.25" customHeight="1">
      <c r="A143" s="38">
        <v>136</v>
      </c>
      <c r="B143" s="43">
        <v>314</v>
      </c>
      <c r="C143" s="44" t="s">
        <v>217</v>
      </c>
      <c r="D143" s="44" t="s">
        <v>60</v>
      </c>
      <c r="E143" s="45" t="s">
        <v>190</v>
      </c>
      <c r="F143" s="46">
        <v>87.6</v>
      </c>
      <c r="G143" s="10"/>
    </row>
    <row r="144" spans="1:7" ht="32.25" customHeight="1">
      <c r="A144" s="38">
        <v>137</v>
      </c>
      <c r="B144" s="39">
        <v>314</v>
      </c>
      <c r="C144" s="40" t="s">
        <v>219</v>
      </c>
      <c r="D144" s="40"/>
      <c r="E144" s="37" t="s">
        <v>220</v>
      </c>
      <c r="F144" s="42">
        <f>SUM(F145)</f>
        <v>21.9</v>
      </c>
      <c r="G144" s="10"/>
    </row>
    <row r="145" spans="1:8" ht="33.75" customHeight="1">
      <c r="A145" s="38">
        <v>138</v>
      </c>
      <c r="B145" s="43">
        <v>314</v>
      </c>
      <c r="C145" s="44" t="s">
        <v>219</v>
      </c>
      <c r="D145" s="44" t="s">
        <v>60</v>
      </c>
      <c r="E145" s="45" t="s">
        <v>190</v>
      </c>
      <c r="F145" s="46">
        <v>21.9</v>
      </c>
      <c r="G145" s="10"/>
    </row>
    <row r="146" spans="1:8" ht="43.5" customHeight="1">
      <c r="A146" s="38">
        <v>139</v>
      </c>
      <c r="B146" s="39">
        <v>314</v>
      </c>
      <c r="C146" s="40" t="s">
        <v>302</v>
      </c>
      <c r="D146" s="40"/>
      <c r="E146" s="68" t="s">
        <v>300</v>
      </c>
      <c r="F146" s="42">
        <f>SUM(F147+F149+F151)</f>
        <v>149.334</v>
      </c>
      <c r="G146" s="10"/>
    </row>
    <row r="147" spans="1:8" ht="34.5" customHeight="1">
      <c r="A147" s="38">
        <v>140</v>
      </c>
      <c r="B147" s="39">
        <v>314</v>
      </c>
      <c r="C147" s="40" t="s">
        <v>303</v>
      </c>
      <c r="D147" s="40"/>
      <c r="E147" s="69" t="s">
        <v>306</v>
      </c>
      <c r="F147" s="42">
        <f>SUM(F148)</f>
        <v>25</v>
      </c>
      <c r="G147" s="10"/>
    </row>
    <row r="148" spans="1:8" ht="27.75" customHeight="1">
      <c r="A148" s="38">
        <v>141</v>
      </c>
      <c r="B148" s="43">
        <v>314</v>
      </c>
      <c r="C148" s="44" t="s">
        <v>303</v>
      </c>
      <c r="D148" s="44" t="s">
        <v>60</v>
      </c>
      <c r="E148" s="45" t="s">
        <v>190</v>
      </c>
      <c r="F148" s="46">
        <v>25</v>
      </c>
      <c r="G148" s="10"/>
    </row>
    <row r="149" spans="1:8" ht="82.5" customHeight="1">
      <c r="A149" s="38">
        <v>142</v>
      </c>
      <c r="B149" s="39">
        <v>314</v>
      </c>
      <c r="C149" s="40" t="s">
        <v>304</v>
      </c>
      <c r="D149" s="40"/>
      <c r="E149" s="70" t="s">
        <v>301</v>
      </c>
      <c r="F149" s="42">
        <f>SUM(F150)</f>
        <v>119.334</v>
      </c>
      <c r="G149" s="10"/>
    </row>
    <row r="150" spans="1:8" ht="27" customHeight="1">
      <c r="A150" s="38">
        <v>143</v>
      </c>
      <c r="B150" s="43">
        <v>314</v>
      </c>
      <c r="C150" s="44" t="s">
        <v>304</v>
      </c>
      <c r="D150" s="44" t="s">
        <v>60</v>
      </c>
      <c r="E150" s="45" t="s">
        <v>190</v>
      </c>
      <c r="F150" s="46">
        <f>135-15.666</f>
        <v>119.334</v>
      </c>
      <c r="G150" s="10"/>
      <c r="H150" s="23"/>
    </row>
    <row r="151" spans="1:8" ht="43.5" customHeight="1">
      <c r="A151" s="38">
        <v>144</v>
      </c>
      <c r="B151" s="39">
        <v>314</v>
      </c>
      <c r="C151" s="40" t="s">
        <v>305</v>
      </c>
      <c r="D151" s="40"/>
      <c r="E151" s="70" t="s">
        <v>307</v>
      </c>
      <c r="F151" s="42">
        <f>SUM(F152)</f>
        <v>5</v>
      </c>
      <c r="G151" s="10"/>
    </row>
    <row r="152" spans="1:8" ht="27" customHeight="1">
      <c r="A152" s="38">
        <v>145</v>
      </c>
      <c r="B152" s="43">
        <v>314</v>
      </c>
      <c r="C152" s="44" t="s">
        <v>305</v>
      </c>
      <c r="D152" s="44" t="s">
        <v>60</v>
      </c>
      <c r="E152" s="45" t="s">
        <v>190</v>
      </c>
      <c r="F152" s="46">
        <v>5</v>
      </c>
      <c r="G152" s="10"/>
    </row>
    <row r="153" spans="1:8" ht="21.75" customHeight="1">
      <c r="A153" s="38">
        <v>146</v>
      </c>
      <c r="B153" s="39">
        <v>400</v>
      </c>
      <c r="C153" s="40"/>
      <c r="D153" s="40"/>
      <c r="E153" s="41" t="s">
        <v>12</v>
      </c>
      <c r="F153" s="42">
        <f>SUM(F154+F158+F162+F174+F181)</f>
        <v>29671.764000000003</v>
      </c>
      <c r="G153" s="10"/>
    </row>
    <row r="154" spans="1:8" ht="21.75" customHeight="1">
      <c r="A154" s="38">
        <v>147</v>
      </c>
      <c r="B154" s="39">
        <v>405</v>
      </c>
      <c r="C154" s="40"/>
      <c r="D154" s="40"/>
      <c r="E154" s="37" t="s">
        <v>172</v>
      </c>
      <c r="F154" s="42">
        <f>SUM(F155)</f>
        <v>134.30000000000001</v>
      </c>
      <c r="G154" s="10"/>
    </row>
    <row r="155" spans="1:8" ht="45" customHeight="1">
      <c r="A155" s="38">
        <v>148</v>
      </c>
      <c r="B155" s="39">
        <v>405</v>
      </c>
      <c r="C155" s="40" t="s">
        <v>238</v>
      </c>
      <c r="D155" s="40"/>
      <c r="E155" s="37" t="s">
        <v>293</v>
      </c>
      <c r="F155" s="42">
        <f>SUM(F156)</f>
        <v>134.30000000000001</v>
      </c>
      <c r="G155" s="10"/>
    </row>
    <row r="156" spans="1:8" ht="36" customHeight="1">
      <c r="A156" s="38">
        <v>149</v>
      </c>
      <c r="B156" s="39">
        <v>405</v>
      </c>
      <c r="C156" s="40" t="s">
        <v>173</v>
      </c>
      <c r="D156" s="40"/>
      <c r="E156" s="68" t="s">
        <v>237</v>
      </c>
      <c r="F156" s="42">
        <f>SUM(F157)</f>
        <v>134.30000000000001</v>
      </c>
      <c r="G156" s="10"/>
    </row>
    <row r="157" spans="1:8" ht="29.25" customHeight="1">
      <c r="A157" s="38">
        <v>150</v>
      </c>
      <c r="B157" s="43">
        <v>405</v>
      </c>
      <c r="C157" s="44" t="s">
        <v>173</v>
      </c>
      <c r="D157" s="44" t="s">
        <v>60</v>
      </c>
      <c r="E157" s="45" t="s">
        <v>190</v>
      </c>
      <c r="F157" s="46">
        <v>134.30000000000001</v>
      </c>
      <c r="G157" s="10"/>
    </row>
    <row r="158" spans="1:8" ht="16.5" customHeight="1">
      <c r="A158" s="38">
        <v>151</v>
      </c>
      <c r="B158" s="39">
        <v>408</v>
      </c>
      <c r="C158" s="40"/>
      <c r="D158" s="40"/>
      <c r="E158" s="37" t="s">
        <v>13</v>
      </c>
      <c r="F158" s="42">
        <f>SUM(F159)</f>
        <v>6405</v>
      </c>
      <c r="G158" s="10"/>
    </row>
    <row r="159" spans="1:8" ht="40.5" customHeight="1">
      <c r="A159" s="38">
        <v>152</v>
      </c>
      <c r="B159" s="39">
        <v>408</v>
      </c>
      <c r="C159" s="40" t="s">
        <v>136</v>
      </c>
      <c r="D159" s="40"/>
      <c r="E159" s="37" t="s">
        <v>429</v>
      </c>
      <c r="F159" s="42">
        <f>SUM(F160)</f>
        <v>6405</v>
      </c>
      <c r="G159" s="11">
        <v>25916</v>
      </c>
    </row>
    <row r="160" spans="1:8" ht="33.75" customHeight="1">
      <c r="A160" s="38">
        <v>153</v>
      </c>
      <c r="B160" s="39">
        <v>408</v>
      </c>
      <c r="C160" s="40" t="s">
        <v>137</v>
      </c>
      <c r="D160" s="40"/>
      <c r="E160" s="37" t="s">
        <v>72</v>
      </c>
      <c r="F160" s="42">
        <f>F161</f>
        <v>6405</v>
      </c>
      <c r="G160" s="10" t="e">
        <f>#REF!</f>
        <v>#REF!</v>
      </c>
    </row>
    <row r="161" spans="1:8" ht="38.25">
      <c r="A161" s="38">
        <v>154</v>
      </c>
      <c r="B161" s="43">
        <v>408</v>
      </c>
      <c r="C161" s="44" t="s">
        <v>137</v>
      </c>
      <c r="D161" s="44" t="s">
        <v>49</v>
      </c>
      <c r="E161" s="45" t="s">
        <v>192</v>
      </c>
      <c r="F161" s="46">
        <v>6405</v>
      </c>
      <c r="G161" s="10"/>
    </row>
    <row r="162" spans="1:8">
      <c r="A162" s="38">
        <v>155</v>
      </c>
      <c r="B162" s="39">
        <v>409</v>
      </c>
      <c r="C162" s="40"/>
      <c r="D162" s="40"/>
      <c r="E162" s="37" t="s">
        <v>50</v>
      </c>
      <c r="F162" s="42">
        <f>SUM(F163)</f>
        <v>15648.199999999999</v>
      </c>
      <c r="G162" s="10"/>
    </row>
    <row r="163" spans="1:8" ht="39" customHeight="1">
      <c r="A163" s="38">
        <v>156</v>
      </c>
      <c r="B163" s="39">
        <v>409</v>
      </c>
      <c r="C163" s="40" t="s">
        <v>136</v>
      </c>
      <c r="D163" s="40"/>
      <c r="E163" s="37" t="s">
        <v>429</v>
      </c>
      <c r="F163" s="42">
        <f>SUM(F164+F166+F168+F170+F172)</f>
        <v>15648.199999999999</v>
      </c>
      <c r="G163" s="10"/>
    </row>
    <row r="164" spans="1:8" s="5" customFormat="1" ht="28.5" customHeight="1">
      <c r="A164" s="38">
        <v>157</v>
      </c>
      <c r="B164" s="39">
        <v>409</v>
      </c>
      <c r="C164" s="40" t="s">
        <v>138</v>
      </c>
      <c r="D164" s="40"/>
      <c r="E164" s="37" t="s">
        <v>73</v>
      </c>
      <c r="F164" s="42">
        <f>F165</f>
        <v>10688.358999999999</v>
      </c>
      <c r="G164" s="10"/>
    </row>
    <row r="165" spans="1:8" ht="30" customHeight="1">
      <c r="A165" s="38">
        <v>158</v>
      </c>
      <c r="B165" s="43">
        <v>409</v>
      </c>
      <c r="C165" s="44" t="s">
        <v>138</v>
      </c>
      <c r="D165" s="44" t="s">
        <v>60</v>
      </c>
      <c r="E165" s="45" t="s">
        <v>190</v>
      </c>
      <c r="F165" s="46">
        <f>8302+978.9+453.558+375.856+282.6+295.445</f>
        <v>10688.358999999999</v>
      </c>
      <c r="G165" s="10"/>
    </row>
    <row r="166" spans="1:8" ht="30" customHeight="1">
      <c r="A166" s="38">
        <v>159</v>
      </c>
      <c r="B166" s="39">
        <v>409</v>
      </c>
      <c r="C166" s="40" t="s">
        <v>309</v>
      </c>
      <c r="D166" s="40"/>
      <c r="E166" s="37" t="s">
        <v>308</v>
      </c>
      <c r="F166" s="42">
        <f>SUM(F167)</f>
        <v>1373.5540000000001</v>
      </c>
      <c r="G166" s="10"/>
    </row>
    <row r="167" spans="1:8" ht="30" customHeight="1">
      <c r="A167" s="38">
        <v>160</v>
      </c>
      <c r="B167" s="43">
        <v>409</v>
      </c>
      <c r="C167" s="44" t="s">
        <v>309</v>
      </c>
      <c r="D167" s="44" t="s">
        <v>60</v>
      </c>
      <c r="E167" s="45" t="s">
        <v>190</v>
      </c>
      <c r="F167" s="46">
        <f>300+895.018-175.856+649.837-295.445</f>
        <v>1373.5540000000001</v>
      </c>
      <c r="G167" s="10"/>
    </row>
    <row r="168" spans="1:8" ht="38.25">
      <c r="A168" s="38">
        <v>161</v>
      </c>
      <c r="B168" s="39">
        <v>409</v>
      </c>
      <c r="C168" s="49" t="s">
        <v>139</v>
      </c>
      <c r="D168" s="44"/>
      <c r="E168" s="61" t="s">
        <v>140</v>
      </c>
      <c r="F168" s="42">
        <f>F169</f>
        <v>710</v>
      </c>
      <c r="G168" s="10"/>
      <c r="H168" s="19"/>
    </row>
    <row r="169" spans="1:8" ht="24.75" customHeight="1">
      <c r="A169" s="38">
        <v>162</v>
      </c>
      <c r="B169" s="43">
        <v>409</v>
      </c>
      <c r="C169" s="44" t="s">
        <v>139</v>
      </c>
      <c r="D169" s="44" t="s">
        <v>60</v>
      </c>
      <c r="E169" s="45" t="s">
        <v>190</v>
      </c>
      <c r="F169" s="46">
        <f>600+110</f>
        <v>710</v>
      </c>
      <c r="G169" s="10"/>
    </row>
    <row r="170" spans="1:8" ht="78" customHeight="1">
      <c r="A170" s="38">
        <v>163</v>
      </c>
      <c r="B170" s="39">
        <v>409</v>
      </c>
      <c r="C170" s="40" t="s">
        <v>274</v>
      </c>
      <c r="D170" s="40"/>
      <c r="E170" s="70" t="s">
        <v>311</v>
      </c>
      <c r="F170" s="42">
        <f>SUM(F171)</f>
        <v>2876.2870000000003</v>
      </c>
      <c r="G170" s="10"/>
    </row>
    <row r="171" spans="1:8" ht="31.5" customHeight="1">
      <c r="A171" s="38">
        <v>164</v>
      </c>
      <c r="B171" s="43">
        <v>409</v>
      </c>
      <c r="C171" s="44" t="s">
        <v>274</v>
      </c>
      <c r="D171" s="44" t="s">
        <v>60</v>
      </c>
      <c r="E171" s="45" t="s">
        <v>190</v>
      </c>
      <c r="F171" s="46">
        <f>6000-762.7-333.558-1095.018-282.6-649.837</f>
        <v>2876.2870000000003</v>
      </c>
      <c r="G171" s="10"/>
    </row>
    <row r="172" spans="1:8" ht="28.5" customHeight="1">
      <c r="A172" s="38">
        <v>165</v>
      </c>
      <c r="B172" s="39">
        <v>409</v>
      </c>
      <c r="C172" s="40" t="s">
        <v>279</v>
      </c>
      <c r="D172" s="40"/>
      <c r="E172" s="70" t="s">
        <v>310</v>
      </c>
      <c r="F172" s="42">
        <f>SUM(F173)</f>
        <v>0</v>
      </c>
      <c r="G172" s="10"/>
    </row>
    <row r="173" spans="1:8" ht="24.75" customHeight="1">
      <c r="A173" s="38">
        <v>166</v>
      </c>
      <c r="B173" s="43">
        <v>409</v>
      </c>
      <c r="C173" s="44" t="s">
        <v>279</v>
      </c>
      <c r="D173" s="44" t="s">
        <v>60</v>
      </c>
      <c r="E173" s="45" t="s">
        <v>190</v>
      </c>
      <c r="F173" s="46">
        <f>120-120</f>
        <v>0</v>
      </c>
      <c r="G173" s="10"/>
    </row>
    <row r="174" spans="1:8">
      <c r="A174" s="38">
        <v>167</v>
      </c>
      <c r="B174" s="39">
        <v>410</v>
      </c>
      <c r="C174" s="40"/>
      <c r="D174" s="40"/>
      <c r="E174" s="37" t="s">
        <v>35</v>
      </c>
      <c r="F174" s="42">
        <f>SUM(F175)</f>
        <v>27.9</v>
      </c>
      <c r="G174" s="10"/>
    </row>
    <row r="175" spans="1:8" ht="42.75" customHeight="1">
      <c r="A175" s="38">
        <v>168</v>
      </c>
      <c r="B175" s="47">
        <v>410</v>
      </c>
      <c r="C175" s="49" t="s">
        <v>141</v>
      </c>
      <c r="D175" s="49"/>
      <c r="E175" s="37" t="s">
        <v>287</v>
      </c>
      <c r="F175" s="42">
        <f>SUM(F176)</f>
        <v>27.9</v>
      </c>
      <c r="G175" s="10"/>
      <c r="H175" s="25" t="s">
        <v>233</v>
      </c>
    </row>
    <row r="176" spans="1:8" ht="58.5" customHeight="1">
      <c r="A176" s="38">
        <v>169</v>
      </c>
      <c r="B176" s="47">
        <v>410</v>
      </c>
      <c r="C176" s="49" t="s">
        <v>232</v>
      </c>
      <c r="D176" s="49"/>
      <c r="E176" s="37" t="s">
        <v>314</v>
      </c>
      <c r="F176" s="42">
        <f>SUM(F177+F179)</f>
        <v>27.9</v>
      </c>
      <c r="G176" s="10"/>
    </row>
    <row r="177" spans="1:8" s="5" customFormat="1" ht="59.25" customHeight="1">
      <c r="A177" s="38">
        <v>170</v>
      </c>
      <c r="B177" s="47">
        <v>410</v>
      </c>
      <c r="C177" s="49" t="s">
        <v>142</v>
      </c>
      <c r="D177" s="49"/>
      <c r="E177" s="68" t="s">
        <v>312</v>
      </c>
      <c r="F177" s="42">
        <f>SUM(F178)</f>
        <v>14.499999999999996</v>
      </c>
      <c r="G177" s="10"/>
    </row>
    <row r="178" spans="1:8" ht="25.5" customHeight="1">
      <c r="A178" s="38">
        <v>171</v>
      </c>
      <c r="B178" s="50">
        <v>410</v>
      </c>
      <c r="C178" s="71" t="s">
        <v>142</v>
      </c>
      <c r="D178" s="44" t="s">
        <v>60</v>
      </c>
      <c r="E178" s="45" t="s">
        <v>190</v>
      </c>
      <c r="F178" s="46">
        <f>38.8-24.3</f>
        <v>14.499999999999996</v>
      </c>
      <c r="G178" s="10"/>
      <c r="H178" s="25"/>
    </row>
    <row r="179" spans="1:8" ht="45" customHeight="1">
      <c r="A179" s="38">
        <v>172</v>
      </c>
      <c r="B179" s="47">
        <v>410</v>
      </c>
      <c r="C179" s="49" t="s">
        <v>231</v>
      </c>
      <c r="D179" s="40"/>
      <c r="E179" s="68" t="s">
        <v>313</v>
      </c>
      <c r="F179" s="42">
        <f>SUM(F180)</f>
        <v>13.4</v>
      </c>
      <c r="G179" s="10"/>
      <c r="H179" s="25"/>
    </row>
    <row r="180" spans="1:8" ht="25.5" customHeight="1">
      <c r="A180" s="38">
        <v>173</v>
      </c>
      <c r="B180" s="50">
        <v>410</v>
      </c>
      <c r="C180" s="71" t="s">
        <v>231</v>
      </c>
      <c r="D180" s="44" t="s">
        <v>60</v>
      </c>
      <c r="E180" s="45" t="s">
        <v>190</v>
      </c>
      <c r="F180" s="46">
        <v>13.4</v>
      </c>
      <c r="G180" s="10"/>
      <c r="H180" s="25"/>
    </row>
    <row r="181" spans="1:8" ht="25.5" customHeight="1">
      <c r="A181" s="38">
        <v>174</v>
      </c>
      <c r="B181" s="39">
        <v>412</v>
      </c>
      <c r="C181" s="40"/>
      <c r="D181" s="40"/>
      <c r="E181" s="37" t="s">
        <v>101</v>
      </c>
      <c r="F181" s="42">
        <f>SUM(F182+F195+F202+F212+F215+F220)</f>
        <v>7456.3639999999996</v>
      </c>
      <c r="G181" s="10"/>
    </row>
    <row r="182" spans="1:8" ht="48.75" customHeight="1">
      <c r="A182" s="38">
        <v>175</v>
      </c>
      <c r="B182" s="39">
        <v>412</v>
      </c>
      <c r="C182" s="40" t="s">
        <v>117</v>
      </c>
      <c r="D182" s="40"/>
      <c r="E182" s="61" t="s">
        <v>430</v>
      </c>
      <c r="F182" s="42">
        <f>SUM(F183+F185+F187+F189+F191+F193)</f>
        <v>904.96400000000006</v>
      </c>
      <c r="G182" s="10"/>
    </row>
    <row r="183" spans="1:8" ht="25.5" customHeight="1">
      <c r="A183" s="38">
        <v>176</v>
      </c>
      <c r="B183" s="39">
        <v>412</v>
      </c>
      <c r="C183" s="40" t="s">
        <v>118</v>
      </c>
      <c r="D183" s="40"/>
      <c r="E183" s="61" t="s">
        <v>62</v>
      </c>
      <c r="F183" s="42">
        <f>F184</f>
        <v>100</v>
      </c>
      <c r="G183" s="10"/>
    </row>
    <row r="184" spans="1:8" ht="25.5" customHeight="1">
      <c r="A184" s="38">
        <v>177</v>
      </c>
      <c r="B184" s="43">
        <v>412</v>
      </c>
      <c r="C184" s="44" t="s">
        <v>118</v>
      </c>
      <c r="D184" s="44" t="s">
        <v>60</v>
      </c>
      <c r="E184" s="45" t="s">
        <v>190</v>
      </c>
      <c r="F184" s="46">
        <v>100</v>
      </c>
      <c r="G184" s="10"/>
    </row>
    <row r="185" spans="1:8" ht="42.75" customHeight="1">
      <c r="A185" s="38">
        <v>178</v>
      </c>
      <c r="B185" s="39">
        <v>412</v>
      </c>
      <c r="C185" s="40" t="s">
        <v>119</v>
      </c>
      <c r="D185" s="40"/>
      <c r="E185" s="61" t="s">
        <v>315</v>
      </c>
      <c r="F185" s="42">
        <f>F186</f>
        <v>100</v>
      </c>
      <c r="G185" s="10"/>
    </row>
    <row r="186" spans="1:8" ht="25.5" customHeight="1">
      <c r="A186" s="38">
        <v>179</v>
      </c>
      <c r="B186" s="43">
        <v>412</v>
      </c>
      <c r="C186" s="44" t="s">
        <v>119</v>
      </c>
      <c r="D186" s="44" t="s">
        <v>60</v>
      </c>
      <c r="E186" s="45" t="s">
        <v>190</v>
      </c>
      <c r="F186" s="46">
        <v>100</v>
      </c>
      <c r="G186" s="10"/>
    </row>
    <row r="187" spans="1:8" ht="36.75" customHeight="1">
      <c r="A187" s="38">
        <v>180</v>
      </c>
      <c r="B187" s="39">
        <v>412</v>
      </c>
      <c r="C187" s="40" t="s">
        <v>120</v>
      </c>
      <c r="D187" s="44"/>
      <c r="E187" s="68" t="s">
        <v>316</v>
      </c>
      <c r="F187" s="42">
        <f>F188</f>
        <v>209.96400000000008</v>
      </c>
      <c r="G187" s="10"/>
    </row>
    <row r="188" spans="1:8" ht="25.5" customHeight="1">
      <c r="A188" s="38">
        <v>181</v>
      </c>
      <c r="B188" s="43">
        <v>412</v>
      </c>
      <c r="C188" s="44" t="s">
        <v>120</v>
      </c>
      <c r="D188" s="44" t="s">
        <v>60</v>
      </c>
      <c r="E188" s="45" t="s">
        <v>190</v>
      </c>
      <c r="F188" s="46">
        <f>1000-300-37.598-276.717-76.094-86.022-13.605</f>
        <v>209.96400000000008</v>
      </c>
      <c r="G188" s="10"/>
    </row>
    <row r="189" spans="1:8" ht="57.75" customHeight="1">
      <c r="A189" s="38">
        <v>182</v>
      </c>
      <c r="B189" s="39">
        <v>412</v>
      </c>
      <c r="C189" s="40" t="s">
        <v>170</v>
      </c>
      <c r="D189" s="44"/>
      <c r="E189" s="68" t="s">
        <v>317</v>
      </c>
      <c r="F189" s="42">
        <f>SUM(F190)</f>
        <v>55</v>
      </c>
      <c r="G189" s="10"/>
    </row>
    <row r="190" spans="1:8" ht="25.5" customHeight="1">
      <c r="A190" s="38">
        <v>183</v>
      </c>
      <c r="B190" s="43">
        <v>412</v>
      </c>
      <c r="C190" s="44" t="s">
        <v>170</v>
      </c>
      <c r="D190" s="44" t="s">
        <v>60</v>
      </c>
      <c r="E190" s="45" t="s">
        <v>190</v>
      </c>
      <c r="F190" s="46">
        <v>55</v>
      </c>
      <c r="G190" s="10"/>
    </row>
    <row r="191" spans="1:8" ht="25.5" customHeight="1">
      <c r="A191" s="38">
        <v>184</v>
      </c>
      <c r="B191" s="39">
        <v>412</v>
      </c>
      <c r="C191" s="40" t="s">
        <v>226</v>
      </c>
      <c r="D191" s="40"/>
      <c r="E191" s="68" t="s">
        <v>225</v>
      </c>
      <c r="F191" s="42">
        <f>SUM(F192)</f>
        <v>40</v>
      </c>
      <c r="G191" s="10"/>
    </row>
    <row r="192" spans="1:8" ht="25.5" customHeight="1">
      <c r="A192" s="38">
        <v>185</v>
      </c>
      <c r="B192" s="43">
        <v>412</v>
      </c>
      <c r="C192" s="44" t="s">
        <v>226</v>
      </c>
      <c r="D192" s="44" t="s">
        <v>60</v>
      </c>
      <c r="E192" s="45" t="s">
        <v>190</v>
      </c>
      <c r="F192" s="46">
        <v>40</v>
      </c>
      <c r="G192" s="10"/>
    </row>
    <row r="193" spans="1:12" ht="73.5" customHeight="1">
      <c r="A193" s="38">
        <v>186</v>
      </c>
      <c r="B193" s="39">
        <v>412</v>
      </c>
      <c r="C193" s="40" t="s">
        <v>271</v>
      </c>
      <c r="D193" s="40"/>
      <c r="E193" s="68" t="s">
        <v>431</v>
      </c>
      <c r="F193" s="42">
        <f>SUM(F194)</f>
        <v>400</v>
      </c>
      <c r="G193" s="10"/>
    </row>
    <row r="194" spans="1:12" ht="36.75" customHeight="1">
      <c r="A194" s="38">
        <v>187</v>
      </c>
      <c r="B194" s="43">
        <v>412</v>
      </c>
      <c r="C194" s="44" t="s">
        <v>271</v>
      </c>
      <c r="D194" s="44" t="s">
        <v>60</v>
      </c>
      <c r="E194" s="45" t="s">
        <v>190</v>
      </c>
      <c r="F194" s="46">
        <f>100+300</f>
        <v>400</v>
      </c>
      <c r="G194" s="10"/>
    </row>
    <row r="195" spans="1:12" s="5" customFormat="1" ht="42" customHeight="1">
      <c r="A195" s="38">
        <v>188</v>
      </c>
      <c r="B195" s="39">
        <v>412</v>
      </c>
      <c r="C195" s="49" t="s">
        <v>143</v>
      </c>
      <c r="D195" s="49"/>
      <c r="E195" s="37" t="s">
        <v>288</v>
      </c>
      <c r="F195" s="42">
        <f>SUM(F196+F198+F200)</f>
        <v>80.3</v>
      </c>
      <c r="G195" s="10"/>
    </row>
    <row r="196" spans="1:12" s="5" customFormat="1" ht="50.25" customHeight="1">
      <c r="A196" s="38">
        <v>189</v>
      </c>
      <c r="B196" s="39">
        <v>412</v>
      </c>
      <c r="C196" s="40" t="s">
        <v>144</v>
      </c>
      <c r="D196" s="40"/>
      <c r="E196" s="68" t="s">
        <v>318</v>
      </c>
      <c r="F196" s="42">
        <f>F197</f>
        <v>56.3</v>
      </c>
      <c r="G196" s="10"/>
      <c r="H196" s="27"/>
      <c r="I196" s="27"/>
      <c r="J196" s="27"/>
      <c r="K196" s="27"/>
      <c r="L196" s="27"/>
    </row>
    <row r="197" spans="1:12" s="5" customFormat="1" ht="44.25" customHeight="1">
      <c r="A197" s="38">
        <v>190</v>
      </c>
      <c r="B197" s="43">
        <v>412</v>
      </c>
      <c r="C197" s="44" t="s">
        <v>144</v>
      </c>
      <c r="D197" s="44" t="s">
        <v>49</v>
      </c>
      <c r="E197" s="45" t="s">
        <v>192</v>
      </c>
      <c r="F197" s="46">
        <v>56.3</v>
      </c>
      <c r="G197" s="10"/>
    </row>
    <row r="198" spans="1:12" ht="36" customHeight="1">
      <c r="A198" s="38">
        <v>191</v>
      </c>
      <c r="B198" s="47">
        <v>412</v>
      </c>
      <c r="C198" s="49" t="s">
        <v>145</v>
      </c>
      <c r="D198" s="49"/>
      <c r="E198" s="68" t="s">
        <v>319</v>
      </c>
      <c r="F198" s="42">
        <f>F199</f>
        <v>9.4</v>
      </c>
      <c r="G198" s="11"/>
    </row>
    <row r="199" spans="1:12" ht="33.75" customHeight="1">
      <c r="A199" s="38">
        <v>192</v>
      </c>
      <c r="B199" s="50">
        <v>412</v>
      </c>
      <c r="C199" s="71" t="s">
        <v>145</v>
      </c>
      <c r="D199" s="71" t="s">
        <v>60</v>
      </c>
      <c r="E199" s="45" t="s">
        <v>190</v>
      </c>
      <c r="F199" s="46">
        <v>9.4</v>
      </c>
      <c r="G199" s="10" t="e">
        <f>#REF!+#REF!+#REF!</f>
        <v>#REF!</v>
      </c>
    </row>
    <row r="200" spans="1:12" s="4" customFormat="1" ht="47.25" customHeight="1">
      <c r="A200" s="38">
        <v>193</v>
      </c>
      <c r="B200" s="47">
        <v>412</v>
      </c>
      <c r="C200" s="49" t="s">
        <v>146</v>
      </c>
      <c r="D200" s="71"/>
      <c r="E200" s="68" t="s">
        <v>320</v>
      </c>
      <c r="F200" s="42">
        <f>SUM(F201)</f>
        <v>14.6</v>
      </c>
      <c r="G200" s="12"/>
    </row>
    <row r="201" spans="1:12" s="4" customFormat="1" ht="27" customHeight="1">
      <c r="A201" s="38">
        <v>194</v>
      </c>
      <c r="B201" s="50">
        <v>412</v>
      </c>
      <c r="C201" s="71" t="s">
        <v>146</v>
      </c>
      <c r="D201" s="71" t="s">
        <v>60</v>
      </c>
      <c r="E201" s="45" t="s">
        <v>190</v>
      </c>
      <c r="F201" s="46">
        <v>14.6</v>
      </c>
      <c r="G201" s="12"/>
    </row>
    <row r="202" spans="1:12" s="5" customFormat="1" ht="41.25" customHeight="1">
      <c r="A202" s="38">
        <v>195</v>
      </c>
      <c r="B202" s="47">
        <v>412</v>
      </c>
      <c r="C202" s="49" t="s">
        <v>236</v>
      </c>
      <c r="D202" s="71"/>
      <c r="E202" s="37" t="s">
        <v>289</v>
      </c>
      <c r="F202" s="42">
        <f>SUM(F203)</f>
        <v>2355</v>
      </c>
      <c r="G202" s="10"/>
    </row>
    <row r="203" spans="1:12" s="5" customFormat="1" ht="54" customHeight="1">
      <c r="A203" s="38">
        <v>196</v>
      </c>
      <c r="B203" s="47">
        <v>412</v>
      </c>
      <c r="C203" s="49" t="s">
        <v>236</v>
      </c>
      <c r="D203" s="71"/>
      <c r="E203" s="70" t="s">
        <v>234</v>
      </c>
      <c r="F203" s="56">
        <f>SUM(F204+F206+F208+F210)</f>
        <v>2355</v>
      </c>
      <c r="G203" s="10"/>
    </row>
    <row r="204" spans="1:12" s="5" customFormat="1" ht="27.75" customHeight="1">
      <c r="A204" s="38">
        <v>198</v>
      </c>
      <c r="B204" s="47">
        <v>412</v>
      </c>
      <c r="C204" s="49" t="s">
        <v>419</v>
      </c>
      <c r="D204" s="49"/>
      <c r="E204" s="37" t="s">
        <v>420</v>
      </c>
      <c r="F204" s="42">
        <f>SUM(F205)</f>
        <v>900</v>
      </c>
      <c r="G204" s="10"/>
    </row>
    <row r="205" spans="1:12" s="5" customFormat="1" ht="27" customHeight="1">
      <c r="A205" s="38">
        <v>199</v>
      </c>
      <c r="B205" s="50">
        <v>412</v>
      </c>
      <c r="C205" s="71" t="s">
        <v>419</v>
      </c>
      <c r="D205" s="71" t="s">
        <v>60</v>
      </c>
      <c r="E205" s="45" t="s">
        <v>190</v>
      </c>
      <c r="F205" s="46">
        <v>900</v>
      </c>
      <c r="G205" s="10"/>
    </row>
    <row r="206" spans="1:12" s="4" customFormat="1" ht="42.75" customHeight="1">
      <c r="A206" s="38">
        <v>200</v>
      </c>
      <c r="B206" s="47">
        <v>412</v>
      </c>
      <c r="C206" s="49" t="s">
        <v>235</v>
      </c>
      <c r="D206" s="49"/>
      <c r="E206" s="63" t="s">
        <v>324</v>
      </c>
      <c r="F206" s="42">
        <f>SUM(F207)</f>
        <v>0</v>
      </c>
      <c r="G206" s="12"/>
    </row>
    <row r="207" spans="1:12" s="4" customFormat="1" ht="33" customHeight="1">
      <c r="A207" s="38">
        <v>201</v>
      </c>
      <c r="B207" s="50">
        <v>412</v>
      </c>
      <c r="C207" s="71" t="s">
        <v>235</v>
      </c>
      <c r="D207" s="71" t="s">
        <v>60</v>
      </c>
      <c r="E207" s="45" t="s">
        <v>190</v>
      </c>
      <c r="F207" s="46">
        <f>900-900</f>
        <v>0</v>
      </c>
      <c r="G207" s="12"/>
    </row>
    <row r="208" spans="1:12" s="4" customFormat="1" ht="39.75" customHeight="1">
      <c r="A208" s="38">
        <v>202</v>
      </c>
      <c r="B208" s="47">
        <v>412</v>
      </c>
      <c r="C208" s="49" t="s">
        <v>323</v>
      </c>
      <c r="D208" s="49"/>
      <c r="E208" s="68" t="s">
        <v>325</v>
      </c>
      <c r="F208" s="42">
        <f>SUM(F209)</f>
        <v>405</v>
      </c>
      <c r="G208" s="12"/>
    </row>
    <row r="209" spans="1:7" s="4" customFormat="1" ht="29.25" customHeight="1">
      <c r="A209" s="38">
        <v>203</v>
      </c>
      <c r="B209" s="50">
        <v>412</v>
      </c>
      <c r="C209" s="71" t="s">
        <v>323</v>
      </c>
      <c r="D209" s="71" t="s">
        <v>60</v>
      </c>
      <c r="E209" s="45" t="s">
        <v>190</v>
      </c>
      <c r="F209" s="46">
        <f>450-45</f>
        <v>405</v>
      </c>
      <c r="G209" s="12"/>
    </row>
    <row r="210" spans="1:7" s="4" customFormat="1" ht="24.75" customHeight="1">
      <c r="A210" s="38">
        <v>204</v>
      </c>
      <c r="B210" s="47">
        <v>412</v>
      </c>
      <c r="C210" s="49" t="s">
        <v>399</v>
      </c>
      <c r="D210" s="49"/>
      <c r="E210" s="32" t="s">
        <v>400</v>
      </c>
      <c r="F210" s="42">
        <f>SUM(F211)</f>
        <v>1050</v>
      </c>
      <c r="G210" s="12"/>
    </row>
    <row r="211" spans="1:7" s="4" customFormat="1" ht="30.75" customHeight="1">
      <c r="A211" s="38">
        <v>205</v>
      </c>
      <c r="B211" s="50">
        <v>412</v>
      </c>
      <c r="C211" s="71" t="s">
        <v>399</v>
      </c>
      <c r="D211" s="71" t="s">
        <v>60</v>
      </c>
      <c r="E211" s="45" t="s">
        <v>190</v>
      </c>
      <c r="F211" s="46">
        <v>1050</v>
      </c>
      <c r="G211" s="12"/>
    </row>
    <row r="212" spans="1:7" s="4" customFormat="1" ht="39.75" customHeight="1">
      <c r="A212" s="38">
        <v>206</v>
      </c>
      <c r="B212" s="39">
        <v>412</v>
      </c>
      <c r="C212" s="40" t="s">
        <v>185</v>
      </c>
      <c r="D212" s="40"/>
      <c r="E212" s="37" t="s">
        <v>321</v>
      </c>
      <c r="F212" s="42">
        <f>F213</f>
        <v>50</v>
      </c>
      <c r="G212" s="12"/>
    </row>
    <row r="213" spans="1:7" s="4" customFormat="1" ht="39.75" customHeight="1">
      <c r="A213" s="38">
        <v>207</v>
      </c>
      <c r="B213" s="39">
        <v>412</v>
      </c>
      <c r="C213" s="40" t="s">
        <v>149</v>
      </c>
      <c r="D213" s="40"/>
      <c r="E213" s="37" t="s">
        <v>252</v>
      </c>
      <c r="F213" s="42">
        <f>F214</f>
        <v>50</v>
      </c>
      <c r="G213" s="12"/>
    </row>
    <row r="214" spans="1:7" s="4" customFormat="1" ht="39.75" customHeight="1">
      <c r="A214" s="38">
        <v>208</v>
      </c>
      <c r="B214" s="43">
        <v>412</v>
      </c>
      <c r="C214" s="44" t="s">
        <v>149</v>
      </c>
      <c r="D214" s="44" t="s">
        <v>60</v>
      </c>
      <c r="E214" s="45" t="s">
        <v>190</v>
      </c>
      <c r="F214" s="46">
        <v>50</v>
      </c>
      <c r="G214" s="12"/>
    </row>
    <row r="215" spans="1:7" s="4" customFormat="1" ht="54.75" customHeight="1">
      <c r="A215" s="38">
        <v>209</v>
      </c>
      <c r="B215" s="47">
        <v>412</v>
      </c>
      <c r="C215" s="49" t="s">
        <v>272</v>
      </c>
      <c r="D215" s="49"/>
      <c r="E215" s="37" t="s">
        <v>215</v>
      </c>
      <c r="F215" s="42">
        <f>SUM(F216+F218)</f>
        <v>4043.1</v>
      </c>
      <c r="G215" s="12"/>
    </row>
    <row r="216" spans="1:7" s="4" customFormat="1" ht="39.75" customHeight="1">
      <c r="A216" s="38">
        <v>210</v>
      </c>
      <c r="B216" s="47">
        <v>412</v>
      </c>
      <c r="C216" s="49" t="s">
        <v>402</v>
      </c>
      <c r="D216" s="49"/>
      <c r="E216" s="68" t="s">
        <v>322</v>
      </c>
      <c r="F216" s="42">
        <f>SUM(F217)</f>
        <v>1213.0999999999999</v>
      </c>
      <c r="G216" s="12"/>
    </row>
    <row r="217" spans="1:7" s="4" customFormat="1" ht="29.25" customHeight="1">
      <c r="A217" s="38">
        <v>211</v>
      </c>
      <c r="B217" s="50">
        <v>412</v>
      </c>
      <c r="C217" s="71" t="s">
        <v>216</v>
      </c>
      <c r="D217" s="71" t="s">
        <v>60</v>
      </c>
      <c r="E217" s="45" t="s">
        <v>190</v>
      </c>
      <c r="F217" s="46">
        <v>1213.0999999999999</v>
      </c>
      <c r="G217" s="12"/>
    </row>
    <row r="218" spans="1:7" s="4" customFormat="1" ht="93.75" customHeight="1">
      <c r="A218" s="38">
        <v>212</v>
      </c>
      <c r="B218" s="47">
        <v>412</v>
      </c>
      <c r="C218" s="49" t="s">
        <v>401</v>
      </c>
      <c r="D218" s="49"/>
      <c r="E218" s="37" t="s">
        <v>403</v>
      </c>
      <c r="F218" s="42">
        <f>SUM(F219)</f>
        <v>2830</v>
      </c>
      <c r="G218" s="12"/>
    </row>
    <row r="219" spans="1:7" s="4" customFormat="1" ht="29.25" customHeight="1">
      <c r="A219" s="38">
        <v>213</v>
      </c>
      <c r="B219" s="50">
        <v>412</v>
      </c>
      <c r="C219" s="71" t="s">
        <v>401</v>
      </c>
      <c r="D219" s="71" t="s">
        <v>60</v>
      </c>
      <c r="E219" s="45" t="s">
        <v>190</v>
      </c>
      <c r="F219" s="46">
        <v>2830</v>
      </c>
      <c r="G219" s="12"/>
    </row>
    <row r="220" spans="1:7" s="4" customFormat="1" ht="35.25" customHeight="1">
      <c r="A220" s="38">
        <v>214</v>
      </c>
      <c r="B220" s="47">
        <v>412</v>
      </c>
      <c r="C220" s="49" t="s">
        <v>278</v>
      </c>
      <c r="D220" s="49"/>
      <c r="E220" s="68" t="s">
        <v>275</v>
      </c>
      <c r="F220" s="42">
        <f>SUM(F221)</f>
        <v>23</v>
      </c>
      <c r="G220" s="12"/>
    </row>
    <row r="221" spans="1:7" s="4" customFormat="1" ht="48.75" customHeight="1">
      <c r="A221" s="38">
        <v>215</v>
      </c>
      <c r="B221" s="47">
        <v>412</v>
      </c>
      <c r="C221" s="49" t="s">
        <v>369</v>
      </c>
      <c r="D221" s="49"/>
      <c r="E221" s="63" t="s">
        <v>366</v>
      </c>
      <c r="F221" s="42">
        <f>SUM(F222+F224)</f>
        <v>23</v>
      </c>
      <c r="G221" s="12"/>
    </row>
    <row r="222" spans="1:7" s="4" customFormat="1" ht="42" customHeight="1">
      <c r="A222" s="38">
        <v>216</v>
      </c>
      <c r="B222" s="47">
        <v>412</v>
      </c>
      <c r="C222" s="49" t="s">
        <v>277</v>
      </c>
      <c r="D222" s="49"/>
      <c r="E222" s="63" t="s">
        <v>276</v>
      </c>
      <c r="F222" s="42">
        <f>SUM(F223)</f>
        <v>3</v>
      </c>
      <c r="G222" s="12"/>
    </row>
    <row r="223" spans="1:7" s="4" customFormat="1" ht="29.25" customHeight="1">
      <c r="A223" s="38">
        <v>217</v>
      </c>
      <c r="B223" s="50">
        <v>412</v>
      </c>
      <c r="C223" s="71" t="s">
        <v>277</v>
      </c>
      <c r="D223" s="71" t="s">
        <v>60</v>
      </c>
      <c r="E223" s="45" t="s">
        <v>190</v>
      </c>
      <c r="F223" s="46">
        <v>3</v>
      </c>
      <c r="G223" s="12"/>
    </row>
    <row r="224" spans="1:7" s="4" customFormat="1" ht="63" customHeight="1">
      <c r="A224" s="38">
        <v>218</v>
      </c>
      <c r="B224" s="47">
        <v>412</v>
      </c>
      <c r="C224" s="49" t="s">
        <v>368</v>
      </c>
      <c r="D224" s="49"/>
      <c r="E224" s="68" t="s">
        <v>367</v>
      </c>
      <c r="F224" s="42">
        <f>SUM(F225)</f>
        <v>20</v>
      </c>
      <c r="G224" s="12"/>
    </row>
    <row r="225" spans="1:11" s="4" customFormat="1" ht="29.25" customHeight="1">
      <c r="A225" s="38">
        <v>219</v>
      </c>
      <c r="B225" s="50">
        <v>412</v>
      </c>
      <c r="C225" s="71" t="s">
        <v>368</v>
      </c>
      <c r="D225" s="71" t="s">
        <v>60</v>
      </c>
      <c r="E225" s="45" t="s">
        <v>190</v>
      </c>
      <c r="F225" s="46">
        <v>20</v>
      </c>
      <c r="G225" s="12"/>
    </row>
    <row r="226" spans="1:11" s="4" customFormat="1" ht="27.75" customHeight="1">
      <c r="A226" s="38">
        <v>220</v>
      </c>
      <c r="B226" s="39">
        <v>500</v>
      </c>
      <c r="C226" s="40"/>
      <c r="D226" s="40"/>
      <c r="E226" s="41" t="s">
        <v>14</v>
      </c>
      <c r="F226" s="42">
        <f>SUM(F227+F238+F250+F265)</f>
        <v>45396.67499</v>
      </c>
      <c r="G226" s="12"/>
    </row>
    <row r="227" spans="1:11" s="4" customFormat="1" ht="14.25" customHeight="1">
      <c r="A227" s="38">
        <v>221</v>
      </c>
      <c r="B227" s="39">
        <v>501</v>
      </c>
      <c r="C227" s="40"/>
      <c r="D227" s="40"/>
      <c r="E227" s="37" t="s">
        <v>15</v>
      </c>
      <c r="F227" s="42">
        <f>SUM(F228+F235)</f>
        <v>1257.2</v>
      </c>
      <c r="G227" s="12"/>
    </row>
    <row r="228" spans="1:11" ht="41.25" customHeight="1">
      <c r="A228" s="38">
        <v>222</v>
      </c>
      <c r="B228" s="39">
        <v>501</v>
      </c>
      <c r="C228" s="40" t="s">
        <v>147</v>
      </c>
      <c r="D228" s="40"/>
      <c r="E228" s="61" t="s">
        <v>290</v>
      </c>
      <c r="F228" s="42">
        <f>SUM(F229+F231+F233)</f>
        <v>1184.2</v>
      </c>
      <c r="G228" s="10" t="e">
        <f>G229+#REF!+#REF!+#REF!</f>
        <v>#REF!</v>
      </c>
    </row>
    <row r="229" spans="1:11" ht="43.5" customHeight="1">
      <c r="A229" s="38">
        <v>223</v>
      </c>
      <c r="B229" s="39">
        <v>501</v>
      </c>
      <c r="C229" s="40" t="s">
        <v>148</v>
      </c>
      <c r="D229" s="44"/>
      <c r="E229" s="61" t="s">
        <v>239</v>
      </c>
      <c r="F229" s="42">
        <f>F230</f>
        <v>900.26700000000005</v>
      </c>
      <c r="G229" s="10" t="e">
        <f>G230+#REF!</f>
        <v>#REF!</v>
      </c>
    </row>
    <row r="230" spans="1:11" ht="34.5" customHeight="1">
      <c r="A230" s="38">
        <v>224</v>
      </c>
      <c r="B230" s="43">
        <v>501</v>
      </c>
      <c r="C230" s="44" t="s">
        <v>148</v>
      </c>
      <c r="D230" s="44" t="s">
        <v>60</v>
      </c>
      <c r="E230" s="45" t="s">
        <v>190</v>
      </c>
      <c r="F230" s="46">
        <f>1022-8.015-73.718-40</f>
        <v>900.26700000000005</v>
      </c>
      <c r="G230" s="10" t="e">
        <f>#REF!</f>
        <v>#REF!</v>
      </c>
      <c r="H230" s="100"/>
      <c r="I230" s="101"/>
      <c r="J230" s="101"/>
      <c r="K230" s="101"/>
    </row>
    <row r="231" spans="1:11" ht="26.25" customHeight="1">
      <c r="A231" s="38">
        <v>225</v>
      </c>
      <c r="B231" s="39">
        <v>501</v>
      </c>
      <c r="C231" s="40" t="s">
        <v>240</v>
      </c>
      <c r="D231" s="40"/>
      <c r="E231" s="32" t="s">
        <v>241</v>
      </c>
      <c r="F231" s="42">
        <f>SUM(F232)</f>
        <v>0</v>
      </c>
      <c r="G231" s="10"/>
      <c r="H231" s="29"/>
      <c r="I231" s="28"/>
      <c r="J231" s="28"/>
      <c r="K231" s="28"/>
    </row>
    <row r="232" spans="1:11" ht="32.25" customHeight="1">
      <c r="A232" s="38">
        <v>226</v>
      </c>
      <c r="B232" s="43">
        <v>501</v>
      </c>
      <c r="C232" s="44" t="s">
        <v>240</v>
      </c>
      <c r="D232" s="44" t="s">
        <v>60</v>
      </c>
      <c r="E232" s="45" t="s">
        <v>190</v>
      </c>
      <c r="F232" s="46">
        <f>70-70</f>
        <v>0</v>
      </c>
      <c r="G232" s="10"/>
      <c r="H232" s="29"/>
      <c r="I232" s="28"/>
      <c r="J232" s="28"/>
      <c r="K232" s="28"/>
    </row>
    <row r="233" spans="1:11" ht="26.25" customHeight="1">
      <c r="A233" s="38">
        <v>227</v>
      </c>
      <c r="B233" s="39">
        <v>501</v>
      </c>
      <c r="C233" s="40" t="s">
        <v>411</v>
      </c>
      <c r="D233" s="40"/>
      <c r="E233" s="37" t="s">
        <v>410</v>
      </c>
      <c r="F233" s="42">
        <f>SUM(F234)</f>
        <v>283.93299999999999</v>
      </c>
      <c r="G233" s="10"/>
      <c r="H233" s="29"/>
      <c r="I233" s="31"/>
      <c r="J233" s="31"/>
      <c r="K233" s="31"/>
    </row>
    <row r="234" spans="1:11" ht="31.5" customHeight="1">
      <c r="A234" s="38">
        <v>228</v>
      </c>
      <c r="B234" s="43">
        <v>501</v>
      </c>
      <c r="C234" s="44" t="s">
        <v>411</v>
      </c>
      <c r="D234" s="44" t="s">
        <v>60</v>
      </c>
      <c r="E234" s="45" t="s">
        <v>190</v>
      </c>
      <c r="F234" s="46">
        <v>283.93299999999999</v>
      </c>
      <c r="G234" s="10"/>
      <c r="H234" s="29"/>
      <c r="I234" s="31"/>
      <c r="J234" s="31"/>
      <c r="K234" s="31"/>
    </row>
    <row r="235" spans="1:11" ht="59.25" customHeight="1">
      <c r="A235" s="38">
        <v>229</v>
      </c>
      <c r="B235" s="39">
        <v>501</v>
      </c>
      <c r="C235" s="40" t="s">
        <v>245</v>
      </c>
      <c r="D235" s="40"/>
      <c r="E235" s="68" t="s">
        <v>242</v>
      </c>
      <c r="F235" s="42">
        <f>SUM(F236)</f>
        <v>73</v>
      </c>
      <c r="G235" s="10"/>
      <c r="H235" s="29"/>
      <c r="I235" s="28"/>
      <c r="J235" s="28"/>
      <c r="K235" s="28"/>
    </row>
    <row r="236" spans="1:11" ht="32.25" customHeight="1">
      <c r="A236" s="38">
        <v>230</v>
      </c>
      <c r="B236" s="39">
        <v>501</v>
      </c>
      <c r="C236" s="40" t="s">
        <v>244</v>
      </c>
      <c r="D236" s="40"/>
      <c r="E236" s="63" t="s">
        <v>243</v>
      </c>
      <c r="F236" s="42">
        <f>SUM(F237)</f>
        <v>73</v>
      </c>
      <c r="G236" s="10"/>
      <c r="H236" s="29"/>
      <c r="I236" s="28"/>
      <c r="J236" s="28"/>
      <c r="K236" s="28"/>
    </row>
    <row r="237" spans="1:11" ht="32.25" customHeight="1">
      <c r="A237" s="38">
        <v>231</v>
      </c>
      <c r="B237" s="43">
        <v>501</v>
      </c>
      <c r="C237" s="44" t="s">
        <v>244</v>
      </c>
      <c r="D237" s="44" t="s">
        <v>60</v>
      </c>
      <c r="E237" s="45" t="s">
        <v>190</v>
      </c>
      <c r="F237" s="46">
        <v>73</v>
      </c>
      <c r="G237" s="10"/>
      <c r="H237" s="29"/>
      <c r="I237" s="28"/>
      <c r="J237" s="28"/>
      <c r="K237" s="28"/>
    </row>
    <row r="238" spans="1:11" s="5" customFormat="1" ht="12.75" customHeight="1">
      <c r="A238" s="38">
        <v>232</v>
      </c>
      <c r="B238" s="39">
        <v>502</v>
      </c>
      <c r="C238" s="40"/>
      <c r="D238" s="40"/>
      <c r="E238" s="37" t="s">
        <v>16</v>
      </c>
      <c r="F238" s="42">
        <f>SUM(F239)</f>
        <v>9248.8320000000003</v>
      </c>
      <c r="G238" s="10">
        <v>1105</v>
      </c>
    </row>
    <row r="239" spans="1:11" ht="43.5" customHeight="1">
      <c r="A239" s="38">
        <v>233</v>
      </c>
      <c r="B239" s="39">
        <v>502</v>
      </c>
      <c r="C239" s="40" t="s">
        <v>332</v>
      </c>
      <c r="D239" s="40"/>
      <c r="E239" s="61" t="s">
        <v>326</v>
      </c>
      <c r="F239" s="42">
        <f>SUM(F240+F242+F244+F246+F248)</f>
        <v>9248.8320000000003</v>
      </c>
      <c r="G239" s="10" t="e">
        <f>G240+#REF!+#REF!+#REF!</f>
        <v>#REF!</v>
      </c>
    </row>
    <row r="240" spans="1:11" ht="39" customHeight="1">
      <c r="A240" s="38">
        <v>234</v>
      </c>
      <c r="B240" s="39">
        <v>502</v>
      </c>
      <c r="C240" s="40" t="s">
        <v>328</v>
      </c>
      <c r="D240" s="40"/>
      <c r="E240" s="61" t="s">
        <v>327</v>
      </c>
      <c r="F240" s="42">
        <f>F241</f>
        <v>0</v>
      </c>
      <c r="G240" s="10" t="e">
        <f>G241</f>
        <v>#REF!</v>
      </c>
    </row>
    <row r="241" spans="1:9" ht="30" customHeight="1">
      <c r="A241" s="38">
        <v>235</v>
      </c>
      <c r="B241" s="43">
        <v>502</v>
      </c>
      <c r="C241" s="44" t="s">
        <v>328</v>
      </c>
      <c r="D241" s="44" t="s">
        <v>60</v>
      </c>
      <c r="E241" s="45" t="s">
        <v>190</v>
      </c>
      <c r="F241" s="46">
        <f>50-50</f>
        <v>0</v>
      </c>
      <c r="G241" s="10" t="e">
        <f>#REF!+#REF!</f>
        <v>#REF!</v>
      </c>
    </row>
    <row r="242" spans="1:9" ht="67.5" customHeight="1">
      <c r="A242" s="38">
        <v>236</v>
      </c>
      <c r="B242" s="39">
        <v>502</v>
      </c>
      <c r="C242" s="40" t="s">
        <v>329</v>
      </c>
      <c r="D242" s="40"/>
      <c r="E242" s="61" t="s">
        <v>395</v>
      </c>
      <c r="F242" s="42">
        <f>SUM(F243)</f>
        <v>5386.0120000000006</v>
      </c>
      <c r="G242" s="10"/>
    </row>
    <row r="243" spans="1:9" ht="48.75" customHeight="1">
      <c r="A243" s="38">
        <v>237</v>
      </c>
      <c r="B243" s="43">
        <v>502</v>
      </c>
      <c r="C243" s="44" t="s">
        <v>329</v>
      </c>
      <c r="D243" s="44" t="s">
        <v>60</v>
      </c>
      <c r="E243" s="45" t="s">
        <v>190</v>
      </c>
      <c r="F243" s="46">
        <f>14115-6209.005-37.65-30-1020-18-1414.333</f>
        <v>5386.0120000000006</v>
      </c>
      <c r="G243" s="10"/>
    </row>
    <row r="244" spans="1:9" ht="69.75" customHeight="1">
      <c r="A244" s="38">
        <v>238</v>
      </c>
      <c r="B244" s="82">
        <v>502</v>
      </c>
      <c r="C244" s="83" t="s">
        <v>456</v>
      </c>
      <c r="D244" s="83"/>
      <c r="E244" s="90" t="s">
        <v>455</v>
      </c>
      <c r="F244" s="85">
        <f>SUM(F245)</f>
        <v>0</v>
      </c>
      <c r="G244" s="10"/>
    </row>
    <row r="245" spans="1:9" ht="30" customHeight="1">
      <c r="A245" s="38">
        <v>239</v>
      </c>
      <c r="B245" s="86">
        <v>502</v>
      </c>
      <c r="C245" s="87" t="s">
        <v>456</v>
      </c>
      <c r="D245" s="87" t="s">
        <v>60</v>
      </c>
      <c r="E245" s="88" t="s">
        <v>190</v>
      </c>
      <c r="F245" s="89">
        <f>1206.184-1206.184</f>
        <v>0</v>
      </c>
      <c r="G245" s="10"/>
    </row>
    <row r="246" spans="1:9" ht="63" customHeight="1">
      <c r="A246" s="38">
        <v>240</v>
      </c>
      <c r="B246" s="82">
        <v>502</v>
      </c>
      <c r="C246" s="83" t="s">
        <v>331</v>
      </c>
      <c r="D246" s="83"/>
      <c r="E246" s="90" t="s">
        <v>330</v>
      </c>
      <c r="F246" s="85">
        <f>SUM(F247:F247)</f>
        <v>2862.8199999999997</v>
      </c>
      <c r="G246" s="10"/>
    </row>
    <row r="247" spans="1:9" s="4" customFormat="1" ht="51" customHeight="1">
      <c r="A247" s="38">
        <v>241</v>
      </c>
      <c r="B247" s="86">
        <v>502</v>
      </c>
      <c r="C247" s="87" t="s">
        <v>331</v>
      </c>
      <c r="D247" s="87" t="s">
        <v>49</v>
      </c>
      <c r="E247" s="88" t="s">
        <v>192</v>
      </c>
      <c r="F247" s="89">
        <f>1000+1862.82</f>
        <v>2862.8199999999997</v>
      </c>
      <c r="G247" s="12"/>
      <c r="H247" s="25" t="s">
        <v>246</v>
      </c>
    </row>
    <row r="248" spans="1:9" s="4" customFormat="1" ht="52.5" customHeight="1">
      <c r="A248" s="38">
        <v>242</v>
      </c>
      <c r="B248" s="82">
        <v>502</v>
      </c>
      <c r="C248" s="83" t="s">
        <v>446</v>
      </c>
      <c r="D248" s="83"/>
      <c r="E248" s="90" t="s">
        <v>445</v>
      </c>
      <c r="F248" s="85">
        <f>SUM(F249)</f>
        <v>1000</v>
      </c>
      <c r="G248" s="12"/>
      <c r="H248" s="25"/>
    </row>
    <row r="249" spans="1:9" s="4" customFormat="1" ht="51" customHeight="1">
      <c r="A249" s="38">
        <v>243</v>
      </c>
      <c r="B249" s="86">
        <v>502</v>
      </c>
      <c r="C249" s="87" t="s">
        <v>446</v>
      </c>
      <c r="D249" s="87" t="s">
        <v>49</v>
      </c>
      <c r="E249" s="88" t="s">
        <v>192</v>
      </c>
      <c r="F249" s="89">
        <v>1000</v>
      </c>
      <c r="G249" s="12"/>
      <c r="H249" s="25"/>
    </row>
    <row r="250" spans="1:9" ht="18.75" customHeight="1">
      <c r="A250" s="38">
        <v>244</v>
      </c>
      <c r="B250" s="39">
        <v>503</v>
      </c>
      <c r="C250" s="40"/>
      <c r="D250" s="40"/>
      <c r="E250" s="37" t="s">
        <v>17</v>
      </c>
      <c r="F250" s="42">
        <f>SUM(F251+F260)</f>
        <v>9646.2839899999981</v>
      </c>
      <c r="G250" s="11"/>
    </row>
    <row r="251" spans="1:9" ht="43.5" customHeight="1">
      <c r="A251" s="38">
        <v>245</v>
      </c>
      <c r="B251" s="39">
        <v>503</v>
      </c>
      <c r="C251" s="40" t="s">
        <v>147</v>
      </c>
      <c r="D251" s="40"/>
      <c r="E251" s="61" t="s">
        <v>290</v>
      </c>
      <c r="F251" s="42">
        <f>SUM(F252+F254+F256+F258)</f>
        <v>9646.2839899999981</v>
      </c>
      <c r="G251" s="10" t="e">
        <f>#REF!+#REF!+#REF!+#REF!+#REF!</f>
        <v>#REF!</v>
      </c>
    </row>
    <row r="252" spans="1:9" s="5" customFormat="1" ht="23.25" customHeight="1">
      <c r="A252" s="38">
        <v>246</v>
      </c>
      <c r="B252" s="39">
        <v>503</v>
      </c>
      <c r="C252" s="40" t="s">
        <v>335</v>
      </c>
      <c r="D252" s="40"/>
      <c r="E252" s="37" t="s">
        <v>247</v>
      </c>
      <c r="F252" s="42">
        <f>F253</f>
        <v>4750.4869899999985</v>
      </c>
      <c r="G252" s="10">
        <v>150</v>
      </c>
    </row>
    <row r="253" spans="1:9" s="5" customFormat="1" ht="27.75" customHeight="1">
      <c r="A253" s="38">
        <v>247</v>
      </c>
      <c r="B253" s="43">
        <v>503</v>
      </c>
      <c r="C253" s="44" t="s">
        <v>335</v>
      </c>
      <c r="D253" s="44" t="s">
        <v>60</v>
      </c>
      <c r="E253" s="45" t="s">
        <v>190</v>
      </c>
      <c r="F253" s="46">
        <f>4674.4+30-104.866-40.512+24.512+13.396+54+40+0.06599-2.354+8.643+39.096-13.894+28</f>
        <v>4750.4869899999985</v>
      </c>
      <c r="G253" s="10"/>
      <c r="H253" s="27"/>
      <c r="I253" s="27"/>
    </row>
    <row r="254" spans="1:9" s="5" customFormat="1" ht="21.75" customHeight="1">
      <c r="A254" s="38">
        <v>248</v>
      </c>
      <c r="B254" s="39">
        <v>503</v>
      </c>
      <c r="C254" s="40" t="s">
        <v>336</v>
      </c>
      <c r="D254" s="40"/>
      <c r="E254" s="37" t="s">
        <v>18</v>
      </c>
      <c r="F254" s="42">
        <f>SUM(F255)</f>
        <v>450.96300000000002</v>
      </c>
      <c r="G254" s="10"/>
    </row>
    <row r="255" spans="1:9" s="4" customFormat="1" ht="30.75" customHeight="1">
      <c r="A255" s="38">
        <v>249</v>
      </c>
      <c r="B255" s="43">
        <v>503</v>
      </c>
      <c r="C255" s="44" t="s">
        <v>336</v>
      </c>
      <c r="D255" s="44" t="s">
        <v>60</v>
      </c>
      <c r="E255" s="45" t="s">
        <v>190</v>
      </c>
      <c r="F255" s="46">
        <f>451-0.037</f>
        <v>450.96300000000002</v>
      </c>
      <c r="G255" s="12"/>
    </row>
    <row r="256" spans="1:9" ht="69" customHeight="1">
      <c r="A256" s="38">
        <v>250</v>
      </c>
      <c r="B256" s="39">
        <v>503</v>
      </c>
      <c r="C256" s="40" t="s">
        <v>337</v>
      </c>
      <c r="D256" s="40"/>
      <c r="E256" s="37" t="s">
        <v>333</v>
      </c>
      <c r="F256" s="42">
        <f>SUM(F257)</f>
        <v>2702.7620000000002</v>
      </c>
      <c r="G256" s="12">
        <v>50</v>
      </c>
    </row>
    <row r="257" spans="1:11" ht="27" customHeight="1">
      <c r="A257" s="38">
        <v>251</v>
      </c>
      <c r="B257" s="43">
        <v>503</v>
      </c>
      <c r="C257" s="44" t="s">
        <v>337</v>
      </c>
      <c r="D257" s="44" t="s">
        <v>60</v>
      </c>
      <c r="E257" s="45" t="s">
        <v>190</v>
      </c>
      <c r="F257" s="46">
        <f>700+400+1254.65+85+85+104.866-0.275+86.022+16-0.219-3.167-25.115</f>
        <v>2702.7620000000002</v>
      </c>
      <c r="G257" s="12"/>
      <c r="H257" s="107" t="s">
        <v>334</v>
      </c>
      <c r="I257" s="101"/>
      <c r="J257" s="101"/>
      <c r="K257" s="101"/>
    </row>
    <row r="258" spans="1:11" ht="81" customHeight="1">
      <c r="A258" s="38">
        <v>252</v>
      </c>
      <c r="B258" s="82">
        <v>503</v>
      </c>
      <c r="C258" s="83" t="s">
        <v>448</v>
      </c>
      <c r="D258" s="83"/>
      <c r="E258" s="84" t="s">
        <v>447</v>
      </c>
      <c r="F258" s="85">
        <f>SUM(F259)</f>
        <v>1742.0720000000001</v>
      </c>
      <c r="G258" s="12"/>
      <c r="H258" s="80"/>
      <c r="I258" s="78"/>
      <c r="J258" s="78"/>
      <c r="K258" s="78"/>
    </row>
    <row r="259" spans="1:11" ht="27" customHeight="1">
      <c r="A259" s="38">
        <v>253</v>
      </c>
      <c r="B259" s="86">
        <v>503</v>
      </c>
      <c r="C259" s="87" t="s">
        <v>448</v>
      </c>
      <c r="D259" s="87" t="s">
        <v>60</v>
      </c>
      <c r="E259" s="88" t="s">
        <v>190</v>
      </c>
      <c r="F259" s="89">
        <f>1500+385-138-83.906+78.978</f>
        <v>1742.0720000000001</v>
      </c>
      <c r="G259" s="12"/>
      <c r="H259" s="80"/>
      <c r="I259" s="78"/>
      <c r="J259" s="78"/>
      <c r="K259" s="78"/>
    </row>
    <row r="260" spans="1:11" ht="45" customHeight="1">
      <c r="A260" s="38">
        <v>254</v>
      </c>
      <c r="B260" s="39">
        <v>503</v>
      </c>
      <c r="C260" s="40" t="s">
        <v>261</v>
      </c>
      <c r="D260" s="40"/>
      <c r="E260" s="37" t="s">
        <v>467</v>
      </c>
      <c r="F260" s="42">
        <f>SUM(F261+F263)</f>
        <v>0</v>
      </c>
      <c r="G260" s="12"/>
    </row>
    <row r="261" spans="1:11" ht="41.25" customHeight="1">
      <c r="A261" s="38">
        <v>255</v>
      </c>
      <c r="B261" s="39">
        <v>503</v>
      </c>
      <c r="C261" s="40" t="s">
        <v>250</v>
      </c>
      <c r="D261" s="40"/>
      <c r="E261" s="68" t="s">
        <v>248</v>
      </c>
      <c r="F261" s="42">
        <f>SUM(F262)</f>
        <v>0</v>
      </c>
      <c r="G261" s="12"/>
    </row>
    <row r="262" spans="1:11" ht="35.25" customHeight="1">
      <c r="A262" s="38">
        <v>256</v>
      </c>
      <c r="B262" s="43">
        <v>503</v>
      </c>
      <c r="C262" s="44" t="s">
        <v>250</v>
      </c>
      <c r="D262" s="44" t="s">
        <v>60</v>
      </c>
      <c r="E262" s="45" t="s">
        <v>190</v>
      </c>
      <c r="F262" s="46">
        <f>270-270</f>
        <v>0</v>
      </c>
      <c r="G262" s="12"/>
    </row>
    <row r="263" spans="1:11" ht="35.25" customHeight="1">
      <c r="A263" s="38">
        <v>257</v>
      </c>
      <c r="B263" s="39">
        <v>503</v>
      </c>
      <c r="C263" s="40" t="s">
        <v>251</v>
      </c>
      <c r="D263" s="40"/>
      <c r="E263" s="37" t="s">
        <v>249</v>
      </c>
      <c r="F263" s="42">
        <f>SUM(F264)</f>
        <v>0</v>
      </c>
      <c r="G263" s="12"/>
    </row>
    <row r="264" spans="1:11" ht="35.25" customHeight="1">
      <c r="A264" s="38">
        <v>258</v>
      </c>
      <c r="B264" s="43">
        <v>503</v>
      </c>
      <c r="C264" s="44" t="s">
        <v>251</v>
      </c>
      <c r="D264" s="44" t="s">
        <v>60</v>
      </c>
      <c r="E264" s="45" t="s">
        <v>190</v>
      </c>
      <c r="F264" s="46">
        <f>1000-1000</f>
        <v>0</v>
      </c>
      <c r="G264" s="12"/>
    </row>
    <row r="265" spans="1:11" ht="22.5" customHeight="1">
      <c r="A265" s="38">
        <v>259</v>
      </c>
      <c r="B265" s="39">
        <v>505</v>
      </c>
      <c r="C265" s="40"/>
      <c r="D265" s="40"/>
      <c r="E265" s="37" t="s">
        <v>55</v>
      </c>
      <c r="F265" s="42">
        <f>SUM(F266+F271)</f>
        <v>25244.359</v>
      </c>
      <c r="G265" s="11"/>
    </row>
    <row r="266" spans="1:11" ht="42" customHeight="1">
      <c r="A266" s="38">
        <v>260</v>
      </c>
      <c r="B266" s="39">
        <v>505</v>
      </c>
      <c r="C266" s="40" t="s">
        <v>147</v>
      </c>
      <c r="D266" s="40"/>
      <c r="E266" s="61" t="s">
        <v>290</v>
      </c>
      <c r="F266" s="42">
        <f>SUM(F267+F269)</f>
        <v>25244.359</v>
      </c>
      <c r="G266" s="11"/>
    </row>
    <row r="267" spans="1:11" ht="42" customHeight="1">
      <c r="A267" s="38">
        <v>261</v>
      </c>
      <c r="B267" s="39">
        <v>505</v>
      </c>
      <c r="C267" s="40" t="s">
        <v>339</v>
      </c>
      <c r="D267" s="40"/>
      <c r="E267" s="61" t="s">
        <v>338</v>
      </c>
      <c r="F267" s="42">
        <f>SUBTOTAL(9,F268)</f>
        <v>25244.359</v>
      </c>
      <c r="G267" s="11"/>
    </row>
    <row r="268" spans="1:11" ht="33" customHeight="1">
      <c r="A268" s="38">
        <v>262</v>
      </c>
      <c r="B268" s="43">
        <v>505</v>
      </c>
      <c r="C268" s="44" t="s">
        <v>339</v>
      </c>
      <c r="D268" s="44" t="s">
        <v>60</v>
      </c>
      <c r="E268" s="45" t="s">
        <v>190</v>
      </c>
      <c r="F268" s="60">
        <f>17725+6429.359+1090</f>
        <v>25244.359</v>
      </c>
      <c r="G268" s="11"/>
    </row>
    <row r="269" spans="1:11" ht="61.5" customHeight="1">
      <c r="A269" s="38">
        <v>263</v>
      </c>
      <c r="B269" s="39">
        <v>505</v>
      </c>
      <c r="C269" s="40" t="s">
        <v>340</v>
      </c>
      <c r="D269" s="40"/>
      <c r="E269" s="63" t="s">
        <v>103</v>
      </c>
      <c r="F269" s="42">
        <f>F270</f>
        <v>0</v>
      </c>
      <c r="G269" s="11"/>
    </row>
    <row r="270" spans="1:11" ht="45" customHeight="1">
      <c r="A270" s="38">
        <v>264</v>
      </c>
      <c r="B270" s="43">
        <v>505</v>
      </c>
      <c r="C270" s="44" t="s">
        <v>340</v>
      </c>
      <c r="D270" s="44" t="s">
        <v>49</v>
      </c>
      <c r="E270" s="45" t="s">
        <v>192</v>
      </c>
      <c r="F270" s="46">
        <f>16-16</f>
        <v>0</v>
      </c>
      <c r="G270" s="11"/>
    </row>
    <row r="271" spans="1:11" ht="45" customHeight="1">
      <c r="A271" s="38">
        <v>265</v>
      </c>
      <c r="B271" s="39">
        <v>505</v>
      </c>
      <c r="C271" s="40" t="s">
        <v>167</v>
      </c>
      <c r="D271" s="40"/>
      <c r="E271" s="37" t="s">
        <v>343</v>
      </c>
      <c r="F271" s="42">
        <f>SUM(F272)</f>
        <v>0</v>
      </c>
      <c r="G271" s="11"/>
    </row>
    <row r="272" spans="1:11" ht="45" customHeight="1">
      <c r="A272" s="38">
        <v>266</v>
      </c>
      <c r="B272" s="39">
        <v>505</v>
      </c>
      <c r="C272" s="40" t="s">
        <v>342</v>
      </c>
      <c r="D272" s="40"/>
      <c r="E272" s="61" t="s">
        <v>74</v>
      </c>
      <c r="F272" s="42">
        <f>SUM(F273:F274)</f>
        <v>0</v>
      </c>
      <c r="G272" s="11"/>
    </row>
    <row r="273" spans="1:7" ht="32.25" customHeight="1">
      <c r="A273" s="38">
        <v>267</v>
      </c>
      <c r="B273" s="43">
        <v>505</v>
      </c>
      <c r="C273" s="44" t="s">
        <v>342</v>
      </c>
      <c r="D273" s="44" t="s">
        <v>60</v>
      </c>
      <c r="E273" s="45" t="s">
        <v>190</v>
      </c>
      <c r="F273" s="46">
        <f>393.5-393.5</f>
        <v>0</v>
      </c>
      <c r="G273" s="11"/>
    </row>
    <row r="274" spans="1:7" ht="18" customHeight="1">
      <c r="A274" s="38">
        <v>268</v>
      </c>
      <c r="B274" s="43">
        <v>505</v>
      </c>
      <c r="C274" s="44" t="s">
        <v>342</v>
      </c>
      <c r="D274" s="44" t="s">
        <v>212</v>
      </c>
      <c r="E274" s="45" t="s">
        <v>213</v>
      </c>
      <c r="F274" s="46">
        <f>919.5-919.5</f>
        <v>0</v>
      </c>
      <c r="G274" s="11"/>
    </row>
    <row r="275" spans="1:7" ht="24" customHeight="1">
      <c r="A275" s="38">
        <v>269</v>
      </c>
      <c r="B275" s="39">
        <v>600</v>
      </c>
      <c r="C275" s="40"/>
      <c r="D275" s="40"/>
      <c r="E275" s="41" t="s">
        <v>19</v>
      </c>
      <c r="F275" s="42">
        <f>SUM(F276)</f>
        <v>230.05301000000003</v>
      </c>
      <c r="G275" s="11"/>
    </row>
    <row r="276" spans="1:7" ht="24" customHeight="1">
      <c r="A276" s="38">
        <v>270</v>
      </c>
      <c r="B276" s="39">
        <v>603</v>
      </c>
      <c r="C276" s="40"/>
      <c r="D276" s="40"/>
      <c r="E276" s="37" t="s">
        <v>178</v>
      </c>
      <c r="F276" s="42">
        <f>SUM(F277)</f>
        <v>230.05301000000003</v>
      </c>
      <c r="G276" s="11"/>
    </row>
    <row r="277" spans="1:7" ht="28.5" customHeight="1">
      <c r="A277" s="38">
        <v>271</v>
      </c>
      <c r="B277" s="39">
        <v>603</v>
      </c>
      <c r="C277" s="40" t="s">
        <v>184</v>
      </c>
      <c r="D277" s="40"/>
      <c r="E277" s="37" t="s">
        <v>291</v>
      </c>
      <c r="F277" s="42">
        <f>SUM(F278)</f>
        <v>230.05301000000003</v>
      </c>
      <c r="G277" s="10" t="e">
        <f>G278</f>
        <v>#REF!</v>
      </c>
    </row>
    <row r="278" spans="1:7" ht="50.25" customHeight="1">
      <c r="A278" s="38">
        <v>272</v>
      </c>
      <c r="B278" s="39">
        <v>603</v>
      </c>
      <c r="C278" s="40" t="s">
        <v>150</v>
      </c>
      <c r="D278" s="44"/>
      <c r="E278" s="37" t="s">
        <v>75</v>
      </c>
      <c r="F278" s="42">
        <f>F279</f>
        <v>230.05301000000003</v>
      </c>
      <c r="G278" s="10" t="e">
        <f>G279+#REF!+#REF!</f>
        <v>#REF!</v>
      </c>
    </row>
    <row r="279" spans="1:7" ht="25.5" customHeight="1">
      <c r="A279" s="38">
        <v>273</v>
      </c>
      <c r="B279" s="43">
        <v>603</v>
      </c>
      <c r="C279" s="44" t="s">
        <v>150</v>
      </c>
      <c r="D279" s="44" t="s">
        <v>60</v>
      </c>
      <c r="E279" s="45" t="s">
        <v>190</v>
      </c>
      <c r="F279" s="46">
        <f>274.1-30-0.06599-13.981</f>
        <v>230.05301000000003</v>
      </c>
      <c r="G279" s="10">
        <f>G280</f>
        <v>581</v>
      </c>
    </row>
    <row r="280" spans="1:7" ht="21.75" customHeight="1">
      <c r="A280" s="38">
        <v>274</v>
      </c>
      <c r="B280" s="39">
        <v>700</v>
      </c>
      <c r="C280" s="40"/>
      <c r="D280" s="40"/>
      <c r="E280" s="41" t="s">
        <v>20</v>
      </c>
      <c r="F280" s="42">
        <f>SUM(F281+F295+F318+F326+F347)</f>
        <v>165268.266</v>
      </c>
      <c r="G280" s="10">
        <f>G281</f>
        <v>581</v>
      </c>
    </row>
    <row r="281" spans="1:7" ht="22.5" customHeight="1">
      <c r="A281" s="38">
        <v>275</v>
      </c>
      <c r="B281" s="39">
        <v>701</v>
      </c>
      <c r="C281" s="40"/>
      <c r="D281" s="40"/>
      <c r="E281" s="37" t="s">
        <v>21</v>
      </c>
      <c r="F281" s="42">
        <f>SUM(F282)</f>
        <v>55938.936000000002</v>
      </c>
      <c r="G281" s="11">
        <v>581</v>
      </c>
    </row>
    <row r="282" spans="1:7" ht="30.75" customHeight="1">
      <c r="A282" s="38">
        <v>276</v>
      </c>
      <c r="B282" s="39">
        <v>701</v>
      </c>
      <c r="C282" s="40" t="s">
        <v>152</v>
      </c>
      <c r="D282" s="44"/>
      <c r="E282" s="37" t="s">
        <v>273</v>
      </c>
      <c r="F282" s="42">
        <f>SUM(F283+F290)</f>
        <v>55938.936000000002</v>
      </c>
      <c r="G282" s="11"/>
    </row>
    <row r="283" spans="1:7" ht="34.5" customHeight="1">
      <c r="A283" s="38">
        <v>277</v>
      </c>
      <c r="B283" s="39">
        <v>701</v>
      </c>
      <c r="C283" s="40" t="s">
        <v>465</v>
      </c>
      <c r="D283" s="40"/>
      <c r="E283" s="37" t="s">
        <v>344</v>
      </c>
      <c r="F283" s="42">
        <f>SUM(F284+F288)</f>
        <v>35315.135999999999</v>
      </c>
      <c r="G283" s="11"/>
    </row>
    <row r="284" spans="1:7" ht="45.75" customHeight="1">
      <c r="A284" s="38">
        <v>278</v>
      </c>
      <c r="B284" s="39">
        <v>701</v>
      </c>
      <c r="C284" s="40" t="s">
        <v>153</v>
      </c>
      <c r="D284" s="40"/>
      <c r="E284" s="37" t="s">
        <v>76</v>
      </c>
      <c r="F284" s="42">
        <f>SUM(F285:F287)</f>
        <v>34108.951999999997</v>
      </c>
      <c r="G284" s="11"/>
    </row>
    <row r="285" spans="1:7" ht="29.25" customHeight="1">
      <c r="A285" s="38">
        <v>279</v>
      </c>
      <c r="B285" s="43">
        <v>701</v>
      </c>
      <c r="C285" s="44" t="s">
        <v>153</v>
      </c>
      <c r="D285" s="44" t="s">
        <v>40</v>
      </c>
      <c r="E285" s="45" t="s">
        <v>41</v>
      </c>
      <c r="F285" s="46">
        <f>14846.8-0.646</f>
        <v>14846.153999999999</v>
      </c>
      <c r="G285" s="11"/>
    </row>
    <row r="286" spans="1:7" ht="36" customHeight="1">
      <c r="A286" s="38">
        <v>280</v>
      </c>
      <c r="B286" s="43">
        <v>701</v>
      </c>
      <c r="C286" s="44" t="s">
        <v>153</v>
      </c>
      <c r="D286" s="44" t="s">
        <v>60</v>
      </c>
      <c r="E286" s="45" t="s">
        <v>190</v>
      </c>
      <c r="F286" s="46">
        <f>14557.032+79.135+1512.548+250.137+167.293</f>
        <v>16566.145</v>
      </c>
      <c r="G286" s="11"/>
    </row>
    <row r="287" spans="1:7" ht="26.25" customHeight="1">
      <c r="A287" s="38">
        <v>281</v>
      </c>
      <c r="B287" s="43">
        <v>701</v>
      </c>
      <c r="C287" s="44" t="s">
        <v>153</v>
      </c>
      <c r="D287" s="44" t="s">
        <v>186</v>
      </c>
      <c r="E287" s="45" t="s">
        <v>187</v>
      </c>
      <c r="F287" s="46">
        <f>2063.3+800.646-167.293</f>
        <v>2696.6529999999998</v>
      </c>
      <c r="G287" s="11"/>
    </row>
    <row r="288" spans="1:7" ht="54" customHeight="1">
      <c r="A288" s="38">
        <v>282</v>
      </c>
      <c r="B288" s="39">
        <v>701</v>
      </c>
      <c r="C288" s="40" t="s">
        <v>464</v>
      </c>
      <c r="D288" s="40"/>
      <c r="E288" s="37" t="s">
        <v>463</v>
      </c>
      <c r="F288" s="42">
        <f>SUM(F289)</f>
        <v>1206.184</v>
      </c>
      <c r="G288" s="11"/>
    </row>
    <row r="289" spans="1:7" ht="26.25" customHeight="1">
      <c r="A289" s="38">
        <v>283</v>
      </c>
      <c r="B289" s="43">
        <v>701</v>
      </c>
      <c r="C289" s="44" t="s">
        <v>464</v>
      </c>
      <c r="D289" s="44" t="s">
        <v>60</v>
      </c>
      <c r="E289" s="45" t="s">
        <v>190</v>
      </c>
      <c r="F289" s="46">
        <v>1206.184</v>
      </c>
      <c r="G289" s="11"/>
    </row>
    <row r="290" spans="1:7" ht="62.25" customHeight="1">
      <c r="A290" s="38">
        <v>284</v>
      </c>
      <c r="B290" s="39">
        <v>701</v>
      </c>
      <c r="C290" s="40" t="s">
        <v>154</v>
      </c>
      <c r="D290" s="44"/>
      <c r="E290" s="37" t="s">
        <v>77</v>
      </c>
      <c r="F290" s="42">
        <f>SUM(F291+F293)</f>
        <v>20623.8</v>
      </c>
      <c r="G290" s="11"/>
    </row>
    <row r="291" spans="1:7" ht="81" customHeight="1">
      <c r="A291" s="38">
        <v>285</v>
      </c>
      <c r="B291" s="39">
        <v>701</v>
      </c>
      <c r="C291" s="40" t="s">
        <v>188</v>
      </c>
      <c r="D291" s="40"/>
      <c r="E291" s="37" t="s">
        <v>78</v>
      </c>
      <c r="F291" s="42">
        <f>SUM(F292)</f>
        <v>20282</v>
      </c>
      <c r="G291" s="10"/>
    </row>
    <row r="292" spans="1:7" ht="15.75" customHeight="1">
      <c r="A292" s="38">
        <v>286</v>
      </c>
      <c r="B292" s="43">
        <v>701</v>
      </c>
      <c r="C292" s="44" t="s">
        <v>188</v>
      </c>
      <c r="D292" s="44" t="s">
        <v>40</v>
      </c>
      <c r="E292" s="45" t="s">
        <v>41</v>
      </c>
      <c r="F292" s="46">
        <v>20282</v>
      </c>
      <c r="G292" s="10"/>
    </row>
    <row r="293" spans="1:7" ht="72" customHeight="1">
      <c r="A293" s="38">
        <v>287</v>
      </c>
      <c r="B293" s="39">
        <v>701</v>
      </c>
      <c r="C293" s="40" t="s">
        <v>350</v>
      </c>
      <c r="D293" s="40"/>
      <c r="E293" s="37" t="s">
        <v>79</v>
      </c>
      <c r="F293" s="42">
        <f>SUM(F294)</f>
        <v>341.8</v>
      </c>
      <c r="G293" s="10"/>
    </row>
    <row r="294" spans="1:7" ht="34.5" customHeight="1">
      <c r="A294" s="38">
        <v>288</v>
      </c>
      <c r="B294" s="43">
        <v>701</v>
      </c>
      <c r="C294" s="44" t="s">
        <v>350</v>
      </c>
      <c r="D294" s="44" t="s">
        <v>60</v>
      </c>
      <c r="E294" s="45" t="s">
        <v>190</v>
      </c>
      <c r="F294" s="46">
        <f>318+23.8</f>
        <v>341.8</v>
      </c>
      <c r="G294" s="10"/>
    </row>
    <row r="295" spans="1:7" ht="27" customHeight="1">
      <c r="A295" s="38">
        <v>289</v>
      </c>
      <c r="B295" s="39">
        <v>702</v>
      </c>
      <c r="C295" s="40"/>
      <c r="D295" s="40"/>
      <c r="E295" s="37" t="s">
        <v>22</v>
      </c>
      <c r="F295" s="42">
        <f>SUM(F296+F315)</f>
        <v>97511.116999999998</v>
      </c>
      <c r="G295" s="10"/>
    </row>
    <row r="296" spans="1:7" ht="32.25" customHeight="1">
      <c r="A296" s="38">
        <v>290</v>
      </c>
      <c r="B296" s="39">
        <v>702</v>
      </c>
      <c r="C296" s="40" t="s">
        <v>152</v>
      </c>
      <c r="D296" s="40"/>
      <c r="E296" s="37" t="s">
        <v>273</v>
      </c>
      <c r="F296" s="42">
        <f>SUM(F297+F303+F305+F312)</f>
        <v>91511.116999999998</v>
      </c>
      <c r="G296" s="10">
        <f>G298</f>
        <v>81276</v>
      </c>
    </row>
    <row r="297" spans="1:7" ht="35.25" customHeight="1">
      <c r="A297" s="38">
        <v>291</v>
      </c>
      <c r="B297" s="39">
        <v>702</v>
      </c>
      <c r="C297" s="40" t="s">
        <v>351</v>
      </c>
      <c r="D297" s="40"/>
      <c r="E297" s="37" t="s">
        <v>382</v>
      </c>
      <c r="F297" s="42">
        <f>F298</f>
        <v>40417.625</v>
      </c>
      <c r="G297" s="10"/>
    </row>
    <row r="298" spans="1:7" ht="39.75" customHeight="1">
      <c r="A298" s="38">
        <v>292</v>
      </c>
      <c r="B298" s="39">
        <v>702</v>
      </c>
      <c r="C298" s="40" t="s">
        <v>352</v>
      </c>
      <c r="D298" s="40"/>
      <c r="E298" s="37" t="s">
        <v>80</v>
      </c>
      <c r="F298" s="42">
        <f>SUM(F299:F302)</f>
        <v>40417.625</v>
      </c>
      <c r="G298" s="11">
        <v>81276</v>
      </c>
    </row>
    <row r="299" spans="1:7" ht="24.75" customHeight="1">
      <c r="A299" s="38">
        <v>293</v>
      </c>
      <c r="B299" s="43">
        <v>702</v>
      </c>
      <c r="C299" s="44" t="s">
        <v>352</v>
      </c>
      <c r="D299" s="44" t="s">
        <v>40</v>
      </c>
      <c r="E299" s="45" t="s">
        <v>41</v>
      </c>
      <c r="F299" s="46">
        <f>16861.958-14676.3</f>
        <v>2185.6579999999994</v>
      </c>
      <c r="G299" s="11"/>
    </row>
    <row r="300" spans="1:7" ht="29.25" customHeight="1">
      <c r="A300" s="38">
        <v>294</v>
      </c>
      <c r="B300" s="43">
        <v>702</v>
      </c>
      <c r="C300" s="44" t="s">
        <v>352</v>
      </c>
      <c r="D300" s="44" t="s">
        <v>60</v>
      </c>
      <c r="E300" s="45" t="s">
        <v>190</v>
      </c>
      <c r="F300" s="46">
        <f>23842.72-23842.72</f>
        <v>0</v>
      </c>
      <c r="G300" s="11"/>
    </row>
    <row r="301" spans="1:7" ht="21.75" customHeight="1">
      <c r="A301" s="38">
        <v>295</v>
      </c>
      <c r="B301" s="43">
        <v>702</v>
      </c>
      <c r="C301" s="44" t="s">
        <v>352</v>
      </c>
      <c r="D301" s="44" t="s">
        <v>404</v>
      </c>
      <c r="E301" s="45" t="s">
        <v>405</v>
      </c>
      <c r="F301" s="46">
        <f>38600.016-470.351-245.161-101.4+81.998+27.65+79.46+259.755</f>
        <v>38231.966999999997</v>
      </c>
      <c r="G301" s="11"/>
    </row>
    <row r="302" spans="1:7" ht="18.75" customHeight="1">
      <c r="A302" s="38">
        <v>296</v>
      </c>
      <c r="B302" s="43">
        <v>702</v>
      </c>
      <c r="C302" s="44" t="s">
        <v>352</v>
      </c>
      <c r="D302" s="44" t="s">
        <v>186</v>
      </c>
      <c r="E302" s="45" t="s">
        <v>187</v>
      </c>
      <c r="F302" s="46">
        <f>81-81</f>
        <v>0</v>
      </c>
      <c r="G302" s="11"/>
    </row>
    <row r="303" spans="1:7" ht="48" customHeight="1">
      <c r="A303" s="38">
        <v>297</v>
      </c>
      <c r="B303" s="82">
        <v>702</v>
      </c>
      <c r="C303" s="83" t="s">
        <v>450</v>
      </c>
      <c r="D303" s="83"/>
      <c r="E303" s="84" t="s">
        <v>449</v>
      </c>
      <c r="F303" s="85">
        <f>SUM(F304)</f>
        <v>775.99199999999996</v>
      </c>
      <c r="G303" s="11"/>
    </row>
    <row r="304" spans="1:7" ht="18.75" customHeight="1">
      <c r="A304" s="38">
        <v>298</v>
      </c>
      <c r="B304" s="86">
        <v>702</v>
      </c>
      <c r="C304" s="87" t="s">
        <v>450</v>
      </c>
      <c r="D304" s="87" t="s">
        <v>404</v>
      </c>
      <c r="E304" s="88" t="s">
        <v>405</v>
      </c>
      <c r="F304" s="89">
        <v>775.99199999999996</v>
      </c>
      <c r="G304" s="11"/>
    </row>
    <row r="305" spans="1:8" ht="87" customHeight="1">
      <c r="A305" s="38">
        <v>299</v>
      </c>
      <c r="B305" s="39">
        <v>702</v>
      </c>
      <c r="C305" s="40" t="s">
        <v>353</v>
      </c>
      <c r="D305" s="44"/>
      <c r="E305" s="37" t="s">
        <v>345</v>
      </c>
      <c r="F305" s="42">
        <f>SUM(F306+F309)</f>
        <v>46082.5</v>
      </c>
      <c r="G305" s="11"/>
    </row>
    <row r="306" spans="1:8" ht="72" customHeight="1">
      <c r="A306" s="38">
        <v>300</v>
      </c>
      <c r="B306" s="39">
        <v>702</v>
      </c>
      <c r="C306" s="40" t="s">
        <v>354</v>
      </c>
      <c r="D306" s="40"/>
      <c r="E306" s="37" t="s">
        <v>81</v>
      </c>
      <c r="F306" s="42">
        <f>SUM(F307:F308)</f>
        <v>44080.5</v>
      </c>
      <c r="G306" s="11"/>
    </row>
    <row r="307" spans="1:8" ht="15.75" customHeight="1">
      <c r="A307" s="38">
        <v>301</v>
      </c>
      <c r="B307" s="43">
        <v>702</v>
      </c>
      <c r="C307" s="44" t="s">
        <v>354</v>
      </c>
      <c r="D307" s="44" t="s">
        <v>40</v>
      </c>
      <c r="E307" s="45" t="s">
        <v>41</v>
      </c>
      <c r="F307" s="46">
        <f>44246-38800.2</f>
        <v>5445.8000000000029</v>
      </c>
      <c r="G307" s="11"/>
    </row>
    <row r="308" spans="1:8" ht="15.75" customHeight="1">
      <c r="A308" s="38">
        <v>302</v>
      </c>
      <c r="B308" s="43">
        <v>702</v>
      </c>
      <c r="C308" s="44" t="s">
        <v>354</v>
      </c>
      <c r="D308" s="44" t="s">
        <v>404</v>
      </c>
      <c r="E308" s="45" t="s">
        <v>405</v>
      </c>
      <c r="F308" s="46">
        <f>38800.2-1300+1134.5</f>
        <v>38634.699999999997</v>
      </c>
      <c r="G308" s="11"/>
    </row>
    <row r="309" spans="1:8" ht="115.5" customHeight="1">
      <c r="A309" s="38">
        <v>303</v>
      </c>
      <c r="B309" s="39">
        <v>702</v>
      </c>
      <c r="C309" s="40" t="s">
        <v>355</v>
      </c>
      <c r="D309" s="40"/>
      <c r="E309" s="52" t="s">
        <v>223</v>
      </c>
      <c r="F309" s="42">
        <f>SUM(F310:F311)</f>
        <v>2002</v>
      </c>
      <c r="G309" s="10"/>
    </row>
    <row r="310" spans="1:8" ht="33.75" customHeight="1">
      <c r="A310" s="38">
        <v>304</v>
      </c>
      <c r="B310" s="43">
        <v>702</v>
      </c>
      <c r="C310" s="44" t="s">
        <v>355</v>
      </c>
      <c r="D310" s="44" t="s">
        <v>60</v>
      </c>
      <c r="E310" s="45" t="s">
        <v>190</v>
      </c>
      <c r="F310" s="46">
        <f>1819+139-1958</f>
        <v>0</v>
      </c>
      <c r="G310" s="10"/>
    </row>
    <row r="311" spans="1:8" ht="23.25" customHeight="1">
      <c r="A311" s="38">
        <v>305</v>
      </c>
      <c r="B311" s="43">
        <v>702</v>
      </c>
      <c r="C311" s="44" t="s">
        <v>355</v>
      </c>
      <c r="D311" s="44" t="s">
        <v>404</v>
      </c>
      <c r="E311" s="45" t="s">
        <v>405</v>
      </c>
      <c r="F311" s="46">
        <f>1958+44</f>
        <v>2002</v>
      </c>
      <c r="G311" s="10"/>
    </row>
    <row r="312" spans="1:8" ht="33" customHeight="1">
      <c r="A312" s="38">
        <v>306</v>
      </c>
      <c r="B312" s="39">
        <v>702</v>
      </c>
      <c r="C312" s="40" t="s">
        <v>356</v>
      </c>
      <c r="D312" s="44"/>
      <c r="E312" s="37" t="s">
        <v>82</v>
      </c>
      <c r="F312" s="42">
        <f>SUM(F313:F314)</f>
        <v>4235</v>
      </c>
      <c r="G312" s="10" t="e">
        <f>#REF!</f>
        <v>#REF!</v>
      </c>
    </row>
    <row r="313" spans="1:8" ht="33" customHeight="1">
      <c r="A313" s="38">
        <v>307</v>
      </c>
      <c r="B313" s="43">
        <v>702</v>
      </c>
      <c r="C313" s="44" t="s">
        <v>356</v>
      </c>
      <c r="D313" s="44" t="s">
        <v>60</v>
      </c>
      <c r="E313" s="45" t="s">
        <v>190</v>
      </c>
      <c r="F313" s="46">
        <f>3718+591+380-4689</f>
        <v>0</v>
      </c>
      <c r="G313" s="10"/>
      <c r="H313" s="25"/>
    </row>
    <row r="314" spans="1:8" ht="23.25" customHeight="1">
      <c r="A314" s="38">
        <v>308</v>
      </c>
      <c r="B314" s="43">
        <v>702</v>
      </c>
      <c r="C314" s="44" t="s">
        <v>356</v>
      </c>
      <c r="D314" s="44" t="s">
        <v>404</v>
      </c>
      <c r="E314" s="45" t="s">
        <v>405</v>
      </c>
      <c r="F314" s="46">
        <f>4689-344-110</f>
        <v>4235</v>
      </c>
      <c r="G314" s="10"/>
      <c r="H314" s="25"/>
    </row>
    <row r="315" spans="1:8" ht="72" customHeight="1">
      <c r="A315" s="38">
        <v>309</v>
      </c>
      <c r="B315" s="39">
        <v>702</v>
      </c>
      <c r="C315" s="40" t="s">
        <v>196</v>
      </c>
      <c r="D315" s="40"/>
      <c r="E315" s="37" t="s">
        <v>394</v>
      </c>
      <c r="F315" s="42">
        <f>SUM(F316)</f>
        <v>6000</v>
      </c>
      <c r="G315" s="10"/>
    </row>
    <row r="316" spans="1:8" ht="57.75" customHeight="1">
      <c r="A316" s="38">
        <v>310</v>
      </c>
      <c r="B316" s="39">
        <v>702</v>
      </c>
      <c r="C316" s="40" t="s">
        <v>197</v>
      </c>
      <c r="D316" s="40"/>
      <c r="E316" s="68" t="s">
        <v>347</v>
      </c>
      <c r="F316" s="42">
        <f>SUM(F317)</f>
        <v>6000</v>
      </c>
      <c r="G316" s="10"/>
      <c r="H316" s="23" t="s">
        <v>348</v>
      </c>
    </row>
    <row r="317" spans="1:8" ht="33" customHeight="1">
      <c r="A317" s="38">
        <v>311</v>
      </c>
      <c r="B317" s="43">
        <v>702</v>
      </c>
      <c r="C317" s="44" t="s">
        <v>197</v>
      </c>
      <c r="D317" s="44" t="s">
        <v>60</v>
      </c>
      <c r="E317" s="45" t="s">
        <v>190</v>
      </c>
      <c r="F317" s="46">
        <v>6000</v>
      </c>
      <c r="G317" s="10"/>
    </row>
    <row r="318" spans="1:8" ht="33" customHeight="1">
      <c r="A318" s="38">
        <v>312</v>
      </c>
      <c r="B318" s="39">
        <v>703</v>
      </c>
      <c r="C318" s="40"/>
      <c r="D318" s="40"/>
      <c r="E318" s="37" t="s">
        <v>210</v>
      </c>
      <c r="F318" s="42">
        <f>SUM(F319)</f>
        <v>8104.7999999999993</v>
      </c>
      <c r="G318" s="10"/>
    </row>
    <row r="319" spans="1:8" ht="33" customHeight="1">
      <c r="A319" s="38">
        <v>313</v>
      </c>
      <c r="B319" s="39">
        <v>703</v>
      </c>
      <c r="C319" s="40" t="s">
        <v>152</v>
      </c>
      <c r="D319" s="40"/>
      <c r="E319" s="37" t="s">
        <v>273</v>
      </c>
      <c r="F319" s="42">
        <f>SUM(F320)</f>
        <v>8104.7999999999993</v>
      </c>
      <c r="G319" s="10"/>
    </row>
    <row r="320" spans="1:8" ht="33" customHeight="1">
      <c r="A320" s="38">
        <v>314</v>
      </c>
      <c r="B320" s="39">
        <v>703</v>
      </c>
      <c r="C320" s="40" t="s">
        <v>357</v>
      </c>
      <c r="D320" s="40"/>
      <c r="E320" s="37" t="s">
        <v>346</v>
      </c>
      <c r="F320" s="42">
        <f>F321</f>
        <v>8104.7999999999993</v>
      </c>
      <c r="G320" s="10"/>
    </row>
    <row r="321" spans="1:16" ht="40.5" customHeight="1">
      <c r="A321" s="38">
        <v>315</v>
      </c>
      <c r="B321" s="39">
        <v>703</v>
      </c>
      <c r="C321" s="40" t="s">
        <v>358</v>
      </c>
      <c r="D321" s="40"/>
      <c r="E321" s="37" t="s">
        <v>83</v>
      </c>
      <c r="F321" s="42">
        <f>SUM(F322:F325)</f>
        <v>8104.7999999999993</v>
      </c>
      <c r="G321" s="10"/>
      <c r="L321" s="1">
        <v>702</v>
      </c>
      <c r="M321" s="2" t="s">
        <v>152</v>
      </c>
      <c r="N321" s="2"/>
      <c r="O321" s="19" t="s">
        <v>151</v>
      </c>
      <c r="P321" s="26" t="e">
        <f>SUM(P322+#REF!+#REF!+P335+P352)</f>
        <v>#REF!</v>
      </c>
    </row>
    <row r="322" spans="1:16" ht="25.5" customHeight="1">
      <c r="A322" s="38">
        <v>316</v>
      </c>
      <c r="B322" s="43">
        <v>703</v>
      </c>
      <c r="C322" s="44" t="s">
        <v>358</v>
      </c>
      <c r="D322" s="44" t="s">
        <v>40</v>
      </c>
      <c r="E322" s="45" t="s">
        <v>64</v>
      </c>
      <c r="F322" s="46">
        <f>6689.73-5751.442</f>
        <v>938.28799999999956</v>
      </c>
      <c r="G322" s="10"/>
    </row>
    <row r="323" spans="1:16" ht="33" customHeight="1">
      <c r="A323" s="38">
        <v>317</v>
      </c>
      <c r="B323" s="43">
        <v>703</v>
      </c>
      <c r="C323" s="44" t="s">
        <v>358</v>
      </c>
      <c r="D323" s="44" t="s">
        <v>60</v>
      </c>
      <c r="E323" s="45" t="s">
        <v>190</v>
      </c>
      <c r="F323" s="46">
        <f>1375.07-1375.07</f>
        <v>0</v>
      </c>
      <c r="G323" s="10"/>
    </row>
    <row r="324" spans="1:16" ht="17.25" customHeight="1">
      <c r="A324" s="38">
        <v>318</v>
      </c>
      <c r="B324" s="43">
        <v>703</v>
      </c>
      <c r="C324" s="44" t="s">
        <v>358</v>
      </c>
      <c r="D324" s="44" t="s">
        <v>404</v>
      </c>
      <c r="E324" s="45" t="s">
        <v>405</v>
      </c>
      <c r="F324" s="46">
        <v>7166.5119999999997</v>
      </c>
      <c r="G324" s="10"/>
    </row>
    <row r="325" spans="1:16" ht="18.75" customHeight="1">
      <c r="A325" s="38">
        <v>319</v>
      </c>
      <c r="B325" s="43">
        <v>703</v>
      </c>
      <c r="C325" s="44" t="s">
        <v>358</v>
      </c>
      <c r="D325" s="44" t="s">
        <v>186</v>
      </c>
      <c r="E325" s="45" t="s">
        <v>187</v>
      </c>
      <c r="F325" s="46">
        <f>40-40</f>
        <v>0</v>
      </c>
      <c r="G325" s="10"/>
    </row>
    <row r="326" spans="1:16" ht="25.5" customHeight="1">
      <c r="A326" s="38">
        <v>320</v>
      </c>
      <c r="B326" s="39">
        <v>707</v>
      </c>
      <c r="C326" s="40"/>
      <c r="D326" s="40"/>
      <c r="E326" s="37" t="s">
        <v>264</v>
      </c>
      <c r="F326" s="42">
        <f>SUM(F327+F333)</f>
        <v>3701.6129999999994</v>
      </c>
      <c r="G326" s="10"/>
    </row>
    <row r="327" spans="1:16" ht="44.25" customHeight="1">
      <c r="A327" s="38">
        <v>321</v>
      </c>
      <c r="B327" s="39">
        <v>707</v>
      </c>
      <c r="C327" s="40" t="s">
        <v>135</v>
      </c>
      <c r="D327" s="40"/>
      <c r="E327" s="37" t="s">
        <v>285</v>
      </c>
      <c r="F327" s="42">
        <f>SUM(F328)</f>
        <v>29.2</v>
      </c>
      <c r="G327" s="10"/>
    </row>
    <row r="328" spans="1:16" ht="83.25" customHeight="1">
      <c r="A328" s="38">
        <v>322</v>
      </c>
      <c r="B328" s="39">
        <v>707</v>
      </c>
      <c r="C328" s="40" t="s">
        <v>418</v>
      </c>
      <c r="D328" s="40"/>
      <c r="E328" s="37" t="s">
        <v>260</v>
      </c>
      <c r="F328" s="42">
        <f>SUM(F329+F331)</f>
        <v>29.2</v>
      </c>
      <c r="G328" s="10"/>
    </row>
    <row r="329" spans="1:16" ht="77.25" customHeight="1">
      <c r="A329" s="38">
        <v>323</v>
      </c>
      <c r="B329" s="39">
        <v>707</v>
      </c>
      <c r="C329" s="40" t="s">
        <v>155</v>
      </c>
      <c r="D329" s="40"/>
      <c r="E329" s="68" t="s">
        <v>269</v>
      </c>
      <c r="F329" s="42">
        <f>SUM(F330)</f>
        <v>0</v>
      </c>
      <c r="G329" s="10"/>
      <c r="H329" s="30"/>
    </row>
    <row r="330" spans="1:16" ht="34.5" customHeight="1">
      <c r="A330" s="38">
        <v>324</v>
      </c>
      <c r="B330" s="43">
        <v>707</v>
      </c>
      <c r="C330" s="44" t="s">
        <v>155</v>
      </c>
      <c r="D330" s="44" t="s">
        <v>60</v>
      </c>
      <c r="E330" s="45" t="s">
        <v>190</v>
      </c>
      <c r="F330" s="46">
        <f>29.2-29.2</f>
        <v>0</v>
      </c>
      <c r="G330" s="10"/>
      <c r="H330" s="30"/>
    </row>
    <row r="331" spans="1:16" ht="34.5" customHeight="1">
      <c r="A331" s="38">
        <v>325</v>
      </c>
      <c r="B331" s="39">
        <v>707</v>
      </c>
      <c r="C331" s="40" t="s">
        <v>416</v>
      </c>
      <c r="D331" s="40"/>
      <c r="E331" s="68" t="s">
        <v>417</v>
      </c>
      <c r="F331" s="42">
        <f>SUM(F332)</f>
        <v>29.2</v>
      </c>
      <c r="G331" s="10"/>
      <c r="H331" s="30"/>
    </row>
    <row r="332" spans="1:16" ht="34.5" customHeight="1">
      <c r="A332" s="38">
        <v>326</v>
      </c>
      <c r="B332" s="43">
        <v>707</v>
      </c>
      <c r="C332" s="44" t="s">
        <v>416</v>
      </c>
      <c r="D332" s="44" t="s">
        <v>60</v>
      </c>
      <c r="E332" s="45" t="s">
        <v>190</v>
      </c>
      <c r="F332" s="46">
        <v>29.2</v>
      </c>
      <c r="G332" s="10"/>
      <c r="H332" s="30"/>
    </row>
    <row r="333" spans="1:16" ht="30" customHeight="1">
      <c r="A333" s="38">
        <v>327</v>
      </c>
      <c r="B333" s="39">
        <v>707</v>
      </c>
      <c r="C333" s="40" t="s">
        <v>152</v>
      </c>
      <c r="D333" s="40"/>
      <c r="E333" s="37" t="s">
        <v>273</v>
      </c>
      <c r="F333" s="42">
        <f>SUM(F334)</f>
        <v>3672.4129999999996</v>
      </c>
      <c r="G333" s="10"/>
    </row>
    <row r="334" spans="1:16" ht="29.25" customHeight="1">
      <c r="A334" s="38">
        <v>328</v>
      </c>
      <c r="B334" s="39">
        <v>707</v>
      </c>
      <c r="C334" s="40" t="s">
        <v>359</v>
      </c>
      <c r="D334" s="40"/>
      <c r="E334" s="68" t="s">
        <v>253</v>
      </c>
      <c r="F334" s="42">
        <f>SUM(F335+F339+F341+F344)</f>
        <v>3672.4129999999996</v>
      </c>
      <c r="G334" s="11"/>
    </row>
    <row r="335" spans="1:16" ht="30" customHeight="1">
      <c r="A335" s="38">
        <v>329</v>
      </c>
      <c r="B335" s="39">
        <v>707</v>
      </c>
      <c r="C335" s="40" t="s">
        <v>360</v>
      </c>
      <c r="D335" s="40"/>
      <c r="E335" s="37" t="s">
        <v>84</v>
      </c>
      <c r="F335" s="42">
        <f>SUM(F336:F338)</f>
        <v>1731.4650000000001</v>
      </c>
      <c r="G335" s="10">
        <f>G352</f>
        <v>21165</v>
      </c>
    </row>
    <row r="336" spans="1:16" ht="26.25" customHeight="1">
      <c r="A336" s="38">
        <v>330</v>
      </c>
      <c r="B336" s="43">
        <v>707</v>
      </c>
      <c r="C336" s="44" t="s">
        <v>360</v>
      </c>
      <c r="D336" s="44" t="s">
        <v>40</v>
      </c>
      <c r="E336" s="45" t="s">
        <v>41</v>
      </c>
      <c r="F336" s="46">
        <f>169.957-169.957</f>
        <v>0</v>
      </c>
      <c r="G336" s="10"/>
      <c r="H336" s="5"/>
    </row>
    <row r="337" spans="1:7" s="4" customFormat="1" ht="35.25" customHeight="1">
      <c r="A337" s="38">
        <v>331</v>
      </c>
      <c r="B337" s="43">
        <v>707</v>
      </c>
      <c r="C337" s="44" t="s">
        <v>360</v>
      </c>
      <c r="D337" s="44" t="s">
        <v>60</v>
      </c>
      <c r="E337" s="45" t="s">
        <v>190</v>
      </c>
      <c r="F337" s="46">
        <f>1299.424-863.722+417.2</f>
        <v>852.90200000000004</v>
      </c>
      <c r="G337" s="12"/>
    </row>
    <row r="338" spans="1:7" s="4" customFormat="1" ht="22.5" customHeight="1">
      <c r="A338" s="38">
        <v>332</v>
      </c>
      <c r="B338" s="43">
        <v>707</v>
      </c>
      <c r="C338" s="44" t="s">
        <v>360</v>
      </c>
      <c r="D338" s="44" t="s">
        <v>404</v>
      </c>
      <c r="E338" s="45" t="s">
        <v>405</v>
      </c>
      <c r="F338" s="46">
        <f>1033.7-172.098+16.961</f>
        <v>878.5630000000001</v>
      </c>
      <c r="G338" s="12"/>
    </row>
    <row r="339" spans="1:7" s="4" customFormat="1" ht="33.75" customHeight="1">
      <c r="A339" s="38">
        <v>333</v>
      </c>
      <c r="B339" s="82">
        <v>707</v>
      </c>
      <c r="C339" s="83" t="s">
        <v>452</v>
      </c>
      <c r="D339" s="83"/>
      <c r="E339" s="84" t="s">
        <v>451</v>
      </c>
      <c r="F339" s="85">
        <f>SUM(F340)</f>
        <v>66.397999999999996</v>
      </c>
      <c r="G339" s="12"/>
    </row>
    <row r="340" spans="1:7" s="4" customFormat="1" ht="22.5" customHeight="1">
      <c r="A340" s="38">
        <v>334</v>
      </c>
      <c r="B340" s="86">
        <v>707</v>
      </c>
      <c r="C340" s="87" t="s">
        <v>452</v>
      </c>
      <c r="D340" s="87" t="s">
        <v>404</v>
      </c>
      <c r="E340" s="88" t="s">
        <v>405</v>
      </c>
      <c r="F340" s="89">
        <v>66.397999999999996</v>
      </c>
      <c r="G340" s="12"/>
    </row>
    <row r="341" spans="1:7" s="4" customFormat="1" ht="68.25" customHeight="1">
      <c r="A341" s="38">
        <v>335</v>
      </c>
      <c r="B341" s="39">
        <v>707</v>
      </c>
      <c r="C341" s="40" t="s">
        <v>363</v>
      </c>
      <c r="D341" s="40"/>
      <c r="E341" s="52" t="s">
        <v>362</v>
      </c>
      <c r="F341" s="42">
        <f>SUM(F342:F343)</f>
        <v>196.6</v>
      </c>
      <c r="G341" s="12"/>
    </row>
    <row r="342" spans="1:7" s="4" customFormat="1" ht="27.75" customHeight="1">
      <c r="A342" s="38">
        <v>336</v>
      </c>
      <c r="B342" s="43">
        <v>707</v>
      </c>
      <c r="C342" s="44" t="s">
        <v>363</v>
      </c>
      <c r="D342" s="44" t="s">
        <v>60</v>
      </c>
      <c r="E342" s="45" t="s">
        <v>190</v>
      </c>
      <c r="F342" s="46">
        <v>0</v>
      </c>
      <c r="G342" s="12"/>
    </row>
    <row r="343" spans="1:7" s="4" customFormat="1" ht="18.75" customHeight="1">
      <c r="A343" s="38">
        <v>337</v>
      </c>
      <c r="B343" s="43">
        <v>707</v>
      </c>
      <c r="C343" s="44" t="s">
        <v>363</v>
      </c>
      <c r="D343" s="44" t="s">
        <v>404</v>
      </c>
      <c r="E343" s="45" t="s">
        <v>405</v>
      </c>
      <c r="F343" s="46">
        <f>208.4-11.8</f>
        <v>196.6</v>
      </c>
      <c r="G343" s="12"/>
    </row>
    <row r="344" spans="1:7" s="4" customFormat="1" ht="36.75" customHeight="1">
      <c r="A344" s="38">
        <v>338</v>
      </c>
      <c r="B344" s="39">
        <v>707</v>
      </c>
      <c r="C344" s="40" t="s">
        <v>361</v>
      </c>
      <c r="D344" s="40"/>
      <c r="E344" s="37" t="s">
        <v>349</v>
      </c>
      <c r="F344" s="42">
        <f>SUM(F345:F346)</f>
        <v>1677.9499999999998</v>
      </c>
      <c r="G344" s="12"/>
    </row>
    <row r="345" spans="1:7" s="4" customFormat="1" ht="32.25" customHeight="1">
      <c r="A345" s="38">
        <v>339</v>
      </c>
      <c r="B345" s="43">
        <v>707</v>
      </c>
      <c r="C345" s="44" t="s">
        <v>361</v>
      </c>
      <c r="D345" s="44" t="s">
        <v>60</v>
      </c>
      <c r="E345" s="45" t="s">
        <v>190</v>
      </c>
      <c r="F345" s="46">
        <f>1646.2+31.8-578.45-103.95</f>
        <v>995.59999999999991</v>
      </c>
      <c r="G345" s="12"/>
    </row>
    <row r="346" spans="1:7" s="4" customFormat="1" ht="20.25" customHeight="1">
      <c r="A346" s="38">
        <v>340</v>
      </c>
      <c r="B346" s="43">
        <v>707</v>
      </c>
      <c r="C346" s="44" t="s">
        <v>361</v>
      </c>
      <c r="D346" s="44" t="s">
        <v>404</v>
      </c>
      <c r="E346" s="45" t="s">
        <v>405</v>
      </c>
      <c r="F346" s="46">
        <f>578.4+103.95</f>
        <v>682.35</v>
      </c>
      <c r="G346" s="12"/>
    </row>
    <row r="347" spans="1:7" s="4" customFormat="1" ht="20.25" customHeight="1">
      <c r="A347" s="38">
        <v>341</v>
      </c>
      <c r="B347" s="39">
        <v>709</v>
      </c>
      <c r="C347" s="40"/>
      <c r="D347" s="40"/>
      <c r="E347" s="37" t="s">
        <v>412</v>
      </c>
      <c r="F347" s="42">
        <f>SUM(F348)</f>
        <v>11.8</v>
      </c>
      <c r="G347" s="12"/>
    </row>
    <row r="348" spans="1:7" s="4" customFormat="1" ht="32.25" customHeight="1">
      <c r="A348" s="38">
        <v>342</v>
      </c>
      <c r="B348" s="39">
        <v>709</v>
      </c>
      <c r="C348" s="40" t="s">
        <v>152</v>
      </c>
      <c r="D348" s="40"/>
      <c r="E348" s="37" t="s">
        <v>273</v>
      </c>
      <c r="F348" s="42">
        <f>SUM(F349)</f>
        <v>11.8</v>
      </c>
      <c r="G348" s="12"/>
    </row>
    <row r="349" spans="1:7" s="4" customFormat="1" ht="32.25" customHeight="1">
      <c r="A349" s="38">
        <v>343</v>
      </c>
      <c r="B349" s="39">
        <v>709</v>
      </c>
      <c r="C349" s="40" t="s">
        <v>359</v>
      </c>
      <c r="D349" s="40"/>
      <c r="E349" s="68" t="s">
        <v>253</v>
      </c>
      <c r="F349" s="42">
        <f>SUM(F350)</f>
        <v>11.8</v>
      </c>
      <c r="G349" s="12"/>
    </row>
    <row r="350" spans="1:7" s="4" customFormat="1" ht="66" customHeight="1">
      <c r="A350" s="38">
        <v>344</v>
      </c>
      <c r="B350" s="39">
        <v>709</v>
      </c>
      <c r="C350" s="40" t="s">
        <v>363</v>
      </c>
      <c r="D350" s="40"/>
      <c r="E350" s="52" t="s">
        <v>362</v>
      </c>
      <c r="F350" s="42">
        <f>SUM(F351)</f>
        <v>11.8</v>
      </c>
      <c r="G350" s="12"/>
    </row>
    <row r="351" spans="1:7" s="4" customFormat="1" ht="27.75" customHeight="1">
      <c r="A351" s="38">
        <v>345</v>
      </c>
      <c r="B351" s="43">
        <v>709</v>
      </c>
      <c r="C351" s="44" t="s">
        <v>363</v>
      </c>
      <c r="D351" s="44" t="s">
        <v>60</v>
      </c>
      <c r="E351" s="45" t="s">
        <v>190</v>
      </c>
      <c r="F351" s="46">
        <v>11.8</v>
      </c>
      <c r="G351" s="12"/>
    </row>
    <row r="352" spans="1:7" ht="21.75" customHeight="1">
      <c r="A352" s="38">
        <v>346</v>
      </c>
      <c r="B352" s="39">
        <v>800</v>
      </c>
      <c r="C352" s="40"/>
      <c r="D352" s="40"/>
      <c r="E352" s="41" t="s">
        <v>36</v>
      </c>
      <c r="F352" s="42">
        <f>F353</f>
        <v>30425.448</v>
      </c>
      <c r="G352" s="11">
        <v>21165</v>
      </c>
    </row>
    <row r="353" spans="1:7" s="5" customFormat="1" ht="15.75" customHeight="1">
      <c r="A353" s="38">
        <v>347</v>
      </c>
      <c r="B353" s="39">
        <v>801</v>
      </c>
      <c r="C353" s="40"/>
      <c r="D353" s="40"/>
      <c r="E353" s="37" t="s">
        <v>23</v>
      </c>
      <c r="F353" s="42">
        <f>SUM(F354)</f>
        <v>30425.448</v>
      </c>
      <c r="G353" s="10"/>
    </row>
    <row r="354" spans="1:7" ht="36" customHeight="1">
      <c r="A354" s="38">
        <v>348</v>
      </c>
      <c r="B354" s="39">
        <v>801</v>
      </c>
      <c r="C354" s="40" t="s">
        <v>156</v>
      </c>
      <c r="D354" s="44"/>
      <c r="E354" s="37" t="s">
        <v>270</v>
      </c>
      <c r="F354" s="42">
        <f>SUM(F355+F359+F361+F364+F366+F368+F372+F374+F376+F378+F380)</f>
        <v>30425.448</v>
      </c>
      <c r="G354" s="10" t="e">
        <f>#REF!+G355+#REF!+#REF!+#REF!</f>
        <v>#REF!</v>
      </c>
    </row>
    <row r="355" spans="1:7" ht="30.75" customHeight="1">
      <c r="A355" s="38">
        <v>349</v>
      </c>
      <c r="B355" s="39">
        <v>801</v>
      </c>
      <c r="C355" s="40" t="s">
        <v>157</v>
      </c>
      <c r="D355" s="40"/>
      <c r="E355" s="37" t="s">
        <v>85</v>
      </c>
      <c r="F355" s="42">
        <f>SUM(F356:F358)</f>
        <v>15568.292000000001</v>
      </c>
      <c r="G355" s="10" t="e">
        <f>#REF!+G361</f>
        <v>#REF!</v>
      </c>
    </row>
    <row r="356" spans="1:7" ht="21" customHeight="1">
      <c r="A356" s="38">
        <v>350</v>
      </c>
      <c r="B356" s="43">
        <v>801</v>
      </c>
      <c r="C356" s="44" t="s">
        <v>157</v>
      </c>
      <c r="D356" s="44" t="s">
        <v>40</v>
      </c>
      <c r="E356" s="45" t="s">
        <v>41</v>
      </c>
      <c r="F356" s="46">
        <f>11392.1+65.519</f>
        <v>11457.619000000001</v>
      </c>
      <c r="G356" s="10"/>
    </row>
    <row r="357" spans="1:7" ht="35.25" customHeight="1">
      <c r="A357" s="38">
        <v>351</v>
      </c>
      <c r="B357" s="43">
        <v>801</v>
      </c>
      <c r="C357" s="44" t="s">
        <v>157</v>
      </c>
      <c r="D357" s="44" t="s">
        <v>60</v>
      </c>
      <c r="E357" s="45" t="s">
        <v>190</v>
      </c>
      <c r="F357" s="46">
        <f>3951.5+95</f>
        <v>4046.5</v>
      </c>
      <c r="G357" s="10"/>
    </row>
    <row r="358" spans="1:7" ht="18" customHeight="1">
      <c r="A358" s="38">
        <v>352</v>
      </c>
      <c r="B358" s="43">
        <v>801</v>
      </c>
      <c r="C358" s="44" t="s">
        <v>157</v>
      </c>
      <c r="D358" s="44" t="s">
        <v>186</v>
      </c>
      <c r="E358" s="45" t="s">
        <v>187</v>
      </c>
      <c r="F358" s="46">
        <f>150-85.827</f>
        <v>64.173000000000002</v>
      </c>
      <c r="G358" s="10"/>
    </row>
    <row r="359" spans="1:7" ht="36" customHeight="1">
      <c r="A359" s="38">
        <v>353</v>
      </c>
      <c r="B359" s="82">
        <v>801</v>
      </c>
      <c r="C359" s="83" t="s">
        <v>458</v>
      </c>
      <c r="D359" s="83"/>
      <c r="E359" s="84" t="s">
        <v>457</v>
      </c>
      <c r="F359" s="85">
        <f>SUM(F360)</f>
        <v>768.64200000000005</v>
      </c>
      <c r="G359" s="10"/>
    </row>
    <row r="360" spans="1:7" ht="31.5" customHeight="1">
      <c r="A360" s="38">
        <v>354</v>
      </c>
      <c r="B360" s="86">
        <v>801</v>
      </c>
      <c r="C360" s="87" t="s">
        <v>458</v>
      </c>
      <c r="D360" s="87" t="s">
        <v>60</v>
      </c>
      <c r="E360" s="88" t="s">
        <v>190</v>
      </c>
      <c r="F360" s="89">
        <v>768.64200000000005</v>
      </c>
      <c r="G360" s="10"/>
    </row>
    <row r="361" spans="1:7" ht="45" customHeight="1">
      <c r="A361" s="38">
        <v>355</v>
      </c>
      <c r="B361" s="82">
        <v>801</v>
      </c>
      <c r="C361" s="83" t="s">
        <v>158</v>
      </c>
      <c r="D361" s="83"/>
      <c r="E361" s="84" t="s">
        <v>86</v>
      </c>
      <c r="F361" s="85">
        <f>SUM(F362:F363)</f>
        <v>4070.6079999999997</v>
      </c>
      <c r="G361" s="13" t="e">
        <f>#REF!</f>
        <v>#REF!</v>
      </c>
    </row>
    <row r="362" spans="1:7" s="4" customFormat="1" ht="26.25" customHeight="1">
      <c r="A362" s="38">
        <v>356</v>
      </c>
      <c r="B362" s="43">
        <v>801</v>
      </c>
      <c r="C362" s="44" t="s">
        <v>158</v>
      </c>
      <c r="D362" s="44" t="s">
        <v>40</v>
      </c>
      <c r="E362" s="45" t="s">
        <v>41</v>
      </c>
      <c r="F362" s="46">
        <f>3473.2+20.308</f>
        <v>3493.5079999999998</v>
      </c>
      <c r="G362" s="16"/>
    </row>
    <row r="363" spans="1:7" ht="26.25" customHeight="1">
      <c r="A363" s="38">
        <v>357</v>
      </c>
      <c r="B363" s="43">
        <v>801</v>
      </c>
      <c r="C363" s="44" t="s">
        <v>158</v>
      </c>
      <c r="D363" s="44" t="s">
        <v>60</v>
      </c>
      <c r="E363" s="45" t="s">
        <v>190</v>
      </c>
      <c r="F363" s="46">
        <f>650+22.1-120+25</f>
        <v>577.1</v>
      </c>
      <c r="G363" s="13"/>
    </row>
    <row r="364" spans="1:7" ht="108.75" customHeight="1">
      <c r="A364" s="38">
        <v>358</v>
      </c>
      <c r="B364" s="39">
        <v>801</v>
      </c>
      <c r="C364" s="40" t="s">
        <v>462</v>
      </c>
      <c r="D364" s="40"/>
      <c r="E364" s="68" t="s">
        <v>461</v>
      </c>
      <c r="F364" s="42">
        <f>SUM(F365)</f>
        <v>204.5</v>
      </c>
      <c r="G364" s="13"/>
    </row>
    <row r="365" spans="1:7" ht="33.75" customHeight="1">
      <c r="A365" s="38">
        <v>359</v>
      </c>
      <c r="B365" s="43">
        <v>801</v>
      </c>
      <c r="C365" s="44" t="s">
        <v>462</v>
      </c>
      <c r="D365" s="44" t="s">
        <v>60</v>
      </c>
      <c r="E365" s="45" t="s">
        <v>190</v>
      </c>
      <c r="F365" s="46">
        <v>204.5</v>
      </c>
      <c r="G365" s="13"/>
    </row>
    <row r="366" spans="1:7" ht="65.25" customHeight="1">
      <c r="A366" s="38">
        <v>360</v>
      </c>
      <c r="B366" s="39">
        <v>801</v>
      </c>
      <c r="C366" s="40" t="s">
        <v>468</v>
      </c>
      <c r="D366" s="40"/>
      <c r="E366" s="68" t="s">
        <v>469</v>
      </c>
      <c r="F366" s="42">
        <f>SUM(F367)</f>
        <v>26.04</v>
      </c>
      <c r="G366" s="13"/>
    </row>
    <row r="367" spans="1:7" ht="18" customHeight="1">
      <c r="A367" s="38">
        <v>361</v>
      </c>
      <c r="B367" s="43">
        <v>801</v>
      </c>
      <c r="C367" s="44" t="s">
        <v>468</v>
      </c>
      <c r="D367" s="44" t="s">
        <v>40</v>
      </c>
      <c r="E367" s="45" t="s">
        <v>64</v>
      </c>
      <c r="F367" s="46">
        <v>26.04</v>
      </c>
      <c r="G367" s="13"/>
    </row>
    <row r="368" spans="1:7" s="4" customFormat="1" ht="41.25" customHeight="1">
      <c r="A368" s="38">
        <v>362</v>
      </c>
      <c r="B368" s="39">
        <v>801</v>
      </c>
      <c r="C368" s="40" t="s">
        <v>159</v>
      </c>
      <c r="D368" s="44"/>
      <c r="E368" s="37" t="s">
        <v>87</v>
      </c>
      <c r="F368" s="42">
        <f>SUM(F369:F371)</f>
        <v>3460.9790000000003</v>
      </c>
      <c r="G368" s="16"/>
    </row>
    <row r="369" spans="1:7" s="5" customFormat="1" ht="20.25" customHeight="1">
      <c r="A369" s="38">
        <v>363</v>
      </c>
      <c r="B369" s="43">
        <v>801</v>
      </c>
      <c r="C369" s="44" t="s">
        <v>159</v>
      </c>
      <c r="D369" s="44" t="s">
        <v>40</v>
      </c>
      <c r="E369" s="45" t="s">
        <v>64</v>
      </c>
      <c r="F369" s="46">
        <v>1945</v>
      </c>
      <c r="G369" s="13"/>
    </row>
    <row r="370" spans="1:7" s="4" customFormat="1" ht="33" customHeight="1">
      <c r="A370" s="38">
        <v>364</v>
      </c>
      <c r="B370" s="43">
        <v>801</v>
      </c>
      <c r="C370" s="44" t="s">
        <v>159</v>
      </c>
      <c r="D370" s="44" t="s">
        <v>60</v>
      </c>
      <c r="E370" s="45" t="s">
        <v>190</v>
      </c>
      <c r="F370" s="46">
        <f>1647.714-79.135-52.6</f>
        <v>1515.979</v>
      </c>
      <c r="G370" s="16"/>
    </row>
    <row r="371" spans="1:7" s="4" customFormat="1" ht="16.5" customHeight="1">
      <c r="A371" s="38">
        <v>365</v>
      </c>
      <c r="B371" s="43">
        <v>801</v>
      </c>
      <c r="C371" s="44" t="s">
        <v>159</v>
      </c>
      <c r="D371" s="44" t="s">
        <v>186</v>
      </c>
      <c r="E371" s="45" t="s">
        <v>438</v>
      </c>
      <c r="F371" s="46">
        <v>0</v>
      </c>
      <c r="G371" s="16"/>
    </row>
    <row r="372" spans="1:7" s="4" customFormat="1" ht="67.5" customHeight="1">
      <c r="A372" s="38">
        <v>366</v>
      </c>
      <c r="B372" s="39">
        <v>801</v>
      </c>
      <c r="C372" s="40" t="s">
        <v>470</v>
      </c>
      <c r="D372" s="40"/>
      <c r="E372" s="68" t="s">
        <v>469</v>
      </c>
      <c r="F372" s="42">
        <f>SUM(F373)</f>
        <v>257.16000000000003</v>
      </c>
      <c r="G372" s="16"/>
    </row>
    <row r="373" spans="1:7" s="4" customFormat="1" ht="20.25" customHeight="1">
      <c r="A373" s="38">
        <v>367</v>
      </c>
      <c r="B373" s="43">
        <v>801</v>
      </c>
      <c r="C373" s="44" t="s">
        <v>470</v>
      </c>
      <c r="D373" s="44" t="s">
        <v>40</v>
      </c>
      <c r="E373" s="45" t="s">
        <v>64</v>
      </c>
      <c r="F373" s="46">
        <v>257.16000000000003</v>
      </c>
      <c r="G373" s="16"/>
    </row>
    <row r="374" spans="1:7" s="4" customFormat="1" ht="56.25" customHeight="1">
      <c r="A374" s="38">
        <v>368</v>
      </c>
      <c r="B374" s="82">
        <v>801</v>
      </c>
      <c r="C374" s="83" t="s">
        <v>437</v>
      </c>
      <c r="D374" s="83"/>
      <c r="E374" s="84" t="s">
        <v>436</v>
      </c>
      <c r="F374" s="85">
        <f>SUM(F375)</f>
        <v>227.79999999999998</v>
      </c>
      <c r="G374" s="16"/>
    </row>
    <row r="375" spans="1:7" s="4" customFormat="1" ht="40.5" customHeight="1">
      <c r="A375" s="38">
        <v>369</v>
      </c>
      <c r="B375" s="86">
        <v>801</v>
      </c>
      <c r="C375" s="87" t="s">
        <v>437</v>
      </c>
      <c r="D375" s="87" t="s">
        <v>60</v>
      </c>
      <c r="E375" s="88" t="s">
        <v>190</v>
      </c>
      <c r="F375" s="89">
        <f>175.2+52.6</f>
        <v>227.79999999999998</v>
      </c>
      <c r="G375" s="16"/>
    </row>
    <row r="376" spans="1:7" s="4" customFormat="1" ht="46.5" customHeight="1">
      <c r="A376" s="38">
        <v>370</v>
      </c>
      <c r="B376" s="39">
        <v>801</v>
      </c>
      <c r="C376" s="40" t="s">
        <v>160</v>
      </c>
      <c r="D376" s="44"/>
      <c r="E376" s="37" t="s">
        <v>88</v>
      </c>
      <c r="F376" s="42">
        <f>F377</f>
        <v>240</v>
      </c>
      <c r="G376" s="16"/>
    </row>
    <row r="377" spans="1:7" ht="36" customHeight="1">
      <c r="A377" s="38">
        <v>371</v>
      </c>
      <c r="B377" s="43">
        <v>801</v>
      </c>
      <c r="C377" s="44" t="s">
        <v>160</v>
      </c>
      <c r="D377" s="44" t="s">
        <v>60</v>
      </c>
      <c r="E377" s="45" t="s">
        <v>190</v>
      </c>
      <c r="F377" s="46">
        <v>240</v>
      </c>
      <c r="G377" s="10" t="e">
        <f>#REF!+G378+#REF!+#REF!</f>
        <v>#REF!</v>
      </c>
    </row>
    <row r="378" spans="1:7" ht="24.75" customHeight="1">
      <c r="A378" s="38">
        <v>372</v>
      </c>
      <c r="B378" s="39">
        <v>801</v>
      </c>
      <c r="C378" s="40" t="s">
        <v>161</v>
      </c>
      <c r="D378" s="44"/>
      <c r="E378" s="37" t="s">
        <v>89</v>
      </c>
      <c r="F378" s="42">
        <f>F379</f>
        <v>453</v>
      </c>
      <c r="G378" s="10" t="e">
        <f>G379</f>
        <v>#REF!</v>
      </c>
    </row>
    <row r="379" spans="1:7" ht="42" customHeight="1">
      <c r="A379" s="38">
        <v>373</v>
      </c>
      <c r="B379" s="43">
        <v>801</v>
      </c>
      <c r="C379" s="44" t="s">
        <v>161</v>
      </c>
      <c r="D379" s="44" t="s">
        <v>60</v>
      </c>
      <c r="E379" s="45" t="s">
        <v>190</v>
      </c>
      <c r="F379" s="46">
        <f>430+18+5</f>
        <v>453</v>
      </c>
      <c r="G379" s="10" t="e">
        <f>#REF!</f>
        <v>#REF!</v>
      </c>
    </row>
    <row r="380" spans="1:7" ht="31.5" customHeight="1">
      <c r="A380" s="38">
        <v>374</v>
      </c>
      <c r="B380" s="39">
        <v>801</v>
      </c>
      <c r="C380" s="40" t="s">
        <v>221</v>
      </c>
      <c r="D380" s="40"/>
      <c r="E380" s="37" t="s">
        <v>222</v>
      </c>
      <c r="F380" s="42">
        <f>SUM(F381)</f>
        <v>5148.4269999999997</v>
      </c>
      <c r="G380" s="10"/>
    </row>
    <row r="381" spans="1:7" ht="24.75" customHeight="1">
      <c r="A381" s="38">
        <v>375</v>
      </c>
      <c r="B381" s="43">
        <v>801</v>
      </c>
      <c r="C381" s="44" t="s">
        <v>221</v>
      </c>
      <c r="D381" s="44" t="s">
        <v>40</v>
      </c>
      <c r="E381" s="45" t="s">
        <v>64</v>
      </c>
      <c r="F381" s="46">
        <f>5642.655-417.691-76.537</f>
        <v>5148.4269999999997</v>
      </c>
      <c r="G381" s="10"/>
    </row>
    <row r="382" spans="1:7" ht="16.5" customHeight="1">
      <c r="A382" s="38">
        <v>376</v>
      </c>
      <c r="B382" s="39">
        <v>1000</v>
      </c>
      <c r="C382" s="40"/>
      <c r="D382" s="40"/>
      <c r="E382" s="41" t="s">
        <v>24</v>
      </c>
      <c r="F382" s="42">
        <f>SUM(F383+F389+F431)</f>
        <v>32147.519000000008</v>
      </c>
      <c r="G382" s="11"/>
    </row>
    <row r="383" spans="1:7" ht="15.75" customHeight="1">
      <c r="A383" s="38">
        <v>377</v>
      </c>
      <c r="B383" s="39">
        <v>1001</v>
      </c>
      <c r="C383" s="40"/>
      <c r="D383" s="40"/>
      <c r="E383" s="37" t="s">
        <v>29</v>
      </c>
      <c r="F383" s="42">
        <f>SUM(F384)</f>
        <v>2183.1999999999998</v>
      </c>
      <c r="G383" s="10" t="e">
        <f>#REF!</f>
        <v>#REF!</v>
      </c>
    </row>
    <row r="384" spans="1:7" ht="42" customHeight="1">
      <c r="A384" s="38">
        <v>378</v>
      </c>
      <c r="B384" s="39">
        <v>1001</v>
      </c>
      <c r="C384" s="40" t="s">
        <v>116</v>
      </c>
      <c r="D384" s="40"/>
      <c r="E384" s="37" t="s">
        <v>280</v>
      </c>
      <c r="F384" s="42">
        <f>F385+F387</f>
        <v>2183.1999999999998</v>
      </c>
      <c r="G384" s="10"/>
    </row>
    <row r="385" spans="1:9" s="4" customFormat="1" ht="63.75" customHeight="1">
      <c r="A385" s="38">
        <v>379</v>
      </c>
      <c r="B385" s="39">
        <v>1001</v>
      </c>
      <c r="C385" s="40" t="s">
        <v>162</v>
      </c>
      <c r="D385" s="40"/>
      <c r="E385" s="61" t="s">
        <v>90</v>
      </c>
      <c r="F385" s="42">
        <f>F386</f>
        <v>2045.2</v>
      </c>
      <c r="G385" s="12"/>
      <c r="H385" s="5"/>
      <c r="I385" s="5"/>
    </row>
    <row r="386" spans="1:9" ht="29.25" customHeight="1">
      <c r="A386" s="38">
        <v>380</v>
      </c>
      <c r="B386" s="43">
        <v>1001</v>
      </c>
      <c r="C386" s="44" t="s">
        <v>162</v>
      </c>
      <c r="D386" s="71" t="s">
        <v>44</v>
      </c>
      <c r="E386" s="45" t="s">
        <v>45</v>
      </c>
      <c r="F386" s="46">
        <v>2045.2</v>
      </c>
      <c r="G386" s="10" t="e">
        <f>G389+#REF!</f>
        <v>#REF!</v>
      </c>
    </row>
    <row r="387" spans="1:9" ht="69" customHeight="1">
      <c r="A387" s="38">
        <v>381</v>
      </c>
      <c r="B387" s="39">
        <v>1001</v>
      </c>
      <c r="C387" s="40" t="s">
        <v>471</v>
      </c>
      <c r="D387" s="49"/>
      <c r="E387" s="61" t="s">
        <v>472</v>
      </c>
      <c r="F387" s="42">
        <f>SUM(F388)</f>
        <v>138</v>
      </c>
      <c r="G387" s="10"/>
    </row>
    <row r="388" spans="1:9" ht="29.25" customHeight="1">
      <c r="A388" s="38">
        <v>382</v>
      </c>
      <c r="B388" s="43">
        <v>1001</v>
      </c>
      <c r="C388" s="44" t="s">
        <v>471</v>
      </c>
      <c r="D388" s="71" t="s">
        <v>44</v>
      </c>
      <c r="E388" s="45" t="s">
        <v>45</v>
      </c>
      <c r="F388" s="46">
        <v>138</v>
      </c>
      <c r="G388" s="10"/>
    </row>
    <row r="389" spans="1:9" s="4" customFormat="1" ht="18.75" customHeight="1">
      <c r="A389" s="38">
        <v>383</v>
      </c>
      <c r="B389" s="39">
        <v>1003</v>
      </c>
      <c r="C389" s="40"/>
      <c r="D389" s="40"/>
      <c r="E389" s="37" t="s">
        <v>26</v>
      </c>
      <c r="F389" s="42">
        <f>SUM(F390+F404+F409+F414+F420+F428)</f>
        <v>27992.759000000005</v>
      </c>
      <c r="G389" s="12" t="e">
        <f>#REF!</f>
        <v>#REF!</v>
      </c>
    </row>
    <row r="390" spans="1:9" s="5" customFormat="1" ht="39.75" customHeight="1">
      <c r="A390" s="38">
        <v>384</v>
      </c>
      <c r="B390" s="39">
        <v>1003</v>
      </c>
      <c r="C390" s="40" t="s">
        <v>163</v>
      </c>
      <c r="D390" s="40"/>
      <c r="E390" s="37" t="s">
        <v>390</v>
      </c>
      <c r="F390" s="42">
        <f>SUM(F391+F394+F398+F401)</f>
        <v>24911.640000000003</v>
      </c>
      <c r="G390" s="10"/>
    </row>
    <row r="391" spans="1:9" s="5" customFormat="1" ht="88.5" customHeight="1">
      <c r="A391" s="38">
        <v>385</v>
      </c>
      <c r="B391" s="39">
        <v>1003</v>
      </c>
      <c r="C391" s="40" t="s">
        <v>391</v>
      </c>
      <c r="D391" s="44"/>
      <c r="E391" s="37" t="s">
        <v>92</v>
      </c>
      <c r="F391" s="42">
        <f>SUM(F392:F393)</f>
        <v>3161.44</v>
      </c>
      <c r="G391" s="10"/>
    </row>
    <row r="392" spans="1:9" s="5" customFormat="1" ht="30" customHeight="1">
      <c r="A392" s="38">
        <v>386</v>
      </c>
      <c r="B392" s="43">
        <v>1003</v>
      </c>
      <c r="C392" s="44" t="s">
        <v>391</v>
      </c>
      <c r="D392" s="44" t="s">
        <v>60</v>
      </c>
      <c r="E392" s="45" t="s">
        <v>190</v>
      </c>
      <c r="F392" s="46">
        <v>76</v>
      </c>
      <c r="G392" s="10"/>
    </row>
    <row r="393" spans="1:9" s="5" customFormat="1" ht="23.25" customHeight="1">
      <c r="A393" s="38">
        <v>387</v>
      </c>
      <c r="B393" s="43">
        <v>1003</v>
      </c>
      <c r="C393" s="44" t="s">
        <v>391</v>
      </c>
      <c r="D393" s="44" t="s">
        <v>42</v>
      </c>
      <c r="E393" s="45" t="s">
        <v>43</v>
      </c>
      <c r="F393" s="46">
        <f>6500-2948+44.44-511</f>
        <v>3085.44</v>
      </c>
      <c r="G393" s="10"/>
    </row>
    <row r="394" spans="1:9" ht="129" customHeight="1">
      <c r="A394" s="38">
        <v>388</v>
      </c>
      <c r="B394" s="39">
        <v>1003</v>
      </c>
      <c r="C394" s="40" t="s">
        <v>164</v>
      </c>
      <c r="D394" s="44"/>
      <c r="E394" s="37" t="s">
        <v>91</v>
      </c>
      <c r="F394" s="42">
        <f>SUM(F395:F397)</f>
        <v>3228</v>
      </c>
      <c r="G394" s="11"/>
    </row>
    <row r="395" spans="1:9" ht="28.5" customHeight="1">
      <c r="A395" s="38">
        <v>389</v>
      </c>
      <c r="B395" s="43">
        <v>1003</v>
      </c>
      <c r="C395" s="44" t="s">
        <v>164</v>
      </c>
      <c r="D395" s="44" t="s">
        <v>60</v>
      </c>
      <c r="E395" s="45" t="s">
        <v>190</v>
      </c>
      <c r="F395" s="46">
        <f>38+9</f>
        <v>47</v>
      </c>
      <c r="G395" s="10"/>
    </row>
    <row r="396" spans="1:9" s="5" customFormat="1" ht="16.5" customHeight="1">
      <c r="A396" s="38">
        <v>390</v>
      </c>
      <c r="B396" s="43">
        <v>1003</v>
      </c>
      <c r="C396" s="44" t="s">
        <v>164</v>
      </c>
      <c r="D396" s="44" t="s">
        <v>42</v>
      </c>
      <c r="E396" s="45" t="s">
        <v>43</v>
      </c>
      <c r="F396" s="46">
        <f>3190-3190</f>
        <v>0</v>
      </c>
      <c r="G396" s="10"/>
    </row>
    <row r="397" spans="1:9" s="5" customFormat="1" ht="26.25" customHeight="1">
      <c r="A397" s="38">
        <v>391</v>
      </c>
      <c r="B397" s="43">
        <v>1003</v>
      </c>
      <c r="C397" s="44" t="s">
        <v>164</v>
      </c>
      <c r="D397" s="44" t="s">
        <v>44</v>
      </c>
      <c r="E397" s="45" t="s">
        <v>466</v>
      </c>
      <c r="F397" s="46">
        <f>3190-9</f>
        <v>3181</v>
      </c>
      <c r="G397" s="10"/>
    </row>
    <row r="398" spans="1:9" s="5" customFormat="1" ht="131.25" customHeight="1">
      <c r="A398" s="38">
        <v>392</v>
      </c>
      <c r="B398" s="39">
        <v>1003</v>
      </c>
      <c r="C398" s="40" t="s">
        <v>392</v>
      </c>
      <c r="D398" s="44"/>
      <c r="E398" s="37" t="s">
        <v>93</v>
      </c>
      <c r="F398" s="42">
        <f>SUM(F399:F400)</f>
        <v>18517</v>
      </c>
      <c r="G398" s="10"/>
    </row>
    <row r="399" spans="1:9" s="5" customFormat="1" ht="28.5" customHeight="1">
      <c r="A399" s="38">
        <v>393</v>
      </c>
      <c r="B399" s="43">
        <v>1003</v>
      </c>
      <c r="C399" s="44" t="s">
        <v>392</v>
      </c>
      <c r="D399" s="44" t="s">
        <v>60</v>
      </c>
      <c r="E399" s="45" t="s">
        <v>190</v>
      </c>
      <c r="F399" s="46">
        <f>228+30</f>
        <v>258</v>
      </c>
      <c r="G399" s="10"/>
    </row>
    <row r="400" spans="1:9" s="5" customFormat="1" ht="23.25" customHeight="1">
      <c r="A400" s="38">
        <v>394</v>
      </c>
      <c r="B400" s="43">
        <v>1003</v>
      </c>
      <c r="C400" s="44" t="s">
        <v>392</v>
      </c>
      <c r="D400" s="44" t="s">
        <v>42</v>
      </c>
      <c r="E400" s="45" t="s">
        <v>43</v>
      </c>
      <c r="F400" s="46">
        <f>19500-30-1211</f>
        <v>18259</v>
      </c>
      <c r="G400" s="10"/>
    </row>
    <row r="401" spans="1:7" s="5" customFormat="1" ht="85.5" customHeight="1">
      <c r="A401" s="38">
        <v>395</v>
      </c>
      <c r="B401" s="39">
        <v>1003</v>
      </c>
      <c r="C401" s="40" t="s">
        <v>397</v>
      </c>
      <c r="D401" s="40"/>
      <c r="E401" s="37" t="s">
        <v>398</v>
      </c>
      <c r="F401" s="42">
        <f>SUM(F402:F403)</f>
        <v>5.2</v>
      </c>
      <c r="G401" s="10"/>
    </row>
    <row r="402" spans="1:7" s="5" customFormat="1" ht="23.25" customHeight="1">
      <c r="A402" s="38">
        <v>396</v>
      </c>
      <c r="B402" s="43">
        <v>1003</v>
      </c>
      <c r="C402" s="44" t="s">
        <v>397</v>
      </c>
      <c r="D402" s="44" t="s">
        <v>42</v>
      </c>
      <c r="E402" s="45" t="s">
        <v>43</v>
      </c>
      <c r="F402" s="46">
        <f>5.2-5.2</f>
        <v>0</v>
      </c>
      <c r="G402" s="10"/>
    </row>
    <row r="403" spans="1:7" s="5" customFormat="1" ht="23.25" customHeight="1">
      <c r="A403" s="38">
        <v>397</v>
      </c>
      <c r="B403" s="43">
        <v>1003</v>
      </c>
      <c r="C403" s="44" t="s">
        <v>397</v>
      </c>
      <c r="D403" s="44" t="s">
        <v>44</v>
      </c>
      <c r="E403" s="45" t="s">
        <v>466</v>
      </c>
      <c r="F403" s="46">
        <v>5.2</v>
      </c>
      <c r="G403" s="10"/>
    </row>
    <row r="404" spans="1:7" ht="38.25">
      <c r="A404" s="38">
        <v>398</v>
      </c>
      <c r="B404" s="39">
        <v>1003</v>
      </c>
      <c r="C404" s="40" t="s">
        <v>165</v>
      </c>
      <c r="D404" s="44"/>
      <c r="E404" s="37" t="s">
        <v>292</v>
      </c>
      <c r="F404" s="42">
        <f>SUM(F405+F407)</f>
        <v>18.304000000000002</v>
      </c>
      <c r="G404" s="11"/>
    </row>
    <row r="405" spans="1:7" ht="42.75" customHeight="1">
      <c r="A405" s="38">
        <v>399</v>
      </c>
      <c r="B405" s="39">
        <v>1003</v>
      </c>
      <c r="C405" s="49" t="s">
        <v>166</v>
      </c>
      <c r="D405" s="44"/>
      <c r="E405" s="68" t="s">
        <v>364</v>
      </c>
      <c r="F405" s="42">
        <f>SUM(F406)</f>
        <v>8.3040000000000003</v>
      </c>
      <c r="G405" s="11"/>
    </row>
    <row r="406" spans="1:7" ht="19.5" customHeight="1">
      <c r="A406" s="38">
        <v>400</v>
      </c>
      <c r="B406" s="43">
        <v>1003</v>
      </c>
      <c r="C406" s="71" t="s">
        <v>166</v>
      </c>
      <c r="D406" s="71" t="s">
        <v>42</v>
      </c>
      <c r="E406" s="45" t="s">
        <v>43</v>
      </c>
      <c r="F406" s="46">
        <v>8.3040000000000003</v>
      </c>
      <c r="G406" s="11"/>
    </row>
    <row r="407" spans="1:7" ht="19.5" customHeight="1">
      <c r="A407" s="38">
        <v>401</v>
      </c>
      <c r="B407" s="39">
        <v>1003</v>
      </c>
      <c r="C407" s="49" t="s">
        <v>435</v>
      </c>
      <c r="D407" s="49"/>
      <c r="E407" s="37" t="s">
        <v>434</v>
      </c>
      <c r="F407" s="42">
        <f>SUM(F408)</f>
        <v>10</v>
      </c>
      <c r="G407" s="11"/>
    </row>
    <row r="408" spans="1:7" ht="28.5" customHeight="1">
      <c r="A408" s="38">
        <v>402</v>
      </c>
      <c r="B408" s="43">
        <v>1003</v>
      </c>
      <c r="C408" s="71" t="s">
        <v>435</v>
      </c>
      <c r="D408" s="71" t="s">
        <v>60</v>
      </c>
      <c r="E408" s="45" t="s">
        <v>190</v>
      </c>
      <c r="F408" s="46">
        <v>10</v>
      </c>
      <c r="G408" s="11"/>
    </row>
    <row r="409" spans="1:7" ht="38.25">
      <c r="A409" s="38">
        <v>403</v>
      </c>
      <c r="B409" s="39">
        <v>1003</v>
      </c>
      <c r="C409" s="49" t="s">
        <v>167</v>
      </c>
      <c r="D409" s="44"/>
      <c r="E409" s="37" t="s">
        <v>343</v>
      </c>
      <c r="F409" s="42">
        <f>SUM(F410+F412)</f>
        <v>1598.5</v>
      </c>
      <c r="G409" s="11"/>
    </row>
    <row r="410" spans="1:7" ht="42" customHeight="1">
      <c r="A410" s="38">
        <v>404</v>
      </c>
      <c r="B410" s="39">
        <v>1003</v>
      </c>
      <c r="C410" s="49" t="s">
        <v>341</v>
      </c>
      <c r="D410" s="44"/>
      <c r="E410" s="37" t="s">
        <v>105</v>
      </c>
      <c r="F410" s="42">
        <f>F411</f>
        <v>0</v>
      </c>
      <c r="G410" s="11"/>
    </row>
    <row r="411" spans="1:7" ht="25.5">
      <c r="A411" s="38">
        <v>405</v>
      </c>
      <c r="B411" s="43">
        <v>1003</v>
      </c>
      <c r="C411" s="71" t="s">
        <v>341</v>
      </c>
      <c r="D411" s="44" t="s">
        <v>44</v>
      </c>
      <c r="E411" s="45" t="s">
        <v>45</v>
      </c>
      <c r="F411" s="46">
        <f>360-360</f>
        <v>0</v>
      </c>
      <c r="G411" s="11"/>
    </row>
    <row r="412" spans="1:7" ht="38.25" customHeight="1">
      <c r="A412" s="38">
        <v>406</v>
      </c>
      <c r="B412" s="39">
        <v>1003</v>
      </c>
      <c r="C412" s="49" t="s">
        <v>433</v>
      </c>
      <c r="D412" s="40"/>
      <c r="E412" s="37" t="s">
        <v>105</v>
      </c>
      <c r="F412" s="42">
        <f>SUM(F413)</f>
        <v>1598.5</v>
      </c>
      <c r="G412" s="11"/>
    </row>
    <row r="413" spans="1:7" ht="25.5">
      <c r="A413" s="38">
        <v>407</v>
      </c>
      <c r="B413" s="43">
        <v>1003</v>
      </c>
      <c r="C413" s="71" t="s">
        <v>433</v>
      </c>
      <c r="D413" s="44" t="s">
        <v>44</v>
      </c>
      <c r="E413" s="45" t="s">
        <v>45</v>
      </c>
      <c r="F413" s="46">
        <f>1453+360-214.5</f>
        <v>1598.5</v>
      </c>
      <c r="G413" s="11"/>
    </row>
    <row r="414" spans="1:7" ht="38.25">
      <c r="A414" s="38">
        <v>408</v>
      </c>
      <c r="B414" s="39">
        <v>1003</v>
      </c>
      <c r="C414" s="49" t="s">
        <v>257</v>
      </c>
      <c r="D414" s="40"/>
      <c r="E414" s="37" t="s">
        <v>254</v>
      </c>
      <c r="F414" s="42">
        <f>SUM(F415)</f>
        <v>1430.9</v>
      </c>
      <c r="G414" s="11"/>
    </row>
    <row r="415" spans="1:7" ht="63.75" customHeight="1">
      <c r="A415" s="38">
        <v>409</v>
      </c>
      <c r="B415" s="39">
        <v>1003</v>
      </c>
      <c r="C415" s="49" t="s">
        <v>415</v>
      </c>
      <c r="D415" s="40"/>
      <c r="E415" s="37" t="s">
        <v>255</v>
      </c>
      <c r="F415" s="42">
        <f>SUM(F416+F418)</f>
        <v>1430.9</v>
      </c>
      <c r="G415" s="11"/>
    </row>
    <row r="416" spans="1:7" ht="30" customHeight="1">
      <c r="A416" s="38">
        <v>410</v>
      </c>
      <c r="B416" s="39">
        <v>1003</v>
      </c>
      <c r="C416" s="49" t="s">
        <v>370</v>
      </c>
      <c r="D416" s="40"/>
      <c r="E416" s="37" t="s">
        <v>256</v>
      </c>
      <c r="F416" s="42">
        <f>SUM(F417)</f>
        <v>0</v>
      </c>
      <c r="G416" s="11"/>
    </row>
    <row r="417" spans="1:7" ht="29.25" customHeight="1">
      <c r="A417" s="38">
        <v>411</v>
      </c>
      <c r="B417" s="43">
        <v>1003</v>
      </c>
      <c r="C417" s="71" t="s">
        <v>370</v>
      </c>
      <c r="D417" s="44" t="s">
        <v>44</v>
      </c>
      <c r="E417" s="45" t="s">
        <v>45</v>
      </c>
      <c r="F417" s="46">
        <f>637.9-637.9</f>
        <v>0</v>
      </c>
      <c r="G417" s="11"/>
    </row>
    <row r="418" spans="1:7" ht="42" customHeight="1">
      <c r="A418" s="38">
        <v>412</v>
      </c>
      <c r="B418" s="39">
        <v>1003</v>
      </c>
      <c r="C418" s="49" t="s">
        <v>413</v>
      </c>
      <c r="D418" s="40"/>
      <c r="E418" s="68" t="s">
        <v>414</v>
      </c>
      <c r="F418" s="42">
        <f>SUM(F419)</f>
        <v>1430.9</v>
      </c>
      <c r="G418" s="11"/>
    </row>
    <row r="419" spans="1:7" ht="29.25" customHeight="1">
      <c r="A419" s="38">
        <v>413</v>
      </c>
      <c r="B419" s="43">
        <v>1003</v>
      </c>
      <c r="C419" s="71" t="s">
        <v>413</v>
      </c>
      <c r="D419" s="44" t="s">
        <v>44</v>
      </c>
      <c r="E419" s="45" t="s">
        <v>45</v>
      </c>
      <c r="F419" s="46">
        <f>793+637.9</f>
        <v>1430.9</v>
      </c>
      <c r="G419" s="11"/>
    </row>
    <row r="420" spans="1:7" ht="35.25" customHeight="1">
      <c r="A420" s="38">
        <v>414</v>
      </c>
      <c r="B420" s="39">
        <v>1003</v>
      </c>
      <c r="C420" s="49" t="s">
        <v>267</v>
      </c>
      <c r="D420" s="40"/>
      <c r="E420" s="68" t="s">
        <v>265</v>
      </c>
      <c r="F420" s="42">
        <f>SUM(F421)</f>
        <v>15</v>
      </c>
      <c r="G420" s="11"/>
    </row>
    <row r="421" spans="1:7" ht="35.25" customHeight="1">
      <c r="A421" s="38">
        <v>415</v>
      </c>
      <c r="B421" s="39">
        <v>1003</v>
      </c>
      <c r="C421" s="49" t="s">
        <v>266</v>
      </c>
      <c r="D421" s="40"/>
      <c r="E421" s="63" t="s">
        <v>365</v>
      </c>
      <c r="F421" s="42">
        <f>SUM(F422+F424+F426)</f>
        <v>15</v>
      </c>
      <c r="G421" s="11"/>
    </row>
    <row r="422" spans="1:7" ht="32.25" customHeight="1">
      <c r="A422" s="38">
        <v>416</v>
      </c>
      <c r="B422" s="39">
        <v>1003</v>
      </c>
      <c r="C422" s="49" t="s">
        <v>371</v>
      </c>
      <c r="D422" s="40"/>
      <c r="E422" s="63" t="s">
        <v>396</v>
      </c>
      <c r="F422" s="42">
        <f>SUM(F423)</f>
        <v>0</v>
      </c>
      <c r="G422" s="11"/>
    </row>
    <row r="423" spans="1:7" ht="29.25" customHeight="1">
      <c r="A423" s="38">
        <v>417</v>
      </c>
      <c r="B423" s="43">
        <v>1003</v>
      </c>
      <c r="C423" s="71" t="s">
        <v>371</v>
      </c>
      <c r="D423" s="44" t="s">
        <v>60</v>
      </c>
      <c r="E423" s="45" t="s">
        <v>190</v>
      </c>
      <c r="F423" s="46">
        <f>5-5</f>
        <v>0</v>
      </c>
      <c r="G423" s="11"/>
    </row>
    <row r="424" spans="1:7" ht="29.25" customHeight="1">
      <c r="A424" s="38">
        <v>418</v>
      </c>
      <c r="B424" s="39">
        <v>1003</v>
      </c>
      <c r="C424" s="49" t="s">
        <v>372</v>
      </c>
      <c r="D424" s="40"/>
      <c r="E424" s="37" t="s">
        <v>373</v>
      </c>
      <c r="F424" s="42">
        <f>SUM(F425)</f>
        <v>0</v>
      </c>
      <c r="G424" s="11"/>
    </row>
    <row r="425" spans="1:7" ht="29.25" customHeight="1">
      <c r="A425" s="38">
        <v>419</v>
      </c>
      <c r="B425" s="43">
        <v>1003</v>
      </c>
      <c r="C425" s="71" t="s">
        <v>372</v>
      </c>
      <c r="D425" s="44" t="s">
        <v>60</v>
      </c>
      <c r="E425" s="45" t="s">
        <v>190</v>
      </c>
      <c r="F425" s="46">
        <f>5-5</f>
        <v>0</v>
      </c>
      <c r="G425" s="11"/>
    </row>
    <row r="426" spans="1:7" ht="45.75" customHeight="1">
      <c r="A426" s="38">
        <v>420</v>
      </c>
      <c r="B426" s="39">
        <v>1003</v>
      </c>
      <c r="C426" s="49" t="s">
        <v>374</v>
      </c>
      <c r="D426" s="40"/>
      <c r="E426" s="37" t="s">
        <v>375</v>
      </c>
      <c r="F426" s="42">
        <f>SUM(F427)</f>
        <v>15</v>
      </c>
      <c r="G426" s="11"/>
    </row>
    <row r="427" spans="1:7" ht="29.25" customHeight="1">
      <c r="A427" s="38">
        <v>421</v>
      </c>
      <c r="B427" s="43">
        <v>1003</v>
      </c>
      <c r="C427" s="71" t="s">
        <v>374</v>
      </c>
      <c r="D427" s="44" t="s">
        <v>60</v>
      </c>
      <c r="E427" s="45" t="s">
        <v>190</v>
      </c>
      <c r="F427" s="46">
        <f>5+10</f>
        <v>15</v>
      </c>
      <c r="G427" s="11"/>
    </row>
    <row r="428" spans="1:7" ht="22.5" customHeight="1">
      <c r="A428" s="38">
        <v>422</v>
      </c>
      <c r="B428" s="39">
        <v>1003</v>
      </c>
      <c r="C428" s="49" t="s">
        <v>111</v>
      </c>
      <c r="D428" s="40"/>
      <c r="E428" s="37" t="s">
        <v>57</v>
      </c>
      <c r="F428" s="42">
        <f>SUM(F429)</f>
        <v>18.414999999999999</v>
      </c>
      <c r="G428" s="11"/>
    </row>
    <row r="429" spans="1:7" ht="79.5" customHeight="1">
      <c r="A429" s="38">
        <v>423</v>
      </c>
      <c r="B429" s="39">
        <v>1003</v>
      </c>
      <c r="C429" s="49" t="s">
        <v>376</v>
      </c>
      <c r="D429" s="49"/>
      <c r="E429" s="52" t="s">
        <v>106</v>
      </c>
      <c r="F429" s="42">
        <f>SUM(F430)</f>
        <v>18.414999999999999</v>
      </c>
      <c r="G429" s="11"/>
    </row>
    <row r="430" spans="1:7" ht="43.5" customHeight="1">
      <c r="A430" s="38">
        <v>424</v>
      </c>
      <c r="B430" s="43">
        <v>1003</v>
      </c>
      <c r="C430" s="71" t="s">
        <v>376</v>
      </c>
      <c r="D430" s="71" t="s">
        <v>49</v>
      </c>
      <c r="E430" s="45" t="s">
        <v>192</v>
      </c>
      <c r="F430" s="46">
        <f>20-0.3-1.285</f>
        <v>18.414999999999999</v>
      </c>
      <c r="G430" s="11"/>
    </row>
    <row r="431" spans="1:7" s="5" customFormat="1">
      <c r="A431" s="38">
        <v>425</v>
      </c>
      <c r="B431" s="39">
        <v>1006</v>
      </c>
      <c r="C431" s="71"/>
      <c r="D431" s="49"/>
      <c r="E431" s="37" t="s">
        <v>37</v>
      </c>
      <c r="F431" s="42">
        <f>SUM(F432)</f>
        <v>1971.56</v>
      </c>
      <c r="G431" s="10"/>
    </row>
    <row r="432" spans="1:7" ht="32.25" customHeight="1">
      <c r="A432" s="38">
        <v>426</v>
      </c>
      <c r="B432" s="39">
        <v>1006</v>
      </c>
      <c r="C432" s="40" t="s">
        <v>163</v>
      </c>
      <c r="D432" s="40"/>
      <c r="E432" s="37" t="s">
        <v>390</v>
      </c>
      <c r="F432" s="42">
        <f>SUM(F436+F433)</f>
        <v>1971.56</v>
      </c>
      <c r="G432" s="10" t="e">
        <f>G436+#REF!+G458</f>
        <v>#REF!</v>
      </c>
    </row>
    <row r="433" spans="1:7" ht="32.25" customHeight="1">
      <c r="A433" s="38">
        <v>427</v>
      </c>
      <c r="B433" s="39">
        <v>1006</v>
      </c>
      <c r="C433" s="40" t="s">
        <v>391</v>
      </c>
      <c r="D433" s="40"/>
      <c r="E433" s="37" t="s">
        <v>94</v>
      </c>
      <c r="F433" s="42">
        <f>SUM(F434:F435)</f>
        <v>552.55999999999995</v>
      </c>
      <c r="G433" s="10"/>
    </row>
    <row r="434" spans="1:7" ht="32.25" customHeight="1">
      <c r="A434" s="38">
        <v>428</v>
      </c>
      <c r="B434" s="43">
        <v>1006</v>
      </c>
      <c r="C434" s="44" t="s">
        <v>391</v>
      </c>
      <c r="D434" s="44" t="s">
        <v>46</v>
      </c>
      <c r="E434" s="45" t="s">
        <v>191</v>
      </c>
      <c r="F434" s="46">
        <f>337.5+60</f>
        <v>397.5</v>
      </c>
      <c r="G434" s="10"/>
    </row>
    <row r="435" spans="1:7" ht="32.25" customHeight="1">
      <c r="A435" s="38">
        <v>429</v>
      </c>
      <c r="B435" s="43">
        <v>1006</v>
      </c>
      <c r="C435" s="44" t="s">
        <v>391</v>
      </c>
      <c r="D435" s="44" t="s">
        <v>60</v>
      </c>
      <c r="E435" s="45" t="s">
        <v>190</v>
      </c>
      <c r="F435" s="46">
        <f>259.5-44.44-60</f>
        <v>155.06</v>
      </c>
      <c r="G435" s="10"/>
    </row>
    <row r="436" spans="1:7" ht="122.25" customHeight="1">
      <c r="A436" s="38">
        <v>430</v>
      </c>
      <c r="B436" s="39">
        <v>1006</v>
      </c>
      <c r="C436" s="40" t="s">
        <v>392</v>
      </c>
      <c r="D436" s="40"/>
      <c r="E436" s="37" t="s">
        <v>95</v>
      </c>
      <c r="F436" s="42">
        <f>SUM(F437:F438)</f>
        <v>1419</v>
      </c>
      <c r="G436" s="10" t="e">
        <f>G437</f>
        <v>#REF!</v>
      </c>
    </row>
    <row r="437" spans="1:7" ht="29.25" customHeight="1">
      <c r="A437" s="38">
        <v>431</v>
      </c>
      <c r="B437" s="43">
        <v>1006</v>
      </c>
      <c r="C437" s="44" t="s">
        <v>392</v>
      </c>
      <c r="D437" s="44" t="s">
        <v>46</v>
      </c>
      <c r="E437" s="45" t="s">
        <v>191</v>
      </c>
      <c r="F437" s="46">
        <v>856</v>
      </c>
      <c r="G437" s="10" t="e">
        <f>G438</f>
        <v>#REF!</v>
      </c>
    </row>
    <row r="438" spans="1:7" ht="27" customHeight="1">
      <c r="A438" s="38">
        <v>432</v>
      </c>
      <c r="B438" s="43">
        <v>1006</v>
      </c>
      <c r="C438" s="44" t="s">
        <v>392</v>
      </c>
      <c r="D438" s="44" t="s">
        <v>60</v>
      </c>
      <c r="E438" s="45" t="s">
        <v>190</v>
      </c>
      <c r="F438" s="46">
        <v>563</v>
      </c>
      <c r="G438" s="10" t="e">
        <f>#REF!</f>
        <v>#REF!</v>
      </c>
    </row>
    <row r="439" spans="1:7" ht="21.75" customHeight="1">
      <c r="A439" s="38">
        <v>433</v>
      </c>
      <c r="B439" s="39">
        <v>1100</v>
      </c>
      <c r="C439" s="49"/>
      <c r="D439" s="49"/>
      <c r="E439" s="37" t="s">
        <v>33</v>
      </c>
      <c r="F439" s="42">
        <f>SUM(F440)</f>
        <v>10112.950000000001</v>
      </c>
      <c r="G439" s="10" t="e">
        <f>#REF!+#REF!</f>
        <v>#REF!</v>
      </c>
    </row>
    <row r="440" spans="1:7" ht="21.75" customHeight="1">
      <c r="A440" s="38">
        <v>434</v>
      </c>
      <c r="B440" s="39">
        <v>1102</v>
      </c>
      <c r="C440" s="49"/>
      <c r="D440" s="49"/>
      <c r="E440" s="37" t="s">
        <v>180</v>
      </c>
      <c r="F440" s="42">
        <f>SUM(F441)</f>
        <v>10112.950000000001</v>
      </c>
      <c r="G440" s="10"/>
    </row>
    <row r="441" spans="1:7" ht="47.25" customHeight="1">
      <c r="A441" s="38">
        <v>435</v>
      </c>
      <c r="B441" s="39">
        <v>1102</v>
      </c>
      <c r="C441" s="40" t="s">
        <v>135</v>
      </c>
      <c r="D441" s="40"/>
      <c r="E441" s="37" t="s">
        <v>285</v>
      </c>
      <c r="F441" s="42">
        <f>SUM(F442+F444+F448)</f>
        <v>10112.950000000001</v>
      </c>
      <c r="G441" s="12">
        <v>14541</v>
      </c>
    </row>
    <row r="442" spans="1:7" ht="34.5" customHeight="1">
      <c r="A442" s="38">
        <v>436</v>
      </c>
      <c r="B442" s="39">
        <v>1102</v>
      </c>
      <c r="C442" s="40" t="s">
        <v>175</v>
      </c>
      <c r="D442" s="40"/>
      <c r="E442" s="63" t="s">
        <v>104</v>
      </c>
      <c r="F442" s="42">
        <f>SUM(F443)</f>
        <v>114.25</v>
      </c>
      <c r="G442" s="12"/>
    </row>
    <row r="443" spans="1:7" ht="35.25" customHeight="1">
      <c r="A443" s="38">
        <v>437</v>
      </c>
      <c r="B443" s="43">
        <v>1102</v>
      </c>
      <c r="C443" s="44" t="s">
        <v>175</v>
      </c>
      <c r="D443" s="44" t="s">
        <v>60</v>
      </c>
      <c r="E443" s="45" t="s">
        <v>190</v>
      </c>
      <c r="F443" s="46">
        <f>70+44.25</f>
        <v>114.25</v>
      </c>
      <c r="G443" s="12"/>
    </row>
    <row r="444" spans="1:7" ht="30.75" customHeight="1">
      <c r="A444" s="38">
        <v>438</v>
      </c>
      <c r="B444" s="39">
        <v>1102</v>
      </c>
      <c r="C444" s="40" t="s">
        <v>176</v>
      </c>
      <c r="D444" s="40"/>
      <c r="E444" s="37" t="s">
        <v>97</v>
      </c>
      <c r="F444" s="42">
        <f>SUM(F445:F447)</f>
        <v>9931.1</v>
      </c>
      <c r="G444" s="11">
        <v>7823</v>
      </c>
    </row>
    <row r="445" spans="1:7" ht="24" customHeight="1">
      <c r="A445" s="38">
        <v>439</v>
      </c>
      <c r="B445" s="43">
        <v>1102</v>
      </c>
      <c r="C445" s="44" t="s">
        <v>176</v>
      </c>
      <c r="D445" s="44" t="s">
        <v>40</v>
      </c>
      <c r="E445" s="45" t="s">
        <v>64</v>
      </c>
      <c r="F445" s="46">
        <f>6005.3-30-0.494+183.623</f>
        <v>6158.4290000000001</v>
      </c>
      <c r="G445" s="11"/>
    </row>
    <row r="446" spans="1:7" ht="27.75" customHeight="1">
      <c r="A446" s="38">
        <v>440</v>
      </c>
      <c r="B446" s="43">
        <v>1102</v>
      </c>
      <c r="C446" s="44" t="s">
        <v>176</v>
      </c>
      <c r="D446" s="44" t="s">
        <v>60</v>
      </c>
      <c r="E446" s="45" t="s">
        <v>96</v>
      </c>
      <c r="F446" s="46">
        <f>3856.6-70+22.5-145.104+3.098-50</f>
        <v>3617.0940000000001</v>
      </c>
      <c r="G446" s="13" t="e">
        <f>#REF!</f>
        <v>#REF!</v>
      </c>
    </row>
    <row r="447" spans="1:7" ht="21" customHeight="1">
      <c r="A447" s="38">
        <v>441</v>
      </c>
      <c r="B447" s="43">
        <v>1102</v>
      </c>
      <c r="C447" s="44" t="s">
        <v>176</v>
      </c>
      <c r="D447" s="44" t="s">
        <v>186</v>
      </c>
      <c r="E447" s="45" t="s">
        <v>187</v>
      </c>
      <c r="F447" s="46">
        <f>40+70+7.5-11.923+50</f>
        <v>155.577</v>
      </c>
      <c r="G447" s="13"/>
    </row>
    <row r="448" spans="1:7" ht="21" customHeight="1">
      <c r="A448" s="38">
        <v>442</v>
      </c>
      <c r="B448" s="82">
        <v>1102</v>
      </c>
      <c r="C448" s="83" t="s">
        <v>439</v>
      </c>
      <c r="D448" s="83"/>
      <c r="E448" s="96" t="s">
        <v>440</v>
      </c>
      <c r="F448" s="85">
        <f>SUM(F449)</f>
        <v>67.599999999999994</v>
      </c>
      <c r="G448" s="13"/>
    </row>
    <row r="449" spans="1:8" ht="34.5" customHeight="1">
      <c r="A449" s="38">
        <v>443</v>
      </c>
      <c r="B449" s="86">
        <v>1102</v>
      </c>
      <c r="C449" s="87" t="s">
        <v>439</v>
      </c>
      <c r="D449" s="87" t="s">
        <v>60</v>
      </c>
      <c r="E449" s="88" t="s">
        <v>96</v>
      </c>
      <c r="F449" s="89">
        <v>67.599999999999994</v>
      </c>
      <c r="G449" s="13"/>
    </row>
    <row r="450" spans="1:8" s="4" customFormat="1" ht="15">
      <c r="A450" s="38">
        <v>444</v>
      </c>
      <c r="B450" s="39">
        <v>1200</v>
      </c>
      <c r="C450" s="40"/>
      <c r="D450" s="40"/>
      <c r="E450" s="41" t="s">
        <v>52</v>
      </c>
      <c r="F450" s="42">
        <f>SUM(F451)</f>
        <v>503</v>
      </c>
      <c r="G450" s="12"/>
    </row>
    <row r="451" spans="1:8" s="4" customFormat="1" ht="15">
      <c r="A451" s="38">
        <v>445</v>
      </c>
      <c r="B451" s="39">
        <v>1202</v>
      </c>
      <c r="C451" s="40"/>
      <c r="D451" s="40"/>
      <c r="E451" s="41" t="s">
        <v>181</v>
      </c>
      <c r="F451" s="42">
        <f>SUM(F452+F455)</f>
        <v>503</v>
      </c>
      <c r="G451" s="12"/>
    </row>
    <row r="452" spans="1:8" s="4" customFormat="1" ht="39.75" customHeight="1">
      <c r="A452" s="38">
        <v>446</v>
      </c>
      <c r="B452" s="39">
        <v>1202</v>
      </c>
      <c r="C452" s="40" t="s">
        <v>116</v>
      </c>
      <c r="D452" s="40"/>
      <c r="E452" s="37" t="s">
        <v>280</v>
      </c>
      <c r="F452" s="42">
        <f>SUM(F453)</f>
        <v>353</v>
      </c>
      <c r="G452" s="12"/>
    </row>
    <row r="453" spans="1:8" s="5" customFormat="1" ht="32.25" customHeight="1">
      <c r="A453" s="38">
        <v>447</v>
      </c>
      <c r="B453" s="39">
        <v>1202</v>
      </c>
      <c r="C453" s="40" t="s">
        <v>168</v>
      </c>
      <c r="D453" s="40"/>
      <c r="E453" s="37" t="s">
        <v>98</v>
      </c>
      <c r="F453" s="42">
        <f>SUM(F454)</f>
        <v>353</v>
      </c>
      <c r="G453" s="10"/>
      <c r="H453" s="4"/>
    </row>
    <row r="454" spans="1:8" ht="17.25" customHeight="1">
      <c r="A454" s="38">
        <v>448</v>
      </c>
      <c r="B454" s="43">
        <v>1202</v>
      </c>
      <c r="C454" s="44" t="s">
        <v>168</v>
      </c>
      <c r="D454" s="44" t="s">
        <v>294</v>
      </c>
      <c r="E454" s="72" t="s">
        <v>383</v>
      </c>
      <c r="F454" s="46">
        <v>353</v>
      </c>
      <c r="G454" s="11"/>
      <c r="H454" s="5"/>
    </row>
    <row r="455" spans="1:8" ht="21" customHeight="1">
      <c r="A455" s="38">
        <v>449</v>
      </c>
      <c r="B455" s="39">
        <v>1202</v>
      </c>
      <c r="C455" s="40" t="s">
        <v>111</v>
      </c>
      <c r="D455" s="44"/>
      <c r="E455" s="37" t="s">
        <v>57</v>
      </c>
      <c r="F455" s="42">
        <f>SUM(F456)</f>
        <v>150</v>
      </c>
      <c r="G455" s="11"/>
    </row>
    <row r="456" spans="1:8" ht="35.25" customHeight="1">
      <c r="A456" s="38">
        <v>450</v>
      </c>
      <c r="B456" s="39">
        <v>1202</v>
      </c>
      <c r="C456" s="40" t="s">
        <v>174</v>
      </c>
      <c r="D456" s="44"/>
      <c r="E456" s="37" t="s">
        <v>99</v>
      </c>
      <c r="F456" s="42">
        <f>SUM(F457)</f>
        <v>150</v>
      </c>
      <c r="G456" s="11"/>
    </row>
    <row r="457" spans="1:8" ht="27.75" customHeight="1">
      <c r="A457" s="38">
        <v>451</v>
      </c>
      <c r="B457" s="43">
        <v>1202</v>
      </c>
      <c r="C457" s="44" t="s">
        <v>174</v>
      </c>
      <c r="D457" s="44" t="s">
        <v>294</v>
      </c>
      <c r="E457" s="72" t="s">
        <v>383</v>
      </c>
      <c r="F457" s="46">
        <v>150</v>
      </c>
      <c r="G457" s="11"/>
    </row>
    <row r="458" spans="1:8" s="5" customFormat="1" ht="30">
      <c r="A458" s="38">
        <v>452</v>
      </c>
      <c r="B458" s="39">
        <v>1300</v>
      </c>
      <c r="C458" s="44"/>
      <c r="D458" s="44"/>
      <c r="E458" s="41" t="s">
        <v>6</v>
      </c>
      <c r="F458" s="42">
        <f>SUM(F459)</f>
        <v>0.54</v>
      </c>
      <c r="G458" s="10" t="e">
        <f>#REF!+G462</f>
        <v>#REF!</v>
      </c>
      <c r="H458"/>
    </row>
    <row r="459" spans="1:8" s="5" customFormat="1" ht="30">
      <c r="A459" s="38">
        <v>453</v>
      </c>
      <c r="B459" s="39">
        <v>1301</v>
      </c>
      <c r="C459" s="44"/>
      <c r="D459" s="44"/>
      <c r="E459" s="41" t="s">
        <v>182</v>
      </c>
      <c r="F459" s="42">
        <f>SUM(F460)</f>
        <v>0.54</v>
      </c>
      <c r="G459" s="10"/>
      <c r="H459"/>
    </row>
    <row r="460" spans="1:8" s="4" customFormat="1" ht="38.25">
      <c r="A460" s="38">
        <v>454</v>
      </c>
      <c r="B460" s="39">
        <v>1301</v>
      </c>
      <c r="C460" s="40" t="s">
        <v>116</v>
      </c>
      <c r="D460" s="40"/>
      <c r="E460" s="37" t="s">
        <v>280</v>
      </c>
      <c r="F460" s="42">
        <f>SUM(F461)</f>
        <v>0.54</v>
      </c>
      <c r="G460" s="12"/>
      <c r="H460" s="5"/>
    </row>
    <row r="461" spans="1:8" s="5" customFormat="1" ht="24.75" customHeight="1">
      <c r="A461" s="38">
        <v>455</v>
      </c>
      <c r="B461" s="39">
        <v>1301</v>
      </c>
      <c r="C461" s="40" t="s">
        <v>169</v>
      </c>
      <c r="D461" s="40"/>
      <c r="E461" s="37" t="s">
        <v>100</v>
      </c>
      <c r="F461" s="42">
        <f>F462</f>
        <v>0.54</v>
      </c>
      <c r="G461" s="10"/>
      <c r="H461" s="4"/>
    </row>
    <row r="462" spans="1:8">
      <c r="A462" s="38">
        <v>456</v>
      </c>
      <c r="B462" s="43">
        <v>1301</v>
      </c>
      <c r="C462" s="44" t="s">
        <v>169</v>
      </c>
      <c r="D462" s="44" t="s">
        <v>183</v>
      </c>
      <c r="E462" s="45" t="s">
        <v>263</v>
      </c>
      <c r="F462" s="46">
        <v>0.54</v>
      </c>
      <c r="G462" s="13" t="e">
        <f>#REF!</f>
        <v>#REF!</v>
      </c>
      <c r="H462" s="5"/>
    </row>
    <row r="463" spans="1:8" ht="16.5" customHeight="1">
      <c r="A463" s="38">
        <v>457</v>
      </c>
      <c r="B463" s="43"/>
      <c r="C463" s="44"/>
      <c r="D463" s="44"/>
      <c r="E463" s="41" t="s">
        <v>31</v>
      </c>
      <c r="F463" s="73">
        <f>SUM(F9+F96+F102+F153+F226+F275+F280+F352+F382+F439+F450+F458)</f>
        <v>383600.91400000005</v>
      </c>
      <c r="G463" s="10" t="e">
        <f>G9+G96+G102+#REF!+#REF!+G277+#REF!+G383+G432+#REF!+#REF!</f>
        <v>#REF!</v>
      </c>
      <c r="H463" s="23"/>
    </row>
    <row r="464" spans="1:8" ht="12.75" customHeight="1">
      <c r="A464" s="98"/>
      <c r="B464" s="98"/>
      <c r="C464" s="98"/>
      <c r="D464" s="98"/>
      <c r="E464" s="98"/>
      <c r="F464" s="98"/>
      <c r="G464" s="7"/>
    </row>
    <row r="465" spans="1:7" ht="15">
      <c r="A465" s="99" t="s">
        <v>473</v>
      </c>
      <c r="B465" s="99"/>
      <c r="C465" s="99"/>
      <c r="D465" s="99"/>
      <c r="E465" s="99"/>
      <c r="F465" s="99"/>
      <c r="G465" s="24"/>
    </row>
    <row r="467" spans="1:7">
      <c r="G467" s="14"/>
    </row>
  </sheetData>
  <autoFilter ref="A8:G465">
    <filterColumn colId="2"/>
  </autoFilter>
  <mergeCells count="10">
    <mergeCell ref="A464:F464"/>
    <mergeCell ref="A465:F465"/>
    <mergeCell ref="H230:K230"/>
    <mergeCell ref="A6:F6"/>
    <mergeCell ref="E1:F1"/>
    <mergeCell ref="E2:F2"/>
    <mergeCell ref="E3:F3"/>
    <mergeCell ref="B4:F4"/>
    <mergeCell ref="H123:I123"/>
    <mergeCell ref="H257:K257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4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2019-12-12T06:57:36Z</cp:lastPrinted>
  <dcterms:created xsi:type="dcterms:W3CDTF">1996-10-08T23:32:33Z</dcterms:created>
  <dcterms:modified xsi:type="dcterms:W3CDTF">2019-12-18T12:31:22Z</dcterms:modified>
</cp:coreProperties>
</file>