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Мугай Расчет объ.2019" sheetId="1" r:id="rId1"/>
    <sheet name="расчет 2020" sheetId="6" r:id="rId2"/>
    <sheet name="расчет 2021" sheetId="5" r:id="rId3"/>
    <sheet name="2019" sheetId="2" r:id="rId4"/>
    <sheet name="2020" sheetId="3" r:id="rId5"/>
    <sheet name="2021" sheetId="4" r:id="rId6"/>
  </sheets>
  <definedNames>
    <definedName name="_ftnref1" localSheetId="0">#REF!</definedName>
    <definedName name="_ftnref2" localSheetId="0">#REF!</definedName>
    <definedName name="_xlnm.Print_Area" localSheetId="3">'2019'!$A$1:$Y$14</definedName>
    <definedName name="_xlnm.Print_Area" localSheetId="4">'2020'!$A$3:$Y$13</definedName>
    <definedName name="_xlnm.Print_Area" localSheetId="5">'2021'!$A$1:$Y$13</definedName>
    <definedName name="_xlnm.Print_Area" localSheetId="0">'Мугай Расчет объ.2019'!$A$1:$N$21</definedName>
  </definedNames>
  <calcPr calcId="124519" refMode="R1C1"/>
</workbook>
</file>

<file path=xl/sharedStrings.xml><?xml version="1.0" encoding="utf-8"?>
<sst xmlns="http://schemas.openxmlformats.org/spreadsheetml/2006/main" count="186" uniqueCount="63">
  <si>
    <t xml:space="preserve">Итого         </t>
  </si>
  <si>
    <t xml:space="preserve">на отчетный   </t>
  </si>
  <si>
    <t>финансовый год</t>
  </si>
  <si>
    <r>
      <t>[1]</t>
    </r>
    <r>
      <rPr>
        <sz val="10"/>
        <color indexed="8"/>
        <rFont val="Times New Roman"/>
        <family val="1"/>
      </rPr>
      <t xml:space="preserve"> Определяется путем суммирования нормативных затрат, непосредственно связанных с оказанием муниципальной услуги </t>
    </r>
    <r>
      <rPr>
        <sz val="10"/>
        <color indexed="59"/>
        <rFont val="Times New Roman"/>
        <family val="1"/>
      </rPr>
      <t>(графа 2)</t>
    </r>
    <r>
      <rPr>
        <sz val="10"/>
        <color indexed="8"/>
        <rFont val="Times New Roman"/>
        <family val="1"/>
      </rPr>
      <t xml:space="preserve">, и затрат на общехозяйственные нужды </t>
    </r>
    <r>
      <rPr>
        <sz val="10"/>
        <color indexed="59"/>
        <rFont val="Times New Roman"/>
        <family val="1"/>
      </rPr>
      <t>(графа 3)</t>
    </r>
  </si>
  <si>
    <r>
      <t>[2]</t>
    </r>
    <r>
      <rPr>
        <sz val="10"/>
        <color indexed="8"/>
        <rFont val="Times New Roman"/>
        <family val="1"/>
      </rPr>
      <t xml:space="preserve"> Определяется путем суммирования произведения итогового объема нормативных затрат на оказание муниципальной </t>
    </r>
    <r>
      <rPr>
        <sz val="10"/>
        <color indexed="59"/>
        <rFont val="Times New Roman"/>
        <family val="1"/>
      </rPr>
      <t>услуги (графа 4)</t>
    </r>
    <r>
      <rPr>
        <sz val="10"/>
        <color indexed="8"/>
        <rFont val="Times New Roman"/>
        <family val="1"/>
      </rPr>
      <t xml:space="preserve"> на объем муниципальной услуги </t>
    </r>
    <r>
      <rPr>
        <sz val="10"/>
        <color indexed="59"/>
        <rFont val="Times New Roman"/>
        <family val="1"/>
      </rPr>
      <t>(графа 5)</t>
    </r>
    <r>
      <rPr>
        <sz val="10"/>
        <color indexed="8"/>
        <rFont val="Times New Roman"/>
        <family val="1"/>
      </rPr>
      <t xml:space="preserve"> с затратами на содержание </t>
    </r>
    <r>
      <rPr>
        <sz val="10"/>
        <color indexed="59"/>
        <rFont val="Times New Roman"/>
        <family val="1"/>
      </rPr>
      <t>имущества (графа 6)</t>
    </r>
  </si>
  <si>
    <t>Нормативные затраты на общехозяйственные нужды</t>
  </si>
  <si>
    <t>Наименование муниципальной услуги</t>
  </si>
  <si>
    <t>тыс. руб.  за единицу</t>
  </si>
  <si>
    <t>единиц</t>
  </si>
  <si>
    <t>тыс. рублей</t>
  </si>
  <si>
    <t>Объем  муниципальной услуги</t>
  </si>
  <si>
    <t>Затраты    на содержание имущества</t>
  </si>
  <si>
    <t>Реализация программ начального общего образования</t>
  </si>
  <si>
    <t>Реализация общеобразовательных программ основного общего образования</t>
  </si>
  <si>
    <t>учебные расходы</t>
  </si>
  <si>
    <t>интернет</t>
  </si>
  <si>
    <t>услуги связи</t>
  </si>
  <si>
    <t>расходы на содержание имущества</t>
  </si>
  <si>
    <t>прочие услуги</t>
  </si>
  <si>
    <t>продукты питания</t>
  </si>
  <si>
    <t>приобретение материалов</t>
  </si>
  <si>
    <t>кол. Учащ.</t>
  </si>
  <si>
    <t>итого</t>
  </si>
  <si>
    <t>з/пл. за год + начисления прочего персонала</t>
  </si>
  <si>
    <t>з/пл. за год + начисления учителей</t>
  </si>
  <si>
    <t>доля в %</t>
  </si>
  <si>
    <t>электроэнергия 90%</t>
  </si>
  <si>
    <t>электроэнергия 10%</t>
  </si>
  <si>
    <t>прочие ком. Услуги</t>
  </si>
  <si>
    <t>нормативные затраты, непосредственно связанные с оказанием муниц.услуги</t>
  </si>
  <si>
    <t>наименование услуги</t>
  </si>
  <si>
    <t xml:space="preserve"> </t>
  </si>
  <si>
    <t>подвоз учащихся</t>
  </si>
  <si>
    <t>прочие расходы</t>
  </si>
  <si>
    <t>Теплоэнергия 50%</t>
  </si>
  <si>
    <t>организация отдыха детей в каникулярное время</t>
  </si>
  <si>
    <t>Организация отдыха детей в каникулярное время</t>
  </si>
  <si>
    <t>Организация питания обучающихся</t>
  </si>
  <si>
    <t>МБОУ "Мугайская ООШ"</t>
  </si>
  <si>
    <t>нормативные затраты на оказание услуг</t>
  </si>
  <si>
    <t>Базовый норматив  затрат на оказание муниципальной услуги</t>
  </si>
  <si>
    <t>Базовый норматив  затрат на общехозяйственные нужды</t>
  </si>
  <si>
    <t>Базовый норматив 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</si>
  <si>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</si>
  <si>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Базовый норматив затрат на общехозяйственные нужды</t>
  </si>
  <si>
    <t>Базовый     норматив затрат на оказание муниципальной услуги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</si>
  <si>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№5</t>
  </si>
  <si>
    <t>Приложение №5</t>
  </si>
  <si>
    <t>Распределение нормативных затрат на 2019г.</t>
  </si>
  <si>
    <t>Распределение нормативных затрат  на 2020г.</t>
  </si>
  <si>
    <t>Распределение нормативных затрат  на 2021г.</t>
  </si>
  <si>
    <t>Территориальный коэффициент</t>
  </si>
  <si>
    <t>отраслевой коэффициент</t>
  </si>
  <si>
    <t xml:space="preserve">Итого нормативные затраты на оказание  муниципальной услуги   </t>
  </si>
  <si>
    <t xml:space="preserve">Нормативные затраты на оказание муниципальных услуг (выполнение работ) на 2021 год </t>
  </si>
  <si>
    <t>Отраслевой коэффициент</t>
  </si>
  <si>
    <t xml:space="preserve">Нормативные затраты на оказание  муниципальных услуг (выполнение работ) на 2019 год </t>
  </si>
  <si>
    <t xml:space="preserve">Нормативные затраты на оказание муниципальных услуг (выполнением работ) на 2020 год </t>
  </si>
  <si>
    <t xml:space="preserve">Приложение №1 </t>
  </si>
  <si>
    <t>Приложение №2</t>
  </si>
  <si>
    <t xml:space="preserve">Приложение №3 </t>
  </si>
  <si>
    <t xml:space="preserve">                                                                                                                                                                                                          Приложение №4</t>
  </si>
  <si>
    <t>Приложение №6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</si>
</sst>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%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59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0" xfId="0" applyFont="1"/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4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5" fillId="0" borderId="11" xfId="2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0" xfId="0" applyNumberFormat="1"/>
    <xf numFmtId="0" fontId="0" fillId="0" borderId="11" xfId="0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172" fontId="0" fillId="0" borderId="0" xfId="0" applyNumberFormat="1"/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5" fillId="0" borderId="16" xfId="2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0" borderId="21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73" fontId="13" fillId="0" borderId="11" xfId="2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/>
    <xf numFmtId="0" fontId="0" fillId="0" borderId="0" xfId="0" applyFont="1" applyBorder="1" applyAlignment="1">
      <alignment horizontal="center" wrapText="1"/>
    </xf>
    <xf numFmtId="0" fontId="9" fillId="0" borderId="22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18" fillId="0" borderId="0" xfId="0" applyFont="1" applyAlignment="1">
      <alignment horizontal="center"/>
    </xf>
    <xf numFmtId="2" fontId="17" fillId="0" borderId="7" xfId="0" applyNumberFormat="1" applyFont="1" applyBorder="1" applyAlignment="1">
      <alignment horizontal="center" vertical="top" wrapText="1"/>
    </xf>
    <xf numFmtId="2" fontId="17" fillId="0" borderId="2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7" fillId="0" borderId="18" xfId="0" applyNumberFormat="1" applyFont="1" applyBorder="1" applyAlignment="1">
      <alignment horizontal="center" vertical="top" wrapText="1"/>
    </xf>
    <xf numFmtId="0" fontId="17" fillId="0" borderId="7" xfId="0" applyNumberFormat="1" applyFont="1" applyBorder="1" applyAlignment="1">
      <alignment horizontal="center" vertical="top" wrapText="1"/>
    </xf>
    <xf numFmtId="0" fontId="17" fillId="0" borderId="2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4" fillId="0" borderId="24" xfId="0" applyFont="1" applyBorder="1" applyAlignment="1">
      <alignment horizontal="center" wrapText="1"/>
    </xf>
    <xf numFmtId="0" fontId="17" fillId="0" borderId="25" xfId="0" applyNumberFormat="1" applyFont="1" applyBorder="1" applyAlignment="1">
      <alignment horizontal="center" vertical="top" wrapText="1"/>
    </xf>
    <xf numFmtId="0" fontId="17" fillId="0" borderId="26" xfId="0" applyNumberFormat="1" applyFont="1" applyBorder="1" applyAlignment="1">
      <alignment horizontal="center" vertical="top" wrapText="1"/>
    </xf>
    <xf numFmtId="0" fontId="17" fillId="0" borderId="27" xfId="0" applyNumberFormat="1" applyFont="1" applyBorder="1" applyAlignment="1">
      <alignment horizontal="center" vertical="top" wrapText="1"/>
    </xf>
    <xf numFmtId="0" fontId="17" fillId="0" borderId="23" xfId="0" applyNumberFormat="1" applyFont="1" applyBorder="1" applyAlignment="1">
      <alignment horizontal="center" vertical="top" wrapText="1"/>
    </xf>
    <xf numFmtId="0" fontId="17" fillId="0" borderId="28" xfId="0" applyNumberFormat="1" applyFont="1" applyBorder="1" applyAlignment="1">
      <alignment horizontal="center" vertical="top" wrapText="1"/>
    </xf>
    <xf numFmtId="0" fontId="17" fillId="0" borderId="29" xfId="0" applyNumberFormat="1" applyFont="1" applyBorder="1" applyAlignment="1">
      <alignment horizontal="center" vertical="top" wrapText="1"/>
    </xf>
    <xf numFmtId="2" fontId="17" fillId="0" borderId="30" xfId="0" applyNumberFormat="1" applyFont="1" applyBorder="1" applyAlignment="1">
      <alignment horizontal="center" vertical="top" wrapText="1"/>
    </xf>
    <xf numFmtId="2" fontId="17" fillId="0" borderId="3" xfId="0" applyNumberFormat="1" applyFont="1" applyBorder="1" applyAlignment="1">
      <alignment horizontal="center" vertical="top" wrapText="1"/>
    </xf>
    <xf numFmtId="0" fontId="17" fillId="0" borderId="31" xfId="0" applyNumberFormat="1" applyFont="1" applyBorder="1" applyAlignment="1">
      <alignment horizontal="center" vertical="top" wrapText="1"/>
    </xf>
    <xf numFmtId="0" fontId="17" fillId="0" borderId="32" xfId="0" applyNumberFormat="1" applyFont="1" applyBorder="1" applyAlignment="1">
      <alignment horizontal="center" vertical="top" wrapText="1"/>
    </xf>
    <xf numFmtId="0" fontId="17" fillId="0" borderId="4" xfId="0" applyNumberFormat="1" applyFont="1" applyBorder="1" applyAlignment="1">
      <alignment horizontal="center" vertical="top" wrapText="1"/>
    </xf>
    <xf numFmtId="0" fontId="17" fillId="0" borderId="19" xfId="0" applyNumberFormat="1" applyFont="1" applyBorder="1" applyAlignment="1">
      <alignment horizontal="center" vertical="top" wrapText="1"/>
    </xf>
    <xf numFmtId="0" fontId="17" fillId="0" borderId="33" xfId="0" applyNumberFormat="1" applyFont="1" applyBorder="1" applyAlignment="1">
      <alignment horizontal="center" vertical="top" wrapText="1"/>
    </xf>
    <xf numFmtId="0" fontId="17" fillId="0" borderId="15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3">
      <selection activeCell="C10" sqref="C10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4.28125" style="0" customWidth="1"/>
    <col min="5" max="5" width="11.281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1" t="s">
        <v>58</v>
      </c>
      <c r="I1" s="72"/>
    </row>
    <row r="2" spans="1:9" ht="18.75">
      <c r="A2" s="74" t="s">
        <v>38</v>
      </c>
      <c r="B2" s="74"/>
      <c r="C2" s="74"/>
      <c r="D2" s="74"/>
      <c r="E2" s="74"/>
      <c r="F2" s="74"/>
      <c r="G2" s="74"/>
      <c r="H2" s="74"/>
      <c r="I2" s="74"/>
    </row>
    <row r="3" spans="1:9" ht="49.5" customHeight="1">
      <c r="A3" s="77" t="s">
        <v>56</v>
      </c>
      <c r="B3" s="78"/>
      <c r="C3" s="78"/>
      <c r="D3" s="78"/>
      <c r="E3" s="78"/>
      <c r="F3" s="78"/>
      <c r="G3" s="78"/>
      <c r="H3" s="78"/>
      <c r="I3" s="78"/>
    </row>
    <row r="4" spans="1:9" ht="49.5" customHeight="1" thickBot="1">
      <c r="A4" s="84"/>
      <c r="B4" s="84"/>
      <c r="C4" s="84"/>
      <c r="D4" s="84"/>
      <c r="E4" s="84"/>
      <c r="F4" s="84"/>
      <c r="G4" s="84"/>
      <c r="H4" s="84"/>
      <c r="I4" s="84"/>
    </row>
    <row r="5" spans="1:9" ht="93" customHeight="1" thickBot="1">
      <c r="A5" s="82" t="s">
        <v>6</v>
      </c>
      <c r="B5" s="2" t="s">
        <v>42</v>
      </c>
      <c r="C5" s="2" t="s">
        <v>41</v>
      </c>
      <c r="D5" s="2" t="s">
        <v>51</v>
      </c>
      <c r="E5" s="2" t="s">
        <v>55</v>
      </c>
      <c r="F5" s="2" t="s">
        <v>40</v>
      </c>
      <c r="G5" s="2" t="s">
        <v>10</v>
      </c>
      <c r="H5" s="2" t="s">
        <v>11</v>
      </c>
      <c r="I5" s="2" t="s">
        <v>53</v>
      </c>
    </row>
    <row r="6" spans="1:9" ht="30.75" thickBot="1">
      <c r="A6" s="83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3622.5/G8</f>
        <v>58.42741935483871</v>
      </c>
      <c r="C8" s="39">
        <f>7025.3/G8</f>
        <v>113.31129032258065</v>
      </c>
      <c r="D8" s="64">
        <v>1</v>
      </c>
      <c r="E8" s="64">
        <v>1</v>
      </c>
      <c r="F8" s="39">
        <f>B8+C8</f>
        <v>171.73870967741937</v>
      </c>
      <c r="G8" s="40">
        <f>'2019'!C9</f>
        <v>62</v>
      </c>
      <c r="H8" s="40">
        <v>1498.8</v>
      </c>
      <c r="I8" s="41">
        <f>(F8*G8)+H8</f>
        <v>12146.6</v>
      </c>
    </row>
    <row r="9" spans="1:9" ht="44.25" customHeight="1" thickBot="1">
      <c r="A9" s="11" t="s">
        <v>13</v>
      </c>
      <c r="B9" s="37">
        <f>6293/G9</f>
        <v>104.88333333333334</v>
      </c>
      <c r="C9" s="37">
        <f>6798.7/G9</f>
        <v>113.31166666666667</v>
      </c>
      <c r="D9" s="68">
        <v>1</v>
      </c>
      <c r="E9" s="63">
        <v>1</v>
      </c>
      <c r="F9" s="39">
        <f>B9+C9</f>
        <v>218.195</v>
      </c>
      <c r="G9" s="38">
        <f>'2019'!C10</f>
        <v>60</v>
      </c>
      <c r="H9" s="38">
        <v>1450.4</v>
      </c>
      <c r="I9" s="41">
        <f>(F9*G9)+H9</f>
        <v>14542.099999999999</v>
      </c>
    </row>
    <row r="10" spans="1:9" ht="33" customHeight="1" thickBot="1">
      <c r="A10" s="48" t="s">
        <v>36</v>
      </c>
      <c r="B10" s="49">
        <f>241.2/G10</f>
        <v>3.7107692307692304</v>
      </c>
      <c r="C10" s="49">
        <v>0</v>
      </c>
      <c r="D10" s="69">
        <v>1</v>
      </c>
      <c r="E10" s="70">
        <v>1</v>
      </c>
      <c r="F10" s="50">
        <f>B10+C10</f>
        <v>3.7107692307692304</v>
      </c>
      <c r="G10" s="51">
        <f>'2019'!C11</f>
        <v>65</v>
      </c>
      <c r="H10" s="51">
        <v>0</v>
      </c>
      <c r="I10" s="52">
        <f>(F10*G10)+H10</f>
        <v>241.2</v>
      </c>
    </row>
    <row r="11" spans="1:9" ht="33" customHeight="1" thickBot="1">
      <c r="A11" s="12" t="s">
        <v>37</v>
      </c>
      <c r="B11" s="53">
        <f>762.8/G11</f>
        <v>7.128971962616822</v>
      </c>
      <c r="C11" s="35">
        <v>0</v>
      </c>
      <c r="D11" s="68">
        <v>1</v>
      </c>
      <c r="E11" s="63">
        <v>1</v>
      </c>
      <c r="F11" s="39">
        <f>B11+C11</f>
        <v>7.128971962616822</v>
      </c>
      <c r="G11" s="36">
        <f>'2019'!C12</f>
        <v>107</v>
      </c>
      <c r="H11" s="36">
        <v>0</v>
      </c>
      <c r="I11" s="41">
        <f>(F11*G11)+H11</f>
        <v>762.8</v>
      </c>
    </row>
    <row r="12" spans="1:9" ht="15">
      <c r="A12" s="11" t="s">
        <v>0</v>
      </c>
      <c r="B12" s="75">
        <v>105.3</v>
      </c>
      <c r="C12" s="75">
        <v>121.86</v>
      </c>
      <c r="D12" s="79">
        <v>1</v>
      </c>
      <c r="E12" s="79">
        <v>1</v>
      </c>
      <c r="F12" s="75">
        <v>227.16</v>
      </c>
      <c r="G12" s="75">
        <v>122</v>
      </c>
      <c r="H12" s="75">
        <f>H8+H9+H10+H11</f>
        <v>2949.2</v>
      </c>
      <c r="I12" s="75">
        <f>I8+I9+I10+I11</f>
        <v>27692.699999999997</v>
      </c>
    </row>
    <row r="13" spans="1:9" ht="15">
      <c r="A13" s="11" t="s">
        <v>1</v>
      </c>
      <c r="B13" s="75"/>
      <c r="C13" s="75"/>
      <c r="D13" s="80"/>
      <c r="E13" s="80"/>
      <c r="F13" s="75"/>
      <c r="G13" s="75"/>
      <c r="H13" s="75"/>
      <c r="I13" s="75"/>
    </row>
    <row r="14" spans="1:9" ht="15.75" thickBot="1">
      <c r="A14" s="10" t="s">
        <v>2</v>
      </c>
      <c r="B14" s="76"/>
      <c r="C14" s="76"/>
      <c r="D14" s="81"/>
      <c r="E14" s="81"/>
      <c r="F14" s="76"/>
      <c r="G14" s="76"/>
      <c r="H14" s="76"/>
      <c r="I14" s="76"/>
    </row>
    <row r="15" ht="15">
      <c r="A15" s="1"/>
    </row>
    <row r="18" ht="16.5">
      <c r="A18" s="5" t="s">
        <v>3</v>
      </c>
    </row>
    <row r="19" spans="1:14" ht="41.25" customHeight="1">
      <c r="A19" s="73" t="s">
        <v>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</sheetData>
  <mergeCells count="14">
    <mergeCell ref="C12:C14"/>
    <mergeCell ref="A4:I4"/>
    <mergeCell ref="F12:F14"/>
    <mergeCell ref="G12:G14"/>
    <mergeCell ref="H1:I1"/>
    <mergeCell ref="A19:N19"/>
    <mergeCell ref="A2:I2"/>
    <mergeCell ref="H12:H14"/>
    <mergeCell ref="I12:I14"/>
    <mergeCell ref="A3:I3"/>
    <mergeCell ref="D12:D14"/>
    <mergeCell ref="E12:E14"/>
    <mergeCell ref="A5:A6"/>
    <mergeCell ref="B12:B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I17" sqref="I17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0.8515625" style="0" customWidth="1"/>
    <col min="5" max="5" width="9.281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1" t="s">
        <v>59</v>
      </c>
      <c r="I1" s="72"/>
    </row>
    <row r="2" spans="1:9" ht="18.75">
      <c r="A2" s="74" t="s">
        <v>38</v>
      </c>
      <c r="B2" s="74"/>
      <c r="C2" s="74"/>
      <c r="D2" s="74"/>
      <c r="E2" s="74"/>
      <c r="F2" s="74"/>
      <c r="G2" s="74"/>
      <c r="H2" s="74"/>
      <c r="I2" s="74"/>
    </row>
    <row r="3" spans="1:9" ht="49.5" customHeight="1">
      <c r="A3" s="77" t="s">
        <v>57</v>
      </c>
      <c r="B3" s="78"/>
      <c r="C3" s="78"/>
      <c r="D3" s="78"/>
      <c r="E3" s="78"/>
      <c r="F3" s="78"/>
      <c r="G3" s="78"/>
      <c r="H3" s="78"/>
      <c r="I3" s="78"/>
    </row>
    <row r="4" spans="1:9" ht="49.5" customHeight="1" thickBot="1">
      <c r="A4" s="59"/>
      <c r="B4" s="60"/>
      <c r="C4" s="60"/>
      <c r="D4" s="62"/>
      <c r="E4" s="62"/>
      <c r="F4" s="60"/>
      <c r="G4" s="60"/>
      <c r="H4" s="60"/>
      <c r="I4" s="60"/>
    </row>
    <row r="5" spans="1:9" ht="93" customHeight="1" thickBot="1">
      <c r="A5" s="82" t="s">
        <v>6</v>
      </c>
      <c r="B5" s="2" t="s">
        <v>43</v>
      </c>
      <c r="C5" s="2" t="s">
        <v>44</v>
      </c>
      <c r="D5" s="2" t="s">
        <v>51</v>
      </c>
      <c r="E5" s="2" t="s">
        <v>55</v>
      </c>
      <c r="F5" s="2" t="s">
        <v>45</v>
      </c>
      <c r="G5" s="2" t="s">
        <v>10</v>
      </c>
      <c r="H5" s="2" t="s">
        <v>11</v>
      </c>
      <c r="I5" s="2" t="s">
        <v>53</v>
      </c>
    </row>
    <row r="6" spans="1:9" ht="30.75" thickBot="1">
      <c r="A6" s="83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4298.4/G8</f>
        <v>74.1103448275862</v>
      </c>
      <c r="C8" s="39">
        <f>5952/G8</f>
        <v>102.62068965517241</v>
      </c>
      <c r="D8" s="64">
        <v>1</v>
      </c>
      <c r="E8" s="64">
        <v>1</v>
      </c>
      <c r="F8" s="39">
        <f>B8+C8</f>
        <v>176.73103448275862</v>
      </c>
      <c r="G8" s="40">
        <f>'2020'!C8</f>
        <v>58</v>
      </c>
      <c r="H8" s="40">
        <v>1606</v>
      </c>
      <c r="I8" s="41">
        <f>(F8*G8)+H8</f>
        <v>11856.4</v>
      </c>
    </row>
    <row r="9" spans="1:9" ht="44.25" customHeight="1" thickBot="1">
      <c r="A9" s="11" t="s">
        <v>13</v>
      </c>
      <c r="B9" s="37">
        <f>7843.7/G9</f>
        <v>147.99433962264152</v>
      </c>
      <c r="C9" s="37">
        <f>5438.9/G9</f>
        <v>102.62075471698112</v>
      </c>
      <c r="D9" s="64">
        <v>1</v>
      </c>
      <c r="E9" s="64">
        <v>1</v>
      </c>
      <c r="F9" s="39">
        <f>B9+C9</f>
        <v>250.61509433962266</v>
      </c>
      <c r="G9" s="38">
        <f>'2020'!C9</f>
        <v>53</v>
      </c>
      <c r="H9" s="38">
        <v>1467.6</v>
      </c>
      <c r="I9" s="41">
        <f>(F9*G9)+H9</f>
        <v>14750.2</v>
      </c>
    </row>
    <row r="10" spans="1:9" ht="33" customHeight="1" thickBot="1">
      <c r="A10" s="48" t="s">
        <v>36</v>
      </c>
      <c r="B10" s="49">
        <f>312.9/G10</f>
        <v>4.966666666666666</v>
      </c>
      <c r="C10" s="49">
        <v>0</v>
      </c>
      <c r="D10" s="64">
        <v>1</v>
      </c>
      <c r="E10" s="64">
        <v>1</v>
      </c>
      <c r="F10" s="50">
        <f>B10+C10</f>
        <v>4.966666666666666</v>
      </c>
      <c r="G10" s="51">
        <f>'2020'!C10</f>
        <v>63</v>
      </c>
      <c r="H10" s="51">
        <v>0</v>
      </c>
      <c r="I10" s="52">
        <f>(F10*G10)+H10</f>
        <v>312.9</v>
      </c>
    </row>
    <row r="11" spans="1:9" ht="33" customHeight="1" thickBot="1">
      <c r="A11" s="12" t="s">
        <v>37</v>
      </c>
      <c r="B11" s="35">
        <f>909.3/G11</f>
        <v>9.57157894736842</v>
      </c>
      <c r="C11" s="35">
        <v>0</v>
      </c>
      <c r="D11" s="64">
        <v>1</v>
      </c>
      <c r="E11" s="64">
        <v>1</v>
      </c>
      <c r="F11" s="39">
        <f>B11+C11</f>
        <v>9.57157894736842</v>
      </c>
      <c r="G11" s="55">
        <f>'2020'!C11</f>
        <v>95</v>
      </c>
      <c r="H11" s="56">
        <v>0</v>
      </c>
      <c r="I11" s="41">
        <f>(F11*G11)+H11</f>
        <v>909.3</v>
      </c>
    </row>
    <row r="12" spans="1:9" ht="15">
      <c r="A12" s="11" t="s">
        <v>0</v>
      </c>
      <c r="B12" s="75">
        <v>120.4</v>
      </c>
      <c r="C12" s="75">
        <v>102.62</v>
      </c>
      <c r="D12" s="85">
        <v>1</v>
      </c>
      <c r="E12" s="88">
        <v>1</v>
      </c>
      <c r="F12" s="91">
        <v>223.02</v>
      </c>
      <c r="G12" s="75">
        <v>111</v>
      </c>
      <c r="H12" s="75">
        <f>H8+H9+H10</f>
        <v>3073.6</v>
      </c>
      <c r="I12" s="75">
        <f>I8+I9+I10+I11</f>
        <v>27828.8</v>
      </c>
    </row>
    <row r="13" spans="1:9" ht="15">
      <c r="A13" s="11" t="s">
        <v>1</v>
      </c>
      <c r="B13" s="75"/>
      <c r="C13" s="75"/>
      <c r="D13" s="86"/>
      <c r="E13" s="89"/>
      <c r="F13" s="91"/>
      <c r="G13" s="75"/>
      <c r="H13" s="75"/>
      <c r="I13" s="75"/>
    </row>
    <row r="14" spans="1:9" ht="15.75" thickBot="1">
      <c r="A14" s="10" t="s">
        <v>2</v>
      </c>
      <c r="B14" s="76"/>
      <c r="C14" s="76"/>
      <c r="D14" s="87"/>
      <c r="E14" s="90"/>
      <c r="F14" s="92"/>
      <c r="G14" s="76"/>
      <c r="H14" s="76"/>
      <c r="I14" s="76"/>
    </row>
    <row r="15" ht="15">
      <c r="A15" s="1"/>
    </row>
    <row r="18" ht="16.5">
      <c r="A18" s="5" t="s">
        <v>3</v>
      </c>
    </row>
    <row r="19" spans="1:14" ht="41.25" customHeight="1">
      <c r="A19" s="73" t="s">
        <v>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</sheetData>
  <mergeCells count="13">
    <mergeCell ref="A19:N19"/>
    <mergeCell ref="B12:B14"/>
    <mergeCell ref="C12:C14"/>
    <mergeCell ref="F12:F14"/>
    <mergeCell ref="G12:G14"/>
    <mergeCell ref="H12:H14"/>
    <mergeCell ref="D12:D14"/>
    <mergeCell ref="E12:E14"/>
    <mergeCell ref="I12:I14"/>
    <mergeCell ref="H1:I1"/>
    <mergeCell ref="A2:I2"/>
    <mergeCell ref="A3:I3"/>
    <mergeCell ref="A5:A6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I17" sqref="I17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3.8515625" style="0" customWidth="1"/>
    <col min="5" max="5" width="13.1406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1" t="s">
        <v>60</v>
      </c>
      <c r="I1" s="72"/>
    </row>
    <row r="2" spans="1:9" ht="18.75">
      <c r="A2" s="74" t="s">
        <v>38</v>
      </c>
      <c r="B2" s="74"/>
      <c r="C2" s="74"/>
      <c r="D2" s="74"/>
      <c r="E2" s="74"/>
      <c r="F2" s="74"/>
      <c r="G2" s="74"/>
      <c r="H2" s="74"/>
      <c r="I2" s="74"/>
    </row>
    <row r="3" spans="1:9" ht="49.5" customHeight="1" thickBot="1">
      <c r="A3" s="84" t="s">
        <v>54</v>
      </c>
      <c r="B3" s="99"/>
      <c r="C3" s="99"/>
      <c r="D3" s="99"/>
      <c r="E3" s="99"/>
      <c r="F3" s="99"/>
      <c r="G3" s="99"/>
      <c r="H3" s="99"/>
      <c r="I3" s="99"/>
    </row>
    <row r="4" spans="1:9" ht="93" customHeight="1" thickBot="1">
      <c r="A4" s="82" t="s">
        <v>6</v>
      </c>
      <c r="B4" s="2" t="s">
        <v>43</v>
      </c>
      <c r="C4" s="2" t="s">
        <v>44</v>
      </c>
      <c r="D4" s="2" t="s">
        <v>51</v>
      </c>
      <c r="E4" s="2" t="s">
        <v>52</v>
      </c>
      <c r="F4" s="2" t="s">
        <v>45</v>
      </c>
      <c r="G4" s="2" t="s">
        <v>10</v>
      </c>
      <c r="H4" s="2" t="s">
        <v>11</v>
      </c>
      <c r="I4" s="2" t="s">
        <v>53</v>
      </c>
    </row>
    <row r="5" spans="1:9" ht="32.25" thickBot="1">
      <c r="A5" s="83"/>
      <c r="B5" s="65" t="s">
        <v>7</v>
      </c>
      <c r="C5" s="66" t="s">
        <v>7</v>
      </c>
      <c r="D5" s="66"/>
      <c r="E5" s="66"/>
      <c r="F5" s="66" t="s">
        <v>7</v>
      </c>
      <c r="G5" s="67" t="s">
        <v>8</v>
      </c>
      <c r="H5" s="67" t="s">
        <v>9</v>
      </c>
      <c r="I5" s="67" t="s">
        <v>9</v>
      </c>
    </row>
    <row r="6" spans="1:9" ht="15.75" thickBot="1">
      <c r="A6" s="6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4">
        <v>7</v>
      </c>
      <c r="H6" s="4">
        <v>8</v>
      </c>
      <c r="I6" s="4">
        <v>9</v>
      </c>
    </row>
    <row r="7" spans="1:9" ht="29.25" customHeight="1" thickBot="1">
      <c r="A7" s="10" t="s">
        <v>12</v>
      </c>
      <c r="B7" s="39">
        <f>4471.4/G7</f>
        <v>77.09310344827585</v>
      </c>
      <c r="C7" s="39">
        <f>6089.3/G7</f>
        <v>104.98793103448276</v>
      </c>
      <c r="D7" s="63">
        <v>1</v>
      </c>
      <c r="E7" s="63">
        <v>1</v>
      </c>
      <c r="F7" s="39">
        <f>B7+C7</f>
        <v>182.0810344827586</v>
      </c>
      <c r="G7" s="40">
        <f>'2021'!C8</f>
        <v>58</v>
      </c>
      <c r="H7" s="40">
        <v>1585.3</v>
      </c>
      <c r="I7" s="41">
        <f>(F7*G7)+H7</f>
        <v>12145.999999999998</v>
      </c>
    </row>
    <row r="8" spans="1:9" ht="44.25" customHeight="1" thickBot="1">
      <c r="A8" s="11" t="s">
        <v>13</v>
      </c>
      <c r="B8" s="37">
        <f>8167.4/G8</f>
        <v>145.84642857142856</v>
      </c>
      <c r="C8" s="37">
        <f>5879.3/G8</f>
        <v>104.9875</v>
      </c>
      <c r="D8" s="63">
        <v>1</v>
      </c>
      <c r="E8" s="63">
        <v>1</v>
      </c>
      <c r="F8" s="39">
        <f>B8+C8</f>
        <v>250.83392857142854</v>
      </c>
      <c r="G8" s="38">
        <f>'2021'!C9</f>
        <v>56</v>
      </c>
      <c r="H8" s="38">
        <v>1530.7</v>
      </c>
      <c r="I8" s="41">
        <v>15577.3</v>
      </c>
    </row>
    <row r="9" spans="1:9" ht="33" customHeight="1" thickBot="1">
      <c r="A9" s="12" t="s">
        <v>36</v>
      </c>
      <c r="B9" s="35">
        <f>327.8/G9</f>
        <v>5.463333333333334</v>
      </c>
      <c r="C9" s="35">
        <v>0</v>
      </c>
      <c r="D9" s="63">
        <v>1</v>
      </c>
      <c r="E9" s="63">
        <v>1</v>
      </c>
      <c r="F9" s="39">
        <f>B9+C9</f>
        <v>5.463333333333334</v>
      </c>
      <c r="G9" s="36">
        <f>'2021'!C10</f>
        <v>60</v>
      </c>
      <c r="H9" s="36">
        <v>0</v>
      </c>
      <c r="I9" s="41">
        <f>(F9*G9)+H9</f>
        <v>327.8</v>
      </c>
    </row>
    <row r="10" spans="1:9" ht="33" customHeight="1" thickBot="1">
      <c r="A10" s="12" t="s">
        <v>37</v>
      </c>
      <c r="B10" s="35">
        <f>909.3/G10</f>
        <v>9.278571428571428</v>
      </c>
      <c r="C10" s="54">
        <v>0</v>
      </c>
      <c r="D10" s="68">
        <v>1</v>
      </c>
      <c r="E10" s="63">
        <v>1</v>
      </c>
      <c r="F10" s="39">
        <f>B10+C10</f>
        <v>9.278571428571428</v>
      </c>
      <c r="G10" s="55">
        <f>'2021'!C11</f>
        <v>98</v>
      </c>
      <c r="H10" s="56">
        <v>0</v>
      </c>
      <c r="I10" s="41">
        <f>(F10*G10)+H10</f>
        <v>909.3</v>
      </c>
    </row>
    <row r="11" spans="1:9" ht="15">
      <c r="A11" s="11" t="s">
        <v>0</v>
      </c>
      <c r="B11" s="75">
        <v>121.71</v>
      </c>
      <c r="C11" s="75">
        <v>104.99</v>
      </c>
      <c r="D11" s="93">
        <v>1</v>
      </c>
      <c r="E11" s="96">
        <v>1</v>
      </c>
      <c r="F11" s="91">
        <v>226.7</v>
      </c>
      <c r="G11" s="75">
        <v>114</v>
      </c>
      <c r="H11" s="75">
        <f>H7+H8+H9+H10</f>
        <v>3116</v>
      </c>
      <c r="I11" s="75">
        <f>I7+I8+I9+I10</f>
        <v>28960.399999999994</v>
      </c>
    </row>
    <row r="12" spans="1:9" ht="15">
      <c r="A12" s="11" t="s">
        <v>1</v>
      </c>
      <c r="B12" s="75"/>
      <c r="C12" s="75"/>
      <c r="D12" s="94"/>
      <c r="E12" s="97"/>
      <c r="F12" s="91"/>
      <c r="G12" s="75"/>
      <c r="H12" s="75"/>
      <c r="I12" s="75"/>
    </row>
    <row r="13" spans="1:9" ht="15.75" thickBot="1">
      <c r="A13" s="10" t="s">
        <v>2</v>
      </c>
      <c r="B13" s="76"/>
      <c r="C13" s="76"/>
      <c r="D13" s="95"/>
      <c r="E13" s="98"/>
      <c r="F13" s="92"/>
      <c r="G13" s="76"/>
      <c r="H13" s="76"/>
      <c r="I13" s="76"/>
    </row>
    <row r="14" ht="15">
      <c r="A14" s="1"/>
    </row>
    <row r="17" ht="16.5">
      <c r="A17" s="5" t="s">
        <v>3</v>
      </c>
    </row>
    <row r="18" spans="1:14" ht="41.25" customHeight="1">
      <c r="A18" s="73" t="s">
        <v>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</sheetData>
  <mergeCells count="13">
    <mergeCell ref="A18:N18"/>
    <mergeCell ref="B11:B13"/>
    <mergeCell ref="C11:C13"/>
    <mergeCell ref="F11:F13"/>
    <mergeCell ref="G11:G13"/>
    <mergeCell ref="H11:H13"/>
    <mergeCell ref="D11:D13"/>
    <mergeCell ref="E11:E13"/>
    <mergeCell ref="I11:I13"/>
    <mergeCell ref="H1:I1"/>
    <mergeCell ref="A2:I2"/>
    <mergeCell ref="A3:I3"/>
    <mergeCell ref="A4:A5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C4">
      <selection activeCell="L16" sqref="L16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ht="18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8.75">
      <c r="A2" s="100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18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8.75">
      <c r="A4" s="100" t="s">
        <v>38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57"/>
      <c r="T4" s="57"/>
      <c r="U4" s="57"/>
      <c r="V4" s="57"/>
      <c r="W4" s="57"/>
      <c r="X4" s="57"/>
      <c r="Y4" s="57"/>
    </row>
    <row r="5" spans="1:25" ht="18.75">
      <c r="A5" s="100" t="s">
        <v>48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</row>
    <row r="6" ht="15.75" thickBot="1"/>
    <row r="7" spans="1:25" ht="36.75" customHeight="1" thickBot="1">
      <c r="A7" s="104" t="s">
        <v>30</v>
      </c>
      <c r="B7" s="105" t="s">
        <v>25</v>
      </c>
      <c r="C7" s="105" t="s">
        <v>21</v>
      </c>
      <c r="D7" s="108" t="s">
        <v>29</v>
      </c>
      <c r="E7" s="109"/>
      <c r="F7" s="109"/>
      <c r="G7" s="109"/>
      <c r="H7" s="109"/>
      <c r="I7" s="109"/>
      <c r="J7" s="110"/>
      <c r="K7" s="111"/>
      <c r="L7" s="112" t="s">
        <v>5</v>
      </c>
      <c r="M7" s="110"/>
      <c r="N7" s="110"/>
      <c r="O7" s="110"/>
      <c r="P7" s="110"/>
      <c r="Q7" s="110"/>
      <c r="R7" s="110"/>
      <c r="S7" s="110"/>
      <c r="T7" s="111"/>
      <c r="U7" s="101" t="s">
        <v>11</v>
      </c>
      <c r="V7" s="102"/>
      <c r="W7" s="102"/>
      <c r="X7" s="102"/>
      <c r="Y7" s="106" t="s">
        <v>39</v>
      </c>
    </row>
    <row r="8" spans="1:25" ht="77.25" customHeight="1">
      <c r="A8" s="104"/>
      <c r="B8" s="104"/>
      <c r="C8" s="104"/>
      <c r="D8" s="14" t="s">
        <v>24</v>
      </c>
      <c r="E8" s="15"/>
      <c r="F8" s="15" t="s">
        <v>32</v>
      </c>
      <c r="G8" s="15" t="s">
        <v>19</v>
      </c>
      <c r="H8" s="15" t="s">
        <v>14</v>
      </c>
      <c r="I8" s="15" t="s">
        <v>15</v>
      </c>
      <c r="J8" s="15"/>
      <c r="K8" s="15" t="s">
        <v>22</v>
      </c>
      <c r="L8" s="15" t="s">
        <v>23</v>
      </c>
      <c r="M8" s="15" t="s">
        <v>16</v>
      </c>
      <c r="N8" s="15" t="s">
        <v>26</v>
      </c>
      <c r="O8" s="15" t="s">
        <v>34</v>
      </c>
      <c r="P8" s="15" t="s">
        <v>28</v>
      </c>
      <c r="Q8" s="15" t="s">
        <v>17</v>
      </c>
      <c r="R8" s="15" t="s">
        <v>18</v>
      </c>
      <c r="S8" s="15" t="s">
        <v>20</v>
      </c>
      <c r="T8" s="16" t="s">
        <v>22</v>
      </c>
      <c r="U8" s="15" t="s">
        <v>27</v>
      </c>
      <c r="V8" s="15" t="s">
        <v>34</v>
      </c>
      <c r="W8" s="17" t="s">
        <v>33</v>
      </c>
      <c r="X8" s="18" t="s">
        <v>22</v>
      </c>
      <c r="Y8" s="107"/>
    </row>
    <row r="9" spans="1:25" ht="39" thickBot="1">
      <c r="A9" s="10" t="s">
        <v>12</v>
      </c>
      <c r="B9" s="58">
        <f>C9*100/122/100</f>
        <v>0.5081967213114754</v>
      </c>
      <c r="C9" s="20">
        <v>62</v>
      </c>
      <c r="D9" s="21">
        <f>3949.7-500</f>
        <v>3449.7</v>
      </c>
      <c r="E9" s="21"/>
      <c r="F9" s="21"/>
      <c r="G9" s="22"/>
      <c r="H9" s="22">
        <f>H15*B9</f>
        <v>158.4049180327869</v>
      </c>
      <c r="I9" s="22">
        <f>I15*B9</f>
        <v>14.381967213114756</v>
      </c>
      <c r="J9" s="22"/>
      <c r="K9" s="23">
        <f>SUM(D9:J9)</f>
        <v>3622.4868852459017</v>
      </c>
      <c r="L9" s="22">
        <f>L15*B9</f>
        <v>2895.654098360656</v>
      </c>
      <c r="M9" s="22">
        <f>M15*B9</f>
        <v>6.0983606557377055</v>
      </c>
      <c r="N9" s="22">
        <f>N15*B9</f>
        <v>205.1590163934426</v>
      </c>
      <c r="O9" s="21">
        <f>O15*B9</f>
        <v>1474.4819672131148</v>
      </c>
      <c r="P9" s="22">
        <f>P15*B9</f>
        <v>23.37704918032787</v>
      </c>
      <c r="Q9" s="22">
        <f>Q15*B9</f>
        <v>2085.6393442622953</v>
      </c>
      <c r="R9" s="22">
        <f>R15*B9</f>
        <v>116.88524590163935</v>
      </c>
      <c r="S9" s="22">
        <f>S15*B9</f>
        <v>218.01639344262296</v>
      </c>
      <c r="T9" s="23">
        <f>SUM(L9:S9)</f>
        <v>7025.311475409838</v>
      </c>
      <c r="U9" s="22">
        <f>U15*B9</f>
        <v>22.767213114754096</v>
      </c>
      <c r="V9" s="21">
        <f>V15*B9</f>
        <v>1474.4819672131148</v>
      </c>
      <c r="W9" s="30">
        <f>W15*B9</f>
        <v>1.5245901639344264</v>
      </c>
      <c r="X9" s="28">
        <f>SUM(U9:W9)</f>
        <v>1498.7737704918031</v>
      </c>
      <c r="Y9" s="29">
        <f>K9+T9+X9</f>
        <v>12146.572131147543</v>
      </c>
    </row>
    <row r="10" spans="1:25" ht="51.75" thickBot="1">
      <c r="A10" s="11" t="s">
        <v>13</v>
      </c>
      <c r="B10" s="58">
        <f>C10*100/122/100</f>
        <v>0.4918032786885246</v>
      </c>
      <c r="C10" s="20">
        <v>60</v>
      </c>
      <c r="D10" s="21">
        <f>7340.1-1250</f>
        <v>6090.1</v>
      </c>
      <c r="E10" s="21"/>
      <c r="F10" s="21">
        <v>35.7</v>
      </c>
      <c r="G10" s="22"/>
      <c r="H10" s="22">
        <f>H15*B10</f>
        <v>153.2950819672131</v>
      </c>
      <c r="I10" s="22">
        <f>I15*B10</f>
        <v>13.918032786885245</v>
      </c>
      <c r="J10" s="22"/>
      <c r="K10" s="23">
        <f>SUM(D10:J10)</f>
        <v>6293.013114754099</v>
      </c>
      <c r="L10" s="22">
        <f>L15*B10</f>
        <v>2802.2459016393445</v>
      </c>
      <c r="M10" s="22">
        <f>M15*B10</f>
        <v>5.9016393442622945</v>
      </c>
      <c r="N10" s="22">
        <f>N15*B10</f>
        <v>198.54098360655738</v>
      </c>
      <c r="O10" s="21">
        <f>O15*B10</f>
        <v>1426.9180327868853</v>
      </c>
      <c r="P10" s="22">
        <f>P15*B10</f>
        <v>22.62295081967213</v>
      </c>
      <c r="Q10" s="22">
        <f>Q15*B10</f>
        <v>2018.360655737705</v>
      </c>
      <c r="R10" s="22">
        <f>R15*B10</f>
        <v>113.11475409836065</v>
      </c>
      <c r="S10" s="22">
        <f>S15*B10</f>
        <v>210.98360655737704</v>
      </c>
      <c r="T10" s="23">
        <f>SUM(L10:S10)</f>
        <v>6798.688524590164</v>
      </c>
      <c r="U10" s="22">
        <f>U15*B10</f>
        <v>22.0327868852459</v>
      </c>
      <c r="V10" s="21">
        <f>V15*B10</f>
        <v>1426.9180327868853</v>
      </c>
      <c r="W10" s="30">
        <f>W15*B10</f>
        <v>1.4754098360655736</v>
      </c>
      <c r="X10" s="28">
        <f>SUM(U10:W10)</f>
        <v>1450.426229508197</v>
      </c>
      <c r="Y10" s="29">
        <f>K10+T10+X10</f>
        <v>14542.12786885246</v>
      </c>
    </row>
    <row r="11" spans="1:25" ht="39" thickBot="1">
      <c r="A11" s="12" t="s">
        <v>35</v>
      </c>
      <c r="B11" s="19"/>
      <c r="C11" s="20">
        <v>65</v>
      </c>
      <c r="D11" s="21"/>
      <c r="E11" s="21"/>
      <c r="F11" s="21"/>
      <c r="G11" s="22">
        <f>220.2-30.9</f>
        <v>189.29999999999998</v>
      </c>
      <c r="H11" s="21">
        <v>51.9</v>
      </c>
      <c r="I11" s="22"/>
      <c r="J11" s="22"/>
      <c r="K11" s="23">
        <f>SUM(D11:J11)</f>
        <v>241.2</v>
      </c>
      <c r="L11" s="22"/>
      <c r="M11" s="22"/>
      <c r="N11" s="22"/>
      <c r="O11" s="21"/>
      <c r="P11" s="22"/>
      <c r="Q11" s="22"/>
      <c r="R11" s="22"/>
      <c r="S11" s="22"/>
      <c r="T11" s="23">
        <f>SUM(L11:S11)</f>
        <v>0</v>
      </c>
      <c r="U11" s="22"/>
      <c r="V11" s="21"/>
      <c r="W11" s="30"/>
      <c r="X11" s="28">
        <f>SUM(U11:W11)</f>
        <v>0</v>
      </c>
      <c r="Y11" s="29">
        <f>K11+T11+X11</f>
        <v>241.2</v>
      </c>
    </row>
    <row r="12" spans="1:25" ht="30.75" customHeight="1" thickBot="1">
      <c r="A12" s="12" t="s">
        <v>37</v>
      </c>
      <c r="B12" s="45"/>
      <c r="C12" s="20">
        <v>107</v>
      </c>
      <c r="D12" s="34"/>
      <c r="E12" s="34"/>
      <c r="F12" s="34"/>
      <c r="G12" s="22">
        <f>909.3+66-212.5</f>
        <v>762.8</v>
      </c>
      <c r="H12" s="34"/>
      <c r="I12" s="22"/>
      <c r="J12" s="22"/>
      <c r="K12" s="23">
        <f>SUM(D12:J12)</f>
        <v>762.8</v>
      </c>
      <c r="L12" s="22"/>
      <c r="M12" s="22"/>
      <c r="N12" s="22"/>
      <c r="O12" s="34"/>
      <c r="P12" s="22"/>
      <c r="Q12" s="22"/>
      <c r="R12" s="22"/>
      <c r="S12" s="22"/>
      <c r="T12" s="23"/>
      <c r="U12" s="22"/>
      <c r="V12" s="34"/>
      <c r="W12" s="30"/>
      <c r="X12" s="28">
        <f>SUM(U12:W12)</f>
        <v>0</v>
      </c>
      <c r="Y12" s="29">
        <f>K12+T12+X12</f>
        <v>762.8</v>
      </c>
    </row>
    <row r="13" spans="1:25" s="13" customFormat="1" ht="15.75" thickBot="1">
      <c r="A13" s="46" t="s">
        <v>22</v>
      </c>
      <c r="B13" s="25">
        <f>B9+B10+B11</f>
        <v>1</v>
      </c>
      <c r="C13" s="20">
        <v>122</v>
      </c>
      <c r="D13" s="24">
        <f>SUM(D9:D11)</f>
        <v>9539.8</v>
      </c>
      <c r="E13" s="24">
        <f>SUM(E9:E11)</f>
        <v>0</v>
      </c>
      <c r="F13" s="24">
        <f>SUM(F9:F11)</f>
        <v>35.7</v>
      </c>
      <c r="G13" s="23">
        <f>SUM(G9:G12)</f>
        <v>952.0999999999999</v>
      </c>
      <c r="H13" s="24">
        <f>SUM(H9:H11)</f>
        <v>363.59999999999997</v>
      </c>
      <c r="I13" s="24">
        <f>SUM(I9:I11)</f>
        <v>28.3</v>
      </c>
      <c r="J13" s="24">
        <f>SUM(J9:J11)</f>
        <v>0</v>
      </c>
      <c r="K13" s="23">
        <f>SUM(K9:K12)</f>
        <v>10919.5</v>
      </c>
      <c r="L13" s="24">
        <f aca="true" t="shared" si="0" ref="L13:X13">SUM(L9:L11)</f>
        <v>5697.900000000001</v>
      </c>
      <c r="M13" s="24">
        <f t="shared" si="0"/>
        <v>12</v>
      </c>
      <c r="N13" s="24">
        <f t="shared" si="0"/>
        <v>403.7</v>
      </c>
      <c r="O13" s="24">
        <f>SUM(O9:O11)</f>
        <v>2901.4</v>
      </c>
      <c r="P13" s="24">
        <f t="shared" si="0"/>
        <v>46</v>
      </c>
      <c r="Q13" s="24">
        <f t="shared" si="0"/>
        <v>4104</v>
      </c>
      <c r="R13" s="24">
        <f t="shared" si="0"/>
        <v>230</v>
      </c>
      <c r="S13" s="24">
        <f t="shared" si="0"/>
        <v>429</v>
      </c>
      <c r="T13" s="23">
        <f t="shared" si="0"/>
        <v>13824.000000000002</v>
      </c>
      <c r="U13" s="24">
        <f t="shared" si="0"/>
        <v>44.8</v>
      </c>
      <c r="V13" s="24">
        <f t="shared" si="0"/>
        <v>2901.4</v>
      </c>
      <c r="W13" s="24">
        <f t="shared" si="0"/>
        <v>3</v>
      </c>
      <c r="X13" s="28">
        <f t="shared" si="0"/>
        <v>2949.2</v>
      </c>
      <c r="Y13" s="47">
        <f>SUM(Y9:Y12)</f>
        <v>27692.700000000004</v>
      </c>
    </row>
    <row r="14" spans="1:25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</row>
    <row r="15" spans="1:25" ht="15">
      <c r="A15" s="26"/>
      <c r="B15" s="26"/>
      <c r="C15" s="26"/>
      <c r="D15" s="26"/>
      <c r="E15" s="26"/>
      <c r="F15" s="26">
        <v>26</v>
      </c>
      <c r="G15" s="26">
        <v>325.8</v>
      </c>
      <c r="H15" s="26">
        <v>311.7</v>
      </c>
      <c r="I15" s="26">
        <v>28.3</v>
      </c>
      <c r="J15" s="26"/>
      <c r="K15" s="26"/>
      <c r="L15" s="26">
        <f>6738.1-25.5-717.7-297</f>
        <v>5697.900000000001</v>
      </c>
      <c r="M15" s="26">
        <v>12</v>
      </c>
      <c r="N15" s="31">
        <v>403.7</v>
      </c>
      <c r="O15" s="31">
        <v>2901.4</v>
      </c>
      <c r="P15" s="31">
        <v>46</v>
      </c>
      <c r="Q15" s="31">
        <v>4104</v>
      </c>
      <c r="R15" s="31">
        <v>230</v>
      </c>
      <c r="S15" s="26">
        <f>432-3</f>
        <v>429</v>
      </c>
      <c r="T15" s="26"/>
      <c r="U15" s="31">
        <v>44.8</v>
      </c>
      <c r="V15" s="31">
        <v>2901.4</v>
      </c>
      <c r="W15" s="26">
        <v>3</v>
      </c>
      <c r="X15" s="26"/>
      <c r="Y15" s="27"/>
    </row>
    <row r="16" ht="15">
      <c r="D16">
        <f>D13+L15</f>
        <v>15237.7</v>
      </c>
    </row>
    <row r="17" ht="15">
      <c r="Y17" s="13">
        <v>30660.3</v>
      </c>
    </row>
    <row r="18" spans="17:25" ht="15">
      <c r="Q18" t="s">
        <v>31</v>
      </c>
      <c r="Y18" s="13">
        <f>Y17-Y13</f>
        <v>2967.599999999995</v>
      </c>
    </row>
    <row r="23" ht="15">
      <c r="C23" s="33"/>
    </row>
    <row r="26" ht="15">
      <c r="H26" s="13"/>
    </row>
    <row r="29" ht="15">
      <c r="N29" s="13"/>
    </row>
  </sheetData>
  <mergeCells count="12">
    <mergeCell ref="A4:R4"/>
    <mergeCell ref="A2:Y2"/>
    <mergeCell ref="A3:Y3"/>
    <mergeCell ref="U7:X7"/>
    <mergeCell ref="A1:Y1"/>
    <mergeCell ref="A5:Y5"/>
    <mergeCell ref="A7:A8"/>
    <mergeCell ref="B7:B8"/>
    <mergeCell ref="C7:C8"/>
    <mergeCell ref="Y7:Y8"/>
    <mergeCell ref="D7:K7"/>
    <mergeCell ref="L7:T7"/>
  </mergeCells>
  <printOptions/>
  <pageMargins left="0.31496062992125984" right="0.11811023622047245" top="0.7480314960629921" bottom="0.7480314960629921" header="0.31496062992125984" footer="0.31496062992125984"/>
  <pageSetup horizontalDpi="180" verticalDpi="18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workbookViewId="0" topLeftCell="C1">
      <selection activeCell="T14" sqref="T14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s="61" customFormat="1" ht="15">
      <c r="A1" s="114" t="s">
        <v>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="113" customFormat="1" ht="15">
      <c r="A2" s="113" t="s">
        <v>46</v>
      </c>
    </row>
    <row r="3" spans="1:25" s="61" customFormat="1" ht="18.75">
      <c r="A3" s="100" t="s">
        <v>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s="61" customFormat="1" ht="18.75">
      <c r="A4" s="100" t="s">
        <v>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ht="15.75" thickBot="1"/>
    <row r="6" spans="1:25" ht="36.75" customHeight="1" thickBot="1">
      <c r="A6" s="104" t="s">
        <v>30</v>
      </c>
      <c r="B6" s="105" t="s">
        <v>25</v>
      </c>
      <c r="C6" s="105" t="s">
        <v>21</v>
      </c>
      <c r="D6" s="108" t="s">
        <v>29</v>
      </c>
      <c r="E6" s="109"/>
      <c r="F6" s="109"/>
      <c r="G6" s="109"/>
      <c r="H6" s="109"/>
      <c r="I6" s="109"/>
      <c r="J6" s="110"/>
      <c r="K6" s="111"/>
      <c r="L6" s="112" t="s">
        <v>5</v>
      </c>
      <c r="M6" s="110"/>
      <c r="N6" s="110"/>
      <c r="O6" s="110"/>
      <c r="P6" s="110"/>
      <c r="Q6" s="110"/>
      <c r="R6" s="110"/>
      <c r="S6" s="110"/>
      <c r="T6" s="111"/>
      <c r="U6" s="101" t="s">
        <v>11</v>
      </c>
      <c r="V6" s="102"/>
      <c r="W6" s="102"/>
      <c r="X6" s="102"/>
      <c r="Y6" s="106" t="s">
        <v>39</v>
      </c>
    </row>
    <row r="7" spans="1:25" ht="77.25" customHeight="1">
      <c r="A7" s="104"/>
      <c r="B7" s="104"/>
      <c r="C7" s="104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07"/>
    </row>
    <row r="8" spans="1:25" ht="39" thickBot="1">
      <c r="A8" s="10" t="s">
        <v>12</v>
      </c>
      <c r="B8" s="58">
        <f>C8*100/111/100</f>
        <v>0.5225225225225225</v>
      </c>
      <c r="C8" s="20">
        <v>58</v>
      </c>
      <c r="D8" s="32">
        <v>4107.7</v>
      </c>
      <c r="E8" s="32"/>
      <c r="F8" s="32"/>
      <c r="G8" s="22"/>
      <c r="H8" s="22">
        <f>H14*B8</f>
        <v>175.93333333333334</v>
      </c>
      <c r="I8" s="22">
        <f>I14*B8</f>
        <v>14.787387387387387</v>
      </c>
      <c r="J8" s="22"/>
      <c r="K8" s="23">
        <f>SUM(D8:J8)</f>
        <v>4298.420720720721</v>
      </c>
      <c r="L8" s="22">
        <f>L14*B8</f>
        <v>3671.2954954954957</v>
      </c>
      <c r="M8" s="22">
        <f>M14*B8</f>
        <v>6.792792792792793</v>
      </c>
      <c r="N8" s="22">
        <f>N14*B8</f>
        <v>210.94234234234233</v>
      </c>
      <c r="O8" s="43">
        <f>O14*B8</f>
        <v>1582.5900900900901</v>
      </c>
      <c r="P8" s="22">
        <f>P14*B8</f>
        <v>24.036036036036037</v>
      </c>
      <c r="Q8" s="22">
        <f>Q14*B8</f>
        <v>165.63963963963963</v>
      </c>
      <c r="R8" s="22">
        <f>R14*B8</f>
        <v>146.3063063063063</v>
      </c>
      <c r="S8" s="22">
        <f>S14*B8</f>
        <v>144.4252252252252</v>
      </c>
      <c r="T8" s="23">
        <f>SUM(L8:S8)</f>
        <v>5952.027927927928</v>
      </c>
      <c r="U8" s="22">
        <f>U14*B8</f>
        <v>23.409009009009008</v>
      </c>
      <c r="V8" s="32">
        <f>V14*B8</f>
        <v>1582.5900900900901</v>
      </c>
      <c r="W8" s="30">
        <f>W14*B8</f>
        <v>0</v>
      </c>
      <c r="X8" s="28">
        <f>SUM(U8:W8)</f>
        <v>1605.999099099099</v>
      </c>
      <c r="Y8" s="29">
        <f>K8+T8+X8</f>
        <v>11856.447747747749</v>
      </c>
    </row>
    <row r="9" spans="1:25" ht="51.75" thickBot="1">
      <c r="A9" s="11" t="s">
        <v>13</v>
      </c>
      <c r="B9" s="58">
        <f>C9*100/111/100</f>
        <v>0.47747747747747743</v>
      </c>
      <c r="C9" s="20">
        <v>53</v>
      </c>
      <c r="D9" s="32">
        <v>7633.7</v>
      </c>
      <c r="E9" s="32"/>
      <c r="F9" s="32">
        <v>35.7</v>
      </c>
      <c r="G9" s="22"/>
      <c r="H9" s="22">
        <f>H14*B9</f>
        <v>160.76666666666665</v>
      </c>
      <c r="I9" s="22">
        <f>I14*B9</f>
        <v>13.512612612612612</v>
      </c>
      <c r="J9" s="22"/>
      <c r="K9" s="23">
        <f>SUM(D9:J9)</f>
        <v>7843.6792792792785</v>
      </c>
      <c r="L9" s="22">
        <f>L14*B9</f>
        <v>3354.804504504504</v>
      </c>
      <c r="M9" s="22">
        <f>M14*B9</f>
        <v>6.207207207207206</v>
      </c>
      <c r="N9" s="22">
        <f>N14*B9</f>
        <v>192.75765765765763</v>
      </c>
      <c r="O9" s="43">
        <f>O14*B9</f>
        <v>1446.1599099099099</v>
      </c>
      <c r="P9" s="22">
        <f>P14*B9</f>
        <v>21.963963963963963</v>
      </c>
      <c r="Q9" s="22">
        <f>Q14*B9</f>
        <v>151.36036036036035</v>
      </c>
      <c r="R9" s="22">
        <f>R14*B9</f>
        <v>133.6936936936937</v>
      </c>
      <c r="S9" s="22">
        <f>S14*B9</f>
        <v>131.97477477477474</v>
      </c>
      <c r="T9" s="23">
        <f>SUM(L9:S9)</f>
        <v>5438.922072072071</v>
      </c>
      <c r="U9" s="22">
        <f>U14*B9</f>
        <v>21.39099099099099</v>
      </c>
      <c r="V9" s="32">
        <f>V14*B9</f>
        <v>1446.1599099099099</v>
      </c>
      <c r="W9" s="30">
        <f>W14*B9</f>
        <v>0</v>
      </c>
      <c r="X9" s="28">
        <f>SUM(U9:W9)</f>
        <v>1467.5509009009008</v>
      </c>
      <c r="Y9" s="29">
        <f>K9+T9+X9</f>
        <v>14750.15225225225</v>
      </c>
    </row>
    <row r="10" spans="1:25" ht="39" thickBot="1">
      <c r="A10" s="12" t="s">
        <v>35</v>
      </c>
      <c r="B10" s="19"/>
      <c r="C10" s="20">
        <v>63</v>
      </c>
      <c r="D10" s="32"/>
      <c r="E10" s="32"/>
      <c r="F10" s="32"/>
      <c r="G10" s="22">
        <v>259.1</v>
      </c>
      <c r="H10" s="32">
        <v>53.8</v>
      </c>
      <c r="I10" s="22"/>
      <c r="J10" s="22"/>
      <c r="K10" s="23">
        <f>SUM(D10:J10)</f>
        <v>312.90000000000003</v>
      </c>
      <c r="L10" s="22"/>
      <c r="M10" s="22"/>
      <c r="N10" s="22"/>
      <c r="O10" s="32"/>
      <c r="P10" s="22"/>
      <c r="Q10" s="22"/>
      <c r="R10" s="22"/>
      <c r="S10" s="22"/>
      <c r="T10" s="23">
        <f>SUM(L10:S10)</f>
        <v>0</v>
      </c>
      <c r="U10" s="22"/>
      <c r="V10" s="32"/>
      <c r="W10" s="30"/>
      <c r="X10" s="28">
        <f>SUM(U10:W10)</f>
        <v>0</v>
      </c>
      <c r="Y10" s="29">
        <f>K10+T10+X10</f>
        <v>312.90000000000003</v>
      </c>
    </row>
    <row r="11" spans="1:25" ht="34.5" customHeight="1" thickBot="1">
      <c r="A11" s="12" t="s">
        <v>37</v>
      </c>
      <c r="B11" s="45"/>
      <c r="C11" s="20">
        <v>95</v>
      </c>
      <c r="D11" s="34"/>
      <c r="E11" s="34"/>
      <c r="F11" s="34"/>
      <c r="G11" s="22">
        <v>909.3</v>
      </c>
      <c r="H11" s="34"/>
      <c r="I11" s="22"/>
      <c r="J11" s="22"/>
      <c r="K11" s="23">
        <f>SUM(D11:J11)</f>
        <v>909.3</v>
      </c>
      <c r="L11" s="22"/>
      <c r="M11" s="22"/>
      <c r="N11" s="22"/>
      <c r="O11" s="34"/>
      <c r="P11" s="22"/>
      <c r="Q11" s="22"/>
      <c r="R11" s="22"/>
      <c r="S11" s="22"/>
      <c r="T11" s="23"/>
      <c r="U11" s="22"/>
      <c r="V11" s="34"/>
      <c r="W11" s="30"/>
      <c r="X11" s="28">
        <f>SUM(U11:W11)</f>
        <v>0</v>
      </c>
      <c r="Y11" s="29">
        <f>K11+T11+X11</f>
        <v>909.3</v>
      </c>
    </row>
    <row r="12" spans="1:25" s="13" customFormat="1" ht="15.75" thickBot="1">
      <c r="A12" s="46" t="s">
        <v>22</v>
      </c>
      <c r="B12" s="25">
        <f>B8+B9+B10</f>
        <v>1</v>
      </c>
      <c r="C12" s="20">
        <v>111</v>
      </c>
      <c r="D12" s="24">
        <f>D8+D9</f>
        <v>11741.4</v>
      </c>
      <c r="E12" s="24">
        <f aca="true" t="shared" si="0" ref="E12:X12">SUM(E8:E10)</f>
        <v>0</v>
      </c>
      <c r="F12" s="24">
        <v>31.1</v>
      </c>
      <c r="G12" s="23">
        <f>SUM(G8:G11)</f>
        <v>1168.4</v>
      </c>
      <c r="H12" s="23">
        <f>SUM(H8:H10)</f>
        <v>390.5</v>
      </c>
      <c r="I12" s="24">
        <f t="shared" si="0"/>
        <v>28.299999999999997</v>
      </c>
      <c r="J12" s="24">
        <f t="shared" si="0"/>
        <v>0</v>
      </c>
      <c r="K12" s="23">
        <f>SUM(K8:K11)</f>
        <v>13364.299999999997</v>
      </c>
      <c r="L12" s="23">
        <f>SUM(L8:L10)</f>
        <v>7026.1</v>
      </c>
      <c r="M12" s="24">
        <f t="shared" si="0"/>
        <v>13</v>
      </c>
      <c r="N12" s="24">
        <f t="shared" si="0"/>
        <v>403.69999999999993</v>
      </c>
      <c r="O12" s="24">
        <f t="shared" si="0"/>
        <v>3028.75</v>
      </c>
      <c r="P12" s="24">
        <f t="shared" si="0"/>
        <v>46</v>
      </c>
      <c r="Q12" s="24">
        <f t="shared" si="0"/>
        <v>317</v>
      </c>
      <c r="R12" s="24">
        <f t="shared" si="0"/>
        <v>280</v>
      </c>
      <c r="S12" s="24">
        <f t="shared" si="0"/>
        <v>276.4</v>
      </c>
      <c r="T12" s="23">
        <f t="shared" si="0"/>
        <v>11390.95</v>
      </c>
      <c r="U12" s="24">
        <f t="shared" si="0"/>
        <v>44.8</v>
      </c>
      <c r="V12" s="24">
        <f t="shared" si="0"/>
        <v>3028.75</v>
      </c>
      <c r="W12" s="24">
        <f t="shared" si="0"/>
        <v>0</v>
      </c>
      <c r="X12" s="28">
        <f t="shared" si="0"/>
        <v>3073.55</v>
      </c>
      <c r="Y12" s="47">
        <f>SUM(Y8:Y11)</f>
        <v>27828.8</v>
      </c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>
      <c r="A14" s="26"/>
      <c r="B14" s="26"/>
      <c r="C14" s="26"/>
      <c r="D14" s="26"/>
      <c r="E14" s="26"/>
      <c r="F14" s="26">
        <v>24.3</v>
      </c>
      <c r="G14" s="26">
        <v>783.1</v>
      </c>
      <c r="H14" s="26">
        <v>336.7</v>
      </c>
      <c r="I14" s="26">
        <v>28.3</v>
      </c>
      <c r="J14" s="26"/>
      <c r="K14" s="26"/>
      <c r="L14" s="26">
        <v>7026.1</v>
      </c>
      <c r="M14" s="26">
        <v>13</v>
      </c>
      <c r="N14" s="31">
        <v>403.7</v>
      </c>
      <c r="O14" s="31">
        <v>3028.75</v>
      </c>
      <c r="P14" s="31">
        <v>46</v>
      </c>
      <c r="Q14" s="31">
        <v>317</v>
      </c>
      <c r="R14" s="31">
        <v>280</v>
      </c>
      <c r="S14" s="26">
        <v>276.4</v>
      </c>
      <c r="T14" s="26"/>
      <c r="U14" s="31">
        <v>44.8</v>
      </c>
      <c r="V14" s="31">
        <v>3028.75</v>
      </c>
      <c r="W14" s="26">
        <v>0</v>
      </c>
      <c r="X14" s="26"/>
      <c r="Y14" s="27"/>
    </row>
    <row r="16" ht="15">
      <c r="Y16" s="13">
        <v>27828.8</v>
      </c>
    </row>
    <row r="17" spans="4:25" ht="15">
      <c r="D17">
        <v>18686.8</v>
      </c>
      <c r="G17" s="42"/>
      <c r="N17">
        <f>N12+O12+P12+U12+V12</f>
        <v>6552</v>
      </c>
      <c r="Y17" s="13">
        <f>Y16-Y12</f>
        <v>0</v>
      </c>
    </row>
    <row r="22" ht="15">
      <c r="C22" s="33"/>
    </row>
    <row r="25" ht="15">
      <c r="H25" s="13"/>
    </row>
    <row r="28" ht="15">
      <c r="N28" s="13"/>
    </row>
  </sheetData>
  <mergeCells count="11">
    <mergeCell ref="U6:X6"/>
    <mergeCell ref="Y6:Y7"/>
    <mergeCell ref="A2:XFD2"/>
    <mergeCell ref="A1:Y1"/>
    <mergeCell ref="A3:Y3"/>
    <mergeCell ref="A4:Y4"/>
    <mergeCell ref="A6:A7"/>
    <mergeCell ref="B6:B7"/>
    <mergeCell ref="C6:C7"/>
    <mergeCell ref="D6:K6"/>
    <mergeCell ref="L6:T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8"/>
  <sheetViews>
    <sheetView workbookViewId="0" topLeftCell="A1">
      <selection activeCell="E17" sqref="E17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ht="18.7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8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18.75">
      <c r="A3" s="100" t="s">
        <v>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8.75">
      <c r="A4" s="100" t="s">
        <v>50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ht="15.75" thickBot="1"/>
    <row r="6" spans="1:25" ht="36.75" customHeight="1" thickBot="1">
      <c r="A6" s="104" t="s">
        <v>30</v>
      </c>
      <c r="B6" s="105" t="s">
        <v>25</v>
      </c>
      <c r="C6" s="105" t="s">
        <v>21</v>
      </c>
      <c r="D6" s="108" t="s">
        <v>29</v>
      </c>
      <c r="E6" s="109"/>
      <c r="F6" s="109"/>
      <c r="G6" s="109"/>
      <c r="H6" s="109"/>
      <c r="I6" s="109"/>
      <c r="J6" s="110"/>
      <c r="K6" s="111"/>
      <c r="L6" s="112" t="s">
        <v>5</v>
      </c>
      <c r="M6" s="110"/>
      <c r="N6" s="110"/>
      <c r="O6" s="110"/>
      <c r="P6" s="110"/>
      <c r="Q6" s="110"/>
      <c r="R6" s="110"/>
      <c r="S6" s="110"/>
      <c r="T6" s="111"/>
      <c r="U6" s="101" t="s">
        <v>11</v>
      </c>
      <c r="V6" s="102"/>
      <c r="W6" s="102"/>
      <c r="X6" s="102"/>
      <c r="Y6" s="106" t="s">
        <v>39</v>
      </c>
    </row>
    <row r="7" spans="1:25" ht="77.25" customHeight="1">
      <c r="A7" s="104"/>
      <c r="B7" s="104"/>
      <c r="C7" s="104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07"/>
    </row>
    <row r="8" spans="1:25" ht="39" thickBot="1">
      <c r="A8" s="10" t="s">
        <v>12</v>
      </c>
      <c r="B8" s="58">
        <f>C8*100/114/100</f>
        <v>0.5087719298245613</v>
      </c>
      <c r="C8" s="20">
        <v>58</v>
      </c>
      <c r="D8" s="32">
        <v>4272</v>
      </c>
      <c r="E8" s="32"/>
      <c r="F8" s="32"/>
      <c r="G8" s="22"/>
      <c r="H8" s="22">
        <f>H14*B8</f>
        <v>185.04035087719294</v>
      </c>
      <c r="I8" s="22">
        <f>I14*B8</f>
        <v>14.398245614035085</v>
      </c>
      <c r="J8" s="22"/>
      <c r="K8" s="23">
        <f>SUM(D8:J8)</f>
        <v>4471.438596491228</v>
      </c>
      <c r="L8" s="22">
        <f>L14*B8</f>
        <v>3837.1578947368416</v>
      </c>
      <c r="M8" s="22">
        <f>M14*B8</f>
        <v>6.614035087719297</v>
      </c>
      <c r="N8" s="22">
        <v>206.1</v>
      </c>
      <c r="O8" s="32">
        <f>O14*B8</f>
        <v>1562.4385964912278</v>
      </c>
      <c r="P8" s="22">
        <f>P14*B8</f>
        <v>25.438596491228065</v>
      </c>
      <c r="Q8" s="22">
        <f>Q14*B8</f>
        <v>167.89473684210523</v>
      </c>
      <c r="R8" s="22">
        <f>R14*B8</f>
        <v>142.45614035087718</v>
      </c>
      <c r="S8" s="22">
        <f>S14*B8</f>
        <v>141.18421052631575</v>
      </c>
      <c r="T8" s="23">
        <f>SUM(L8:S8)</f>
        <v>6089.284210526314</v>
      </c>
      <c r="U8" s="22">
        <f>U14*B8</f>
        <v>22.89473684210526</v>
      </c>
      <c r="V8" s="32">
        <f>V14*B8</f>
        <v>1562.4385964912278</v>
      </c>
      <c r="W8" s="30">
        <f>W14*B8</f>
        <v>0</v>
      </c>
      <c r="X8" s="28">
        <f>SUM(U8:W8)</f>
        <v>1585.333333333333</v>
      </c>
      <c r="Y8" s="29">
        <v>12146</v>
      </c>
    </row>
    <row r="9" spans="1:25" ht="51.75" thickBot="1">
      <c r="A9" s="11" t="s">
        <v>13</v>
      </c>
      <c r="B9" s="58">
        <f>C9*100/114/100</f>
        <v>0.4912280701754386</v>
      </c>
      <c r="C9" s="20">
        <v>56</v>
      </c>
      <c r="D9" s="32">
        <v>7939.1</v>
      </c>
      <c r="E9" s="32"/>
      <c r="F9" s="32">
        <v>35.7</v>
      </c>
      <c r="G9" s="22"/>
      <c r="H9" s="22">
        <f>H14*B9</f>
        <v>178.65964912280702</v>
      </c>
      <c r="I9" s="22">
        <f>I14*B9</f>
        <v>13.901754385964914</v>
      </c>
      <c r="J9" s="22"/>
      <c r="K9" s="23">
        <f>SUM(D9:J9)</f>
        <v>8167.361403508772</v>
      </c>
      <c r="L9" s="22">
        <f>L14*B9</f>
        <v>3704.842105263158</v>
      </c>
      <c r="M9" s="22">
        <f>M14*B9</f>
        <v>6.385964912280702</v>
      </c>
      <c r="N9" s="22">
        <f>N14*B9</f>
        <v>198.94736842105263</v>
      </c>
      <c r="O9" s="32">
        <f>O14*B9</f>
        <v>1508.561403508772</v>
      </c>
      <c r="P9" s="22">
        <f>P14*B9</f>
        <v>24.56140350877193</v>
      </c>
      <c r="Q9" s="22">
        <f>Q14*B9</f>
        <v>162.10526315789474</v>
      </c>
      <c r="R9" s="22">
        <f>R14*B9</f>
        <v>137.54385964912282</v>
      </c>
      <c r="S9" s="22">
        <f>S14*B9</f>
        <v>136.31578947368422</v>
      </c>
      <c r="T9" s="23">
        <f>SUM(L9:S9)</f>
        <v>5879.263157894738</v>
      </c>
      <c r="U9" s="22">
        <f>U14*B9</f>
        <v>22.10526315789474</v>
      </c>
      <c r="V9" s="32">
        <f>V14*B9</f>
        <v>1508.561403508772</v>
      </c>
      <c r="W9" s="30">
        <f>W14*B9</f>
        <v>0</v>
      </c>
      <c r="X9" s="28">
        <f>SUM(U9:W9)</f>
        <v>1530.6666666666667</v>
      </c>
      <c r="Y9" s="29">
        <f>K9+T9+X9</f>
        <v>15577.291228070177</v>
      </c>
    </row>
    <row r="10" spans="1:25" ht="39" thickBot="1">
      <c r="A10" s="12" t="s">
        <v>35</v>
      </c>
      <c r="B10" s="19"/>
      <c r="C10" s="20">
        <v>60</v>
      </c>
      <c r="D10" s="32"/>
      <c r="E10" s="32"/>
      <c r="F10" s="32"/>
      <c r="G10" s="22">
        <v>269.3</v>
      </c>
      <c r="H10" s="32">
        <v>58.5</v>
      </c>
      <c r="I10" s="22"/>
      <c r="J10" s="22"/>
      <c r="K10" s="23">
        <f>SUM(D10:J10)</f>
        <v>327.8</v>
      </c>
      <c r="L10" s="22">
        <v>0</v>
      </c>
      <c r="M10" s="22"/>
      <c r="N10" s="22"/>
      <c r="O10" s="32"/>
      <c r="P10" s="22"/>
      <c r="Q10" s="22"/>
      <c r="R10" s="22"/>
      <c r="S10" s="22"/>
      <c r="T10" s="23">
        <f>SUM(L10:S10)</f>
        <v>0</v>
      </c>
      <c r="U10" s="22"/>
      <c r="V10" s="32"/>
      <c r="W10" s="30"/>
      <c r="X10" s="28">
        <f>SUM(U10:W10)</f>
        <v>0</v>
      </c>
      <c r="Y10" s="29">
        <f>K10+T10+X10</f>
        <v>327.8</v>
      </c>
    </row>
    <row r="11" spans="1:25" ht="30" customHeight="1" thickBot="1">
      <c r="A11" s="12" t="s">
        <v>37</v>
      </c>
      <c r="B11" s="19"/>
      <c r="C11" s="20">
        <v>98</v>
      </c>
      <c r="D11" s="44"/>
      <c r="E11" s="44"/>
      <c r="F11" s="44"/>
      <c r="G11" s="22">
        <v>909.3</v>
      </c>
      <c r="H11" s="44"/>
      <c r="I11" s="22"/>
      <c r="J11" s="22"/>
      <c r="K11" s="23">
        <f>SUM(D11:J11)</f>
        <v>909.3</v>
      </c>
      <c r="L11" s="22"/>
      <c r="M11" s="22"/>
      <c r="N11" s="22"/>
      <c r="O11" s="44"/>
      <c r="P11" s="22"/>
      <c r="Q11" s="22"/>
      <c r="R11" s="22"/>
      <c r="S11" s="22"/>
      <c r="T11" s="23"/>
      <c r="U11" s="22"/>
      <c r="V11" s="44"/>
      <c r="W11" s="30"/>
      <c r="X11" s="28">
        <f>SUM(U11:W11)</f>
        <v>0</v>
      </c>
      <c r="Y11" s="29">
        <f>K11+T11+X11</f>
        <v>909.3</v>
      </c>
    </row>
    <row r="12" spans="1:25" s="13" customFormat="1" ht="15.75" thickBot="1">
      <c r="A12" s="24" t="s">
        <v>22</v>
      </c>
      <c r="B12" s="25">
        <f>B8+B9+B10</f>
        <v>1</v>
      </c>
      <c r="C12" s="20">
        <v>114</v>
      </c>
      <c r="D12" s="24">
        <f>SUM(D8:D10)</f>
        <v>12211.1</v>
      </c>
      <c r="E12" s="24">
        <f aca="true" t="shared" si="0" ref="E12:X12">SUM(E8:E10)</f>
        <v>0</v>
      </c>
      <c r="F12" s="24">
        <f>SUM(F8:F10)</f>
        <v>35.7</v>
      </c>
      <c r="G12" s="23">
        <f>SUM(G8:G11)</f>
        <v>1178.6</v>
      </c>
      <c r="H12" s="24">
        <f>SUM(H8:H10)</f>
        <v>422.19999999999993</v>
      </c>
      <c r="I12" s="24">
        <f t="shared" si="0"/>
        <v>28.299999999999997</v>
      </c>
      <c r="J12" s="24">
        <f t="shared" si="0"/>
        <v>0</v>
      </c>
      <c r="K12" s="23">
        <f>SUM(K8:K11)</f>
        <v>13875.899999999998</v>
      </c>
      <c r="L12" s="23">
        <f>SUM(L8:L10)</f>
        <v>7542</v>
      </c>
      <c r="M12" s="24">
        <f t="shared" si="0"/>
        <v>13</v>
      </c>
      <c r="N12" s="24">
        <f t="shared" si="0"/>
        <v>405.0473684210526</v>
      </c>
      <c r="O12" s="24">
        <f t="shared" si="0"/>
        <v>3071</v>
      </c>
      <c r="P12" s="24">
        <f t="shared" si="0"/>
        <v>50</v>
      </c>
      <c r="Q12" s="24">
        <f t="shared" si="0"/>
        <v>330</v>
      </c>
      <c r="R12" s="24">
        <f t="shared" si="0"/>
        <v>280</v>
      </c>
      <c r="S12" s="24">
        <f t="shared" si="0"/>
        <v>277.5</v>
      </c>
      <c r="T12" s="23">
        <f t="shared" si="0"/>
        <v>11968.547368421052</v>
      </c>
      <c r="U12" s="24">
        <f t="shared" si="0"/>
        <v>45</v>
      </c>
      <c r="V12" s="24">
        <f t="shared" si="0"/>
        <v>3071</v>
      </c>
      <c r="W12" s="24">
        <f t="shared" si="0"/>
        <v>0</v>
      </c>
      <c r="X12" s="28">
        <f t="shared" si="0"/>
        <v>3116</v>
      </c>
      <c r="Y12" s="47">
        <f>SUM(Y8:Y11)</f>
        <v>28960.391228070177</v>
      </c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>
      <c r="A14" s="26"/>
      <c r="B14" s="26"/>
      <c r="C14" s="26"/>
      <c r="D14" s="26"/>
      <c r="E14" s="26"/>
      <c r="F14" s="26"/>
      <c r="G14" s="26">
        <v>764.8</v>
      </c>
      <c r="H14" s="26">
        <v>363.7</v>
      </c>
      <c r="I14" s="26">
        <v>28.3</v>
      </c>
      <c r="J14" s="26"/>
      <c r="K14" s="26"/>
      <c r="L14" s="26">
        <v>7542</v>
      </c>
      <c r="M14" s="26">
        <v>13</v>
      </c>
      <c r="N14" s="31">
        <v>405</v>
      </c>
      <c r="O14" s="31">
        <v>3071</v>
      </c>
      <c r="P14" s="31">
        <v>50</v>
      </c>
      <c r="Q14" s="31">
        <v>330</v>
      </c>
      <c r="R14" s="31">
        <v>280</v>
      </c>
      <c r="S14" s="26">
        <v>277.5</v>
      </c>
      <c r="T14" s="26"/>
      <c r="U14" s="31">
        <v>45</v>
      </c>
      <c r="V14" s="31">
        <v>3071</v>
      </c>
      <c r="W14" s="26">
        <v>0</v>
      </c>
      <c r="X14" s="26"/>
      <c r="Y14" s="27"/>
    </row>
    <row r="16" spans="4:25" ht="15">
      <c r="D16">
        <v>19753.1</v>
      </c>
      <c r="Y16" s="13">
        <v>28960.4</v>
      </c>
    </row>
    <row r="17" spans="12:25" ht="15">
      <c r="L17">
        <f>N14+O14+P14+U14+V14</f>
        <v>6642</v>
      </c>
      <c r="Q17" t="s">
        <v>31</v>
      </c>
      <c r="Y17" s="13">
        <f>Y16-Y12</f>
        <v>0.008771929824433755</v>
      </c>
    </row>
    <row r="22" ht="15">
      <c r="C22" s="33"/>
    </row>
    <row r="25" ht="15">
      <c r="H25" s="13"/>
    </row>
    <row r="28" ht="15">
      <c r="N28" s="13"/>
    </row>
  </sheetData>
  <mergeCells count="11">
    <mergeCell ref="Y6:Y7"/>
    <mergeCell ref="A3:Y3"/>
    <mergeCell ref="A2:Y2"/>
    <mergeCell ref="A1:Y1"/>
    <mergeCell ref="A4:Y4"/>
    <mergeCell ref="A6:A7"/>
    <mergeCell ref="B6:B7"/>
    <mergeCell ref="C6:C7"/>
    <mergeCell ref="D6:K6"/>
    <mergeCell ref="L6:T6"/>
    <mergeCell ref="U6:X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2019-04-12T06:55:30Z</dcterms:modified>
  <cp:category/>
  <cp:version/>
  <cp:contentType/>
  <cp:contentStatus/>
</cp:coreProperties>
</file>