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89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'приложение 2'!$A$1:$E$569</definedName>
    <definedName name="_xlnm._FilterDatabase" localSheetId="2" hidden="1">'приложение 3'!$A$1:$F$805</definedName>
    <definedName name="BEx1IE0ZP7RIFM9FI24S9I6AAJ14" localSheetId="1" hidden="1">'[1]Table'!#REF!</definedName>
    <definedName name="BEx1IE0ZP7RIFM9FI24S9I6AAJ14" localSheetId="2" hidden="1">'[1]Table'!#REF!</definedName>
    <definedName name="BEx1IE0ZP7RIFM9FI24S9I6AAJ14" hidden="1">'[1]Table'!#REF!</definedName>
    <definedName name="BEx1IKRPW8MLB9Y485M1TL2IT9SH" localSheetId="1" hidden="1">'[1]Table'!#REF!</definedName>
    <definedName name="BEx1IKRPW8MLB9Y485M1TL2IT9SH" localSheetId="2" hidden="1">'[1]Table'!#REF!</definedName>
    <definedName name="BEx1IKRPW8MLB9Y485M1TL2IT9SH" hidden="1">'[1]Table'!#REF!</definedName>
    <definedName name="BEx1J7E8VCGLPYU82QXVUG5N3ZAI" localSheetId="1" hidden="1">'[1]Table'!#REF!</definedName>
    <definedName name="BEx1J7E8VCGLPYU82QXVUG5N3ZAI" localSheetId="2" hidden="1">'[1]Table'!#REF!</definedName>
    <definedName name="BEx1J7E8VCGLPYU82QXVUG5N3ZAI" hidden="1">'[1]Table'!#REF!</definedName>
    <definedName name="BEx1KUVWMB0QCWA3RBE4CADFVRIS" localSheetId="1" hidden="1">'[1]Table'!#REF!</definedName>
    <definedName name="BEx1KUVWMB0QCWA3RBE4CADFVRIS" localSheetId="2" hidden="1">'[1]Table'!#REF!</definedName>
    <definedName name="BEx1KUVWMB0QCWA3RBE4CADFVRIS" hidden="1">'[1]Table'!#REF!</definedName>
    <definedName name="BEx1MEHB0NCT3BFY32C93HRRNR61" localSheetId="1" hidden="1">'[1]Table'!#REF!</definedName>
    <definedName name="BEx1MEHB0NCT3BFY32C93HRRNR61" localSheetId="2" hidden="1">'[1]Table'!#REF!</definedName>
    <definedName name="BEx1MEHB0NCT3BFY32C93HRRNR61" hidden="1">'[1]Table'!#REF!</definedName>
    <definedName name="BEx1MTRKKVCHOZ0YGID6HZ49LJTO" localSheetId="1" hidden="1">'[1]Table'!#REF!</definedName>
    <definedName name="BEx1MTRKKVCHOZ0YGID6HZ49LJTO" localSheetId="2" hidden="1">'[1]Table'!#REF!</definedName>
    <definedName name="BEx1MTRKKVCHOZ0YGID6HZ49LJTO" hidden="1">'[1]Table'!#REF!</definedName>
    <definedName name="BEx1NM34KQTO1LDNSAFD1L82UZFG" localSheetId="1" hidden="1">'[1]Table'!#REF!</definedName>
    <definedName name="BEx1NM34KQTO1LDNSAFD1L82UZFG" localSheetId="2" hidden="1">'[1]Table'!#REF!</definedName>
    <definedName name="BEx1NM34KQTO1LDNSAFD1L82UZFG" hidden="1">'[1]Table'!#REF!</definedName>
    <definedName name="BEx1NRMTKOP28N5MIXZQLGARK6G3" localSheetId="1" hidden="1">'[2]Table'!#REF!</definedName>
    <definedName name="BEx1NRMTKOP28N5MIXZQLGARK6G3" localSheetId="2" hidden="1">'[2]Table'!#REF!</definedName>
    <definedName name="BEx1NRMTKOP28N5MIXZQLGARK6G3" hidden="1">'[2]Table'!#REF!</definedName>
    <definedName name="BEx1NZ4K1L8UON80Y2A4RASKWGNP" localSheetId="1" hidden="1">'[1]Table'!#REF!</definedName>
    <definedName name="BEx1NZ4K1L8UON80Y2A4RASKWGNP" localSheetId="2" hidden="1">'[1]Table'!#REF!</definedName>
    <definedName name="BEx1NZ4K1L8UON80Y2A4RASKWGNP" hidden="1">'[1]Table'!#REF!</definedName>
    <definedName name="BEx1QSFA79US1A0WBGK6SPCPMIKP" localSheetId="1" hidden="1">'[1]Table'!#REF!</definedName>
    <definedName name="BEx1QSFA79US1A0WBGK6SPCPMIKP" localSheetId="2" hidden="1">'[1]Table'!#REF!</definedName>
    <definedName name="BEx1QSFA79US1A0WBGK6SPCPMIKP" hidden="1">'[1]Table'!#REF!</definedName>
    <definedName name="BEx1TJ0WLS9O7KNSGIPWTYHDYI1D" localSheetId="1" hidden="1">'[1]Table'!#REF!</definedName>
    <definedName name="BEx1TJ0WLS9O7KNSGIPWTYHDYI1D" localSheetId="2" hidden="1">'[1]Table'!#REF!</definedName>
    <definedName name="BEx1TJ0WLS9O7KNSGIPWTYHDYI1D" hidden="1">'[1]Table'!#REF!</definedName>
    <definedName name="BEx1WGYTKZZIPM1577W5FEYKFH3V" localSheetId="1" hidden="1">'[1]Table'!#REF!</definedName>
    <definedName name="BEx1WGYTKZZIPM1577W5FEYKFH3V" localSheetId="2" hidden="1">'[1]Table'!#REF!</definedName>
    <definedName name="BEx1WGYTKZZIPM1577W5FEYKFH3V" hidden="1">'[1]Table'!#REF!</definedName>
    <definedName name="BEx1Y2IGS2K95E1M51PEF9KJZ0KB" localSheetId="1" hidden="1">'[1]Table'!#REF!</definedName>
    <definedName name="BEx1Y2IGS2K95E1M51PEF9KJZ0KB" localSheetId="2" hidden="1">'[1]Table'!#REF!</definedName>
    <definedName name="BEx1Y2IGS2K95E1M51PEF9KJZ0KB" hidden="1">'[1]Table'!#REF!</definedName>
    <definedName name="BEx1YL3DJ7Y4AZ01ERCOGW0FJ26T" localSheetId="1" hidden="1">'[1]Table'!#REF!</definedName>
    <definedName name="BEx1YL3DJ7Y4AZ01ERCOGW0FJ26T" localSheetId="2" hidden="1">'[1]Table'!#REF!</definedName>
    <definedName name="BEx1YL3DJ7Y4AZ01ERCOGW0FJ26T" hidden="1">'[1]Table'!#REF!</definedName>
    <definedName name="BEx3BQR5VZXNQ4H949ORM8ESU3B3" localSheetId="1" hidden="1">'[1]Table'!#REF!</definedName>
    <definedName name="BEx3BQR5VZXNQ4H949ORM8ESU3B3" localSheetId="2" hidden="1">'[1]Table'!#REF!</definedName>
    <definedName name="BEx3BQR5VZXNQ4H949ORM8ESU3B3" hidden="1">'[1]Table'!#REF!</definedName>
    <definedName name="BEx3CO0SVO4WLH0DO43DCHYDTH1P" localSheetId="1" hidden="1">'[1]Table'!#REF!</definedName>
    <definedName name="BEx3CO0SVO4WLH0DO43DCHYDTH1P" localSheetId="2" hidden="1">'[1]Table'!#REF!</definedName>
    <definedName name="BEx3CO0SVO4WLH0DO43DCHYDTH1P" hidden="1">'[1]Table'!#REF!</definedName>
    <definedName name="BEx3FX7EJL47JSLSWP3EOC265WAE" localSheetId="1" hidden="1">'[1]Table'!#REF!</definedName>
    <definedName name="BEx3FX7EJL47JSLSWP3EOC265WAE" localSheetId="2" hidden="1">'[1]Table'!#REF!</definedName>
    <definedName name="BEx3FX7EJL47JSLSWP3EOC265WAE" hidden="1">'[1]Table'!#REF!</definedName>
    <definedName name="BEx3GCXR6IAS0B6WJ03GJVH7CO52" localSheetId="1" hidden="1">'[1]Table'!#REF!</definedName>
    <definedName name="BEx3GCXR6IAS0B6WJ03GJVH7CO52" localSheetId="2" hidden="1">'[1]Table'!#REF!</definedName>
    <definedName name="BEx3GCXR6IAS0B6WJ03GJVH7CO52" hidden="1">'[1]Table'!#REF!</definedName>
    <definedName name="BEx3GMJ1Y6UU02DLRL0QXCEKDA6C" localSheetId="1" hidden="1">'[1]Table'!#REF!</definedName>
    <definedName name="BEx3GMJ1Y6UU02DLRL0QXCEKDA6C" localSheetId="2" hidden="1">'[1]Table'!#REF!</definedName>
    <definedName name="BEx3GMJ1Y6UU02DLRL0QXCEKDA6C" hidden="1">'[1]Table'!#REF!</definedName>
    <definedName name="BEx3H5UX2GZFZZT657YR76RHW5I6" localSheetId="1" hidden="1">'[1]Table'!#REF!</definedName>
    <definedName name="BEx3H5UX2GZFZZT657YR76RHW5I6" localSheetId="2" hidden="1">'[1]Table'!#REF!</definedName>
    <definedName name="BEx3H5UX2GZFZZT657YR76RHW5I6" hidden="1">'[1]Table'!#REF!</definedName>
    <definedName name="BEx3HWZB1R034H19UO7ML5GAQJSJ" localSheetId="1" hidden="1">'[2]Table'!#REF!</definedName>
    <definedName name="BEx3HWZB1R034H19UO7ML5GAQJSJ" localSheetId="2" hidden="1">'[2]Table'!#REF!</definedName>
    <definedName name="BEx3HWZB1R034H19UO7ML5GAQJSJ" hidden="1">'[2]Table'!#REF!</definedName>
    <definedName name="BEx3IYAH2DEBFWO8F94H4MXE3RLY" localSheetId="1" hidden="1">'[1]Table'!#REF!</definedName>
    <definedName name="BEx3IYAH2DEBFWO8F94H4MXE3RLY" localSheetId="2" hidden="1">'[1]Table'!#REF!</definedName>
    <definedName name="BEx3IYAH2DEBFWO8F94H4MXE3RLY" hidden="1">'[1]Table'!#REF!</definedName>
    <definedName name="BEx3L4IN3LI4C26SITKTGAH27CDU" localSheetId="1" hidden="1">'[1]Table'!#REF!</definedName>
    <definedName name="BEx3L4IN3LI4C26SITKTGAH27CDU" localSheetId="2" hidden="1">'[1]Table'!#REF!</definedName>
    <definedName name="BEx3L4IN3LI4C26SITKTGAH27CDU" hidden="1">'[1]Table'!#REF!</definedName>
    <definedName name="BEx3M1MR1K1NQD03H74BFWOK4MWQ" localSheetId="1" hidden="1">'[1]Table'!#REF!</definedName>
    <definedName name="BEx3M1MR1K1NQD03H74BFWOK4MWQ" localSheetId="2" hidden="1">'[1]Table'!#REF!</definedName>
    <definedName name="BEx3M1MR1K1NQD03H74BFWOK4MWQ" hidden="1">'[1]Table'!#REF!</definedName>
    <definedName name="BEx3NKXF7GYXHBK75UI6MDRUSU0J" localSheetId="1" hidden="1">'[1]Table'!#REF!</definedName>
    <definedName name="BEx3NKXF7GYXHBK75UI6MDRUSU0J" localSheetId="2" hidden="1">'[1]Table'!#REF!</definedName>
    <definedName name="BEx3NKXF7GYXHBK75UI6MDRUSU0J" hidden="1">'[1]Table'!#REF!</definedName>
    <definedName name="BEx3NMQ4BVC94728AUM7CCX7UHTU" localSheetId="1" hidden="1">'[1]Table'!#REF!</definedName>
    <definedName name="BEx3NMQ4BVC94728AUM7CCX7UHTU" localSheetId="2" hidden="1">'[1]Table'!#REF!</definedName>
    <definedName name="BEx3NMQ4BVC94728AUM7CCX7UHTU" hidden="1">'[1]Table'!#REF!</definedName>
    <definedName name="BEx3O19B8FTTAPVT5DZXQGQXWFR8" localSheetId="1" hidden="1">'[1]Table'!#REF!</definedName>
    <definedName name="BEx3O19B8FTTAPVT5DZXQGQXWFR8" localSheetId="2" hidden="1">'[1]Table'!#REF!</definedName>
    <definedName name="BEx3O19B8FTTAPVT5DZXQGQXWFR8" hidden="1">'[1]Table'!#REF!</definedName>
    <definedName name="BEx3O85IKWARA6NCJOLRBRJFMEWW" localSheetId="1" hidden="1">'[3]Table'!#REF!</definedName>
    <definedName name="BEx3O85IKWARA6NCJOLRBRJFMEWW" localSheetId="2" hidden="1">'[3]Table'!#REF!</definedName>
    <definedName name="BEx3O85IKWARA6NCJOLRBRJFMEWW" hidden="1">'[3]Table'!#REF!</definedName>
    <definedName name="BEx3OAULZWOG4KCP4357NRIF0UD8" localSheetId="1" hidden="1">'[1]Table'!#REF!</definedName>
    <definedName name="BEx3OAULZWOG4KCP4357NRIF0UD8" localSheetId="2" hidden="1">'[1]Table'!#REF!</definedName>
    <definedName name="BEx3OAULZWOG4KCP4357NRIF0UD8" hidden="1">'[1]Table'!#REF!</definedName>
    <definedName name="BEx3PKEMDW8KZEP11IL927C5O7I2" localSheetId="1" hidden="1">'[1]Table'!#REF!</definedName>
    <definedName name="BEx3PKEMDW8KZEP11IL927C5O7I2" localSheetId="2" hidden="1">'[1]Table'!#REF!</definedName>
    <definedName name="BEx3PKEMDW8KZEP11IL927C5O7I2" hidden="1">'[1]Table'!#REF!</definedName>
    <definedName name="BEx3Q0VWPU5EQECK7MQ47TYJ3SWW" localSheetId="1" hidden="1">'[1]Table'!#REF!</definedName>
    <definedName name="BEx3Q0VWPU5EQECK7MQ47TYJ3SWW" localSheetId="2" hidden="1">'[1]Table'!#REF!</definedName>
    <definedName name="BEx3Q0VWPU5EQECK7MQ47TYJ3SWW" hidden="1">'[1]Table'!#REF!</definedName>
    <definedName name="BEx3RHC2ZD5UFS6QD4OPFCNNMWH1" localSheetId="1" hidden="1">'[1]Table'!#REF!</definedName>
    <definedName name="BEx3RHC2ZD5UFS6QD4OPFCNNMWH1" localSheetId="2" hidden="1">'[1]Table'!#REF!</definedName>
    <definedName name="BEx3RHC2ZD5UFS6QD4OPFCNNMWH1" hidden="1">'[1]Table'!#REF!</definedName>
    <definedName name="BEx58XHO7ZULLF2EUD7YIS0MGQJ5" localSheetId="1" hidden="1">'[1]Table'!#REF!</definedName>
    <definedName name="BEx58XHO7ZULLF2EUD7YIS0MGQJ5" localSheetId="2" hidden="1">'[1]Table'!#REF!</definedName>
    <definedName name="BEx58XHO7ZULLF2EUD7YIS0MGQJ5" hidden="1">'[1]Table'!#REF!</definedName>
    <definedName name="BEx59P7MAPNU129ZTC5H3EH892G1" localSheetId="1" hidden="1">'[1]Table'!#REF!</definedName>
    <definedName name="BEx59P7MAPNU129ZTC5H3EH892G1" localSheetId="2" hidden="1">'[1]Table'!#REF!</definedName>
    <definedName name="BEx59P7MAPNU129ZTC5H3EH892G1" hidden="1">'[1]Table'!#REF!</definedName>
    <definedName name="BEx5B825RW35M5H0UB2IZGGRS4ER" localSheetId="1" hidden="1">'[1]Table'!#REF!</definedName>
    <definedName name="BEx5B825RW35M5H0UB2IZGGRS4ER" localSheetId="2" hidden="1">'[1]Table'!#REF!</definedName>
    <definedName name="BEx5B825RW35M5H0UB2IZGGRS4ER" hidden="1">'[1]Table'!#REF!</definedName>
    <definedName name="BEx5BHSQ42B50IU1TEQFUXFX9XQD" localSheetId="1" hidden="1">'[1]Table'!#REF!</definedName>
    <definedName name="BEx5BHSQ42B50IU1TEQFUXFX9XQD" localSheetId="2" hidden="1">'[1]Table'!#REF!</definedName>
    <definedName name="BEx5BHSQ42B50IU1TEQFUXFX9XQD" hidden="1">'[1]Table'!#REF!</definedName>
    <definedName name="BEx5BYFMZ80TDDN2EZO8CF39AIAC" localSheetId="1" hidden="1">'[1]Table'!#REF!</definedName>
    <definedName name="BEx5BYFMZ80TDDN2EZO8CF39AIAC" localSheetId="2" hidden="1">'[1]Table'!#REF!</definedName>
    <definedName name="BEx5BYFMZ80TDDN2EZO8CF39AIAC" hidden="1">'[1]Table'!#REF!</definedName>
    <definedName name="BEx5CFYQ0F1Z6P8SCVJ0I3UPVFE4" localSheetId="1" hidden="1">'[1]Table'!#REF!</definedName>
    <definedName name="BEx5CFYQ0F1Z6P8SCVJ0I3UPVFE4" localSheetId="2" hidden="1">'[1]Table'!#REF!</definedName>
    <definedName name="BEx5CFYQ0F1Z6P8SCVJ0I3UPVFE4" hidden="1">'[1]Table'!#REF!</definedName>
    <definedName name="BEx5E123OLO9WQUOIRIDJ967KAGK" localSheetId="1" hidden="1">'[1]Table'!#REF!</definedName>
    <definedName name="BEx5E123OLO9WQUOIRIDJ967KAGK" localSheetId="2" hidden="1">'[1]Table'!#REF!</definedName>
    <definedName name="BEx5E123OLO9WQUOIRIDJ967KAGK" hidden="1">'[1]Table'!#REF!</definedName>
    <definedName name="BEx5G1A8TFN4C4QII35U9DKYNIS8" localSheetId="1" hidden="1">'[1]Table'!#REF!</definedName>
    <definedName name="BEx5G1A8TFN4C4QII35U9DKYNIS8" localSheetId="2" hidden="1">'[1]Table'!#REF!</definedName>
    <definedName name="BEx5G1A8TFN4C4QII35U9DKYNIS8" hidden="1">'[1]Table'!#REF!</definedName>
    <definedName name="BEx5GID9MVBUPFFT9M8K8B5MO9NV" localSheetId="1" hidden="1">'[1]Table'!#REF!</definedName>
    <definedName name="BEx5GID9MVBUPFFT9M8K8B5MO9NV" localSheetId="2" hidden="1">'[1]Table'!#REF!</definedName>
    <definedName name="BEx5GID9MVBUPFFT9M8K8B5MO9NV" hidden="1">'[1]Table'!#REF!</definedName>
    <definedName name="BEx5HWKGSGUFMQTV743HSDTZEVXB" localSheetId="1" hidden="1">'[2]Table'!#REF!</definedName>
    <definedName name="BEx5HWKGSGUFMQTV743HSDTZEVXB" localSheetId="2" hidden="1">'[2]Table'!#REF!</definedName>
    <definedName name="BEx5HWKGSGUFMQTV743HSDTZEVXB" hidden="1">'[2]Table'!#REF!</definedName>
    <definedName name="BEx5I244LQHZTF3XI66J8705R9XX" localSheetId="1" hidden="1">'[1]Table'!#REF!</definedName>
    <definedName name="BEx5I244LQHZTF3XI66J8705R9XX" localSheetId="2" hidden="1">'[1]Table'!#REF!</definedName>
    <definedName name="BEx5I244LQHZTF3XI66J8705R9XX" hidden="1">'[1]Table'!#REF!</definedName>
    <definedName name="BEx5I8PBP4LIXDGID5BP0THLO0AQ" localSheetId="1" hidden="1">'[1]Table'!#REF!</definedName>
    <definedName name="BEx5I8PBP4LIXDGID5BP0THLO0AQ" localSheetId="2" hidden="1">'[1]Table'!#REF!</definedName>
    <definedName name="BEx5I8PBP4LIXDGID5BP0THLO0AQ" hidden="1">'[1]Table'!#REF!</definedName>
    <definedName name="BEx5JNCT8Z7XSSPD5EMNAJELCU2V" localSheetId="1" hidden="1">'[1]Table'!#REF!</definedName>
    <definedName name="BEx5JNCT8Z7XSSPD5EMNAJELCU2V" localSheetId="2" hidden="1">'[1]Table'!#REF!</definedName>
    <definedName name="BEx5JNCT8Z7XSSPD5EMNAJELCU2V" hidden="1">'[1]Table'!#REF!</definedName>
    <definedName name="BEx5JQCNT9Y4RM306CHC8IPY3HBZ" localSheetId="1" hidden="1">'[1]Table'!#REF!</definedName>
    <definedName name="BEx5JQCNT9Y4RM306CHC8IPY3HBZ" localSheetId="2" hidden="1">'[1]Table'!#REF!</definedName>
    <definedName name="BEx5JQCNT9Y4RM306CHC8IPY3HBZ" hidden="1">'[1]Table'!#REF!</definedName>
    <definedName name="BEx5LTKQ8RQWJE4BC88OP928893U" localSheetId="1" hidden="1">'[1]Table'!#REF!</definedName>
    <definedName name="BEx5LTKQ8RQWJE4BC88OP928893U" localSheetId="2" hidden="1">'[1]Table'!#REF!</definedName>
    <definedName name="BEx5LTKQ8RQWJE4BC88OP928893U" hidden="1">'[1]Table'!#REF!</definedName>
    <definedName name="BEx5MBUW955HYXNO9YP2QVK5C39P" localSheetId="1" hidden="1">'[1]Table'!#REF!</definedName>
    <definedName name="BEx5MBUW955HYXNO9YP2QVK5C39P" localSheetId="2" hidden="1">'[1]Table'!#REF!</definedName>
    <definedName name="BEx5MBUW955HYXNO9YP2QVK5C39P" hidden="1">'[1]Table'!#REF!</definedName>
    <definedName name="BEx5MLQZM68YQSKARVWTTPINFQ2C" localSheetId="1" hidden="1">'[3]Table'!#REF!</definedName>
    <definedName name="BEx5MLQZM68YQSKARVWTTPINFQ2C" localSheetId="2" hidden="1">'[3]Table'!#REF!</definedName>
    <definedName name="BEx5MLQZM68YQSKARVWTTPINFQ2C" hidden="1">'[3]Table'!#REF!</definedName>
    <definedName name="BEx5MVXTKNBXHNWTL43C670E4KXC" localSheetId="1" hidden="1">'[1]Table'!#REF!</definedName>
    <definedName name="BEx5MVXTKNBXHNWTL43C670E4KXC" localSheetId="2" hidden="1">'[1]Table'!#REF!</definedName>
    <definedName name="BEx5MVXTKNBXHNWTL43C670E4KXC" hidden="1">'[1]Table'!#REF!</definedName>
    <definedName name="BEx5NTCRKG3MCO16Q0MJSA6DPSDX" localSheetId="1" hidden="1">'[1]Table'!#REF!</definedName>
    <definedName name="BEx5NTCRKG3MCO16Q0MJSA6DPSDX" localSheetId="2" hidden="1">'[1]Table'!#REF!</definedName>
    <definedName name="BEx5NTCRKG3MCO16Q0MJSA6DPSDX" hidden="1">'[1]Table'!#REF!</definedName>
    <definedName name="BEx5ONH1F6GHNI7M2DIURXTY5XSI" localSheetId="1" hidden="1">'[2]Table'!#REF!</definedName>
    <definedName name="BEx5ONH1F6GHNI7M2DIURXTY5XSI" localSheetId="2" hidden="1">'[2]Table'!#REF!</definedName>
    <definedName name="BEx5ONH1F6GHNI7M2DIURXTY5XSI" hidden="1">'[2]Table'!#REF!</definedName>
    <definedName name="BEx774N83DXLJZ54Q42PWIJZ2DN1" localSheetId="1" hidden="1">'[1]Table'!#REF!</definedName>
    <definedName name="BEx774N83DXLJZ54Q42PWIJZ2DN1" localSheetId="2" hidden="1">'[1]Table'!#REF!</definedName>
    <definedName name="BEx774N83DXLJZ54Q42PWIJZ2DN1" hidden="1">'[1]Table'!#REF!</definedName>
    <definedName name="BEx78226TN58UE0CTY98YEDU0LSL" localSheetId="1" hidden="1">'[1]Table'!#REF!</definedName>
    <definedName name="BEx78226TN58UE0CTY98YEDU0LSL" localSheetId="2" hidden="1">'[1]Table'!#REF!</definedName>
    <definedName name="BEx78226TN58UE0CTY98YEDU0LSL" hidden="1">'[1]Table'!#REF!</definedName>
    <definedName name="BEx79OCP4HQ6XP8EWNGEUDLOZBBS" localSheetId="1" hidden="1">'[1]Table'!#REF!</definedName>
    <definedName name="BEx79OCP4HQ6XP8EWNGEUDLOZBBS" localSheetId="2" hidden="1">'[1]Table'!#REF!</definedName>
    <definedName name="BEx79OCP4HQ6XP8EWNGEUDLOZBBS" hidden="1">'[1]Table'!#REF!</definedName>
    <definedName name="BEx7ABA2C9IWH5VSLVLLLCY62161" localSheetId="1" hidden="1">'[1]Table'!#REF!</definedName>
    <definedName name="BEx7ABA2C9IWH5VSLVLLLCY62161" localSheetId="2" hidden="1">'[1]Table'!#REF!</definedName>
    <definedName name="BEx7ABA2C9IWH5VSLVLLLCY62161" hidden="1">'[1]Table'!#REF!</definedName>
    <definedName name="BEx7ASD1I654MEDCO6GGWA95PXSC" localSheetId="1" hidden="1">'[1]Table'!#REF!</definedName>
    <definedName name="BEx7ASD1I654MEDCO6GGWA95PXSC" localSheetId="2" hidden="1">'[1]Table'!#REF!</definedName>
    <definedName name="BEx7ASD1I654MEDCO6GGWA95PXSC" hidden="1">'[1]Table'!#REF!</definedName>
    <definedName name="BEx7AVCX9S5RJP3NSZ4QM4E6ERDT" localSheetId="1" hidden="1">'[1]Table'!#REF!</definedName>
    <definedName name="BEx7AVCX9S5RJP3NSZ4QM4E6ERDT" localSheetId="2" hidden="1">'[1]Table'!#REF!</definedName>
    <definedName name="BEx7AVCX9S5RJP3NSZ4QM4E6ERDT" hidden="1">'[1]Table'!#REF!</definedName>
    <definedName name="BEx7B6LH6917TXOSAAQ6U7HVF018" localSheetId="1" hidden="1">'[1]Table'!#REF!</definedName>
    <definedName name="BEx7B6LH6917TXOSAAQ6U7HVF018" localSheetId="2" hidden="1">'[1]Table'!#REF!</definedName>
    <definedName name="BEx7B6LH6917TXOSAAQ6U7HVF018" hidden="1">'[1]Table'!#REF!</definedName>
    <definedName name="BEx7D5RWKRS4W71J4NZ6ZSFHPKFT" localSheetId="1" hidden="1">'[1]Table'!#REF!</definedName>
    <definedName name="BEx7D5RWKRS4W71J4NZ6ZSFHPKFT" localSheetId="2" hidden="1">'[1]Table'!#REF!</definedName>
    <definedName name="BEx7D5RWKRS4W71J4NZ6ZSFHPKFT" hidden="1">'[1]Table'!#REF!</definedName>
    <definedName name="BEx7DVJTRV44IMJIBFXELE67SZ7S" localSheetId="1" hidden="1">'[1]Table'!#REF!</definedName>
    <definedName name="BEx7DVJTRV44IMJIBFXELE67SZ7S" localSheetId="2" hidden="1">'[1]Table'!#REF!</definedName>
    <definedName name="BEx7DVJTRV44IMJIBFXELE67SZ7S" hidden="1">'[1]Table'!#REF!</definedName>
    <definedName name="BEx7E2QT2U8THYOKBPXONB1B47WH" localSheetId="1" hidden="1">'[1]Table'!#REF!</definedName>
    <definedName name="BEx7E2QT2U8THYOKBPXONB1B47WH" localSheetId="2" hidden="1">'[1]Table'!#REF!</definedName>
    <definedName name="BEx7E2QT2U8THYOKBPXONB1B47WH" hidden="1">'[1]Table'!#REF!</definedName>
    <definedName name="BEx7EI6DL1Z6UWLFBXAKVGZTKHWJ" localSheetId="1" hidden="1">'[1]Table'!#REF!</definedName>
    <definedName name="BEx7EI6DL1Z6UWLFBXAKVGZTKHWJ" localSheetId="2" hidden="1">'[1]Table'!#REF!</definedName>
    <definedName name="BEx7EI6DL1Z6UWLFBXAKVGZTKHWJ" hidden="1">'[1]Table'!#REF!</definedName>
    <definedName name="BEx7EQF0QX3L29JFJ5XBW8UOSD0R" localSheetId="1" hidden="1">'[1]Table'!#REF!</definedName>
    <definedName name="BEx7EQF0QX3L29JFJ5XBW8UOSD0R" localSheetId="2" hidden="1">'[1]Table'!#REF!</definedName>
    <definedName name="BEx7EQF0QX3L29JFJ5XBW8UOSD0R" hidden="1">'[1]Table'!#REF!</definedName>
    <definedName name="BEx7GR3ENYWRXXS5IT0UMEGOLGUH" localSheetId="1" hidden="1">'[1]Table'!#REF!</definedName>
    <definedName name="BEx7GR3ENYWRXXS5IT0UMEGOLGUH" localSheetId="2" hidden="1">'[1]Table'!#REF!</definedName>
    <definedName name="BEx7GR3ENYWRXXS5IT0UMEGOLGUH" hidden="1">'[1]Table'!#REF!</definedName>
    <definedName name="BEx7H14XCXH7WEXEY1HVO53A6AGH" localSheetId="1" hidden="1">'[1]Table'!#REF!</definedName>
    <definedName name="BEx7H14XCXH7WEXEY1HVO53A6AGH" localSheetId="2" hidden="1">'[1]Table'!#REF!</definedName>
    <definedName name="BEx7H14XCXH7WEXEY1HVO53A6AGH" hidden="1">'[1]Table'!#REF!</definedName>
    <definedName name="BEx7HFTIA8AC8BR8HKIN81VE1SGW" localSheetId="1" hidden="1">'[1]Table'!#REF!</definedName>
    <definedName name="BEx7HFTIA8AC8BR8HKIN81VE1SGW" localSheetId="2" hidden="1">'[1]Table'!#REF!</definedName>
    <definedName name="BEx7HFTIA8AC8BR8HKIN81VE1SGW" hidden="1">'[1]Table'!#REF!</definedName>
    <definedName name="BEx7L8XOV64OMS15ZFURFEUXLMWF" localSheetId="1" hidden="1">'[1]Table'!#REF!</definedName>
    <definedName name="BEx7L8XOV64OMS15ZFURFEUXLMWF" localSheetId="2" hidden="1">'[1]Table'!#REF!</definedName>
    <definedName name="BEx7L8XOV64OMS15ZFURFEUXLMWF" hidden="1">'[1]Table'!#REF!</definedName>
    <definedName name="BEx7LCOFPPG5CAI9OO09DCBE07P4" localSheetId="1" hidden="1">'[1]Table'!#REF!</definedName>
    <definedName name="BEx7LCOFPPG5CAI9OO09DCBE07P4" localSheetId="2" hidden="1">'[1]Table'!#REF!</definedName>
    <definedName name="BEx7LCOFPPG5CAI9OO09DCBE07P4" hidden="1">'[1]Table'!#REF!</definedName>
    <definedName name="BEx91QH5JRZKQP1GPN2SQMR3CKAG" localSheetId="1" hidden="1">'[1]Table'!#REF!</definedName>
    <definedName name="BEx91QH5JRZKQP1GPN2SQMR3CKAG" localSheetId="2" hidden="1">'[1]Table'!#REF!</definedName>
    <definedName name="BEx91QH5JRZKQP1GPN2SQMR3CKAG" hidden="1">'[1]Table'!#REF!</definedName>
    <definedName name="BEx92S8MHFFIVRQ2YSHZNQGOFUHD" localSheetId="1" hidden="1">'[1]Table'!#REF!</definedName>
    <definedName name="BEx92S8MHFFIVRQ2YSHZNQGOFUHD" localSheetId="2" hidden="1">'[1]Table'!#REF!</definedName>
    <definedName name="BEx92S8MHFFIVRQ2YSHZNQGOFUHD" hidden="1">'[1]Table'!#REF!</definedName>
    <definedName name="BEx93SY9RWG3HUV4YXQKXJH9FH14" localSheetId="1" hidden="1">'[1]Table'!#REF!</definedName>
    <definedName name="BEx93SY9RWG3HUV4YXQKXJH9FH14" localSheetId="2" hidden="1">'[1]Table'!#REF!</definedName>
    <definedName name="BEx93SY9RWG3HUV4YXQKXJH9FH14" hidden="1">'[1]Table'!#REF!</definedName>
    <definedName name="BEx94GXG30CIVB6ZQN3X3IK6BZXQ" localSheetId="1" hidden="1">'[1]Table'!#REF!</definedName>
    <definedName name="BEx94GXG30CIVB6ZQN3X3IK6BZXQ" localSheetId="2" hidden="1">'[1]Table'!#REF!</definedName>
    <definedName name="BEx94GXG30CIVB6ZQN3X3IK6BZXQ" hidden="1">'[1]Table'!#REF!</definedName>
    <definedName name="BEx94HZ5LURYM9ST744ALV6ZCKYP" localSheetId="1" hidden="1">'[1]Table'!#REF!</definedName>
    <definedName name="BEx94HZ5LURYM9ST744ALV6ZCKYP" localSheetId="2" hidden="1">'[1]Table'!#REF!</definedName>
    <definedName name="BEx94HZ5LURYM9ST744ALV6ZCKYP" hidden="1">'[1]Table'!#REF!</definedName>
    <definedName name="BEx94IQ75E90YUMWJ9N591LR7DQQ" localSheetId="1" hidden="1">'[1]Table'!#REF!</definedName>
    <definedName name="BEx94IQ75E90YUMWJ9N591LR7DQQ" localSheetId="2" hidden="1">'[1]Table'!#REF!</definedName>
    <definedName name="BEx94IQ75E90YUMWJ9N591LR7DQQ" hidden="1">'[1]Table'!#REF!</definedName>
    <definedName name="BEx955NIAWX5OLAHMTV6QFUZPR30" localSheetId="1" hidden="1">'[1]Table'!#REF!</definedName>
    <definedName name="BEx955NIAWX5OLAHMTV6QFUZPR30" localSheetId="2" hidden="1">'[1]Table'!#REF!</definedName>
    <definedName name="BEx955NIAWX5OLAHMTV6QFUZPR30" hidden="1">'[1]Table'!#REF!</definedName>
    <definedName name="BEx97NPQBACJVD9K1YXI08RTW9E2" localSheetId="1" hidden="1">'[1]Table'!#REF!</definedName>
    <definedName name="BEx97NPQBACJVD9K1YXI08RTW9E2" localSheetId="2" hidden="1">'[1]Table'!#REF!</definedName>
    <definedName name="BEx97NPQBACJVD9K1YXI08RTW9E2" hidden="1">'[1]Table'!#REF!</definedName>
    <definedName name="BEx9871KU0N99P0900EAK69VFYT2" localSheetId="1" hidden="1">'[1]Table'!#REF!</definedName>
    <definedName name="BEx9871KU0N99P0900EAK69VFYT2" localSheetId="2" hidden="1">'[1]Table'!#REF!</definedName>
    <definedName name="BEx9871KU0N99P0900EAK69VFYT2" hidden="1">'[1]Table'!#REF!</definedName>
    <definedName name="BEx99YFI2XJ23DE94815HFUG4YNW" localSheetId="1" hidden="1">'[2]Table'!#REF!</definedName>
    <definedName name="BEx99YFI2XJ23DE94815HFUG4YNW" localSheetId="2" hidden="1">'[2]Table'!#REF!</definedName>
    <definedName name="BEx99YFI2XJ23DE94815HFUG4YNW" hidden="1">'[2]Table'!#REF!</definedName>
    <definedName name="BEx9AV8W1FAWF5BHATYEN47X12JN" localSheetId="1" hidden="1">'[1]Table'!#REF!</definedName>
    <definedName name="BEx9AV8W1FAWF5BHATYEN47X12JN" localSheetId="2" hidden="1">'[1]Table'!#REF!</definedName>
    <definedName name="BEx9AV8W1FAWF5BHATYEN47X12JN" hidden="1">'[1]Table'!#REF!</definedName>
    <definedName name="BEx9E2BZ2B1R41FMGJCJ7JLGLUAJ" localSheetId="1" hidden="1">'[1]Table'!#REF!</definedName>
    <definedName name="BEx9E2BZ2B1R41FMGJCJ7JLGLUAJ" localSheetId="2" hidden="1">'[1]Table'!#REF!</definedName>
    <definedName name="BEx9E2BZ2B1R41FMGJCJ7JLGLUAJ" hidden="1">'[1]Table'!#REF!</definedName>
    <definedName name="BEx9GY6BVFQGCLMOWVT6PIC9WP5X" localSheetId="1" hidden="1">'[1]Table'!#REF!</definedName>
    <definedName name="BEx9GY6BVFQGCLMOWVT6PIC9WP5X" localSheetId="2" hidden="1">'[1]Table'!#REF!</definedName>
    <definedName name="BEx9GY6BVFQGCLMOWVT6PIC9WP5X" hidden="1">'[1]Table'!#REF!</definedName>
    <definedName name="BEx9H04IB14E1437FF2OIRRWBSD7" localSheetId="1" hidden="1">'[1]Table'!#REF!</definedName>
    <definedName name="BEx9H04IB14E1437FF2OIRRWBSD7" localSheetId="2" hidden="1">'[1]Table'!#REF!</definedName>
    <definedName name="BEx9H04IB14E1437FF2OIRRWBSD7" hidden="1">'[1]Table'!#REF!</definedName>
    <definedName name="BEx9JLBYK239B3F841C7YG1GT7ST" localSheetId="1" hidden="1">'[1]Table'!#REF!</definedName>
    <definedName name="BEx9JLBYK239B3F841C7YG1GT7ST" localSheetId="2" hidden="1">'[1]Table'!#REF!</definedName>
    <definedName name="BEx9JLBYK239B3F841C7YG1GT7ST" hidden="1">'[1]Table'!#REF!</definedName>
    <definedName name="BExAW8PKKAU1ST51JMUXE6TDPT3Q" localSheetId="1" hidden="1">'[1]Table'!#REF!</definedName>
    <definedName name="BExAW8PKKAU1ST51JMUXE6TDPT3Q" localSheetId="2" hidden="1">'[1]Table'!#REF!</definedName>
    <definedName name="BExAW8PKKAU1ST51JMUXE6TDPT3Q" hidden="1">'[1]Table'!#REF!</definedName>
    <definedName name="BExAZGUGQNHWJLLGTRWMKC4HGUMD" localSheetId="1" hidden="1">'[2]Table'!#REF!</definedName>
    <definedName name="BExAZGUGQNHWJLLGTRWMKC4HGUMD" localSheetId="2" hidden="1">'[2]Table'!#REF!</definedName>
    <definedName name="BExAZGUGQNHWJLLGTRWMKC4HGUMD" hidden="1">'[2]Table'!#REF!</definedName>
    <definedName name="BExB072HHXVMUC0VYNGG48GRSH5Q" localSheetId="1" hidden="1">'[1]Table'!#REF!</definedName>
    <definedName name="BExB072HHXVMUC0VYNGG48GRSH5Q" localSheetId="2" hidden="1">'[1]Table'!#REF!</definedName>
    <definedName name="BExB072HHXVMUC0VYNGG48GRSH5Q" hidden="1">'[1]Table'!#REF!</definedName>
    <definedName name="BExB1GMD0PIDGTFBGQOPRWQSP9I4" localSheetId="1" hidden="1">'[1]Table'!#REF!</definedName>
    <definedName name="BExB1GMD0PIDGTFBGQOPRWQSP9I4" localSheetId="2" hidden="1">'[1]Table'!#REF!</definedName>
    <definedName name="BExB1GMD0PIDGTFBGQOPRWQSP9I4" hidden="1">'[1]Table'!#REF!</definedName>
    <definedName name="BExB1WI6M8I0EEP1ANUQZCFY24EV" localSheetId="1" hidden="1">'[1]Table'!#REF!</definedName>
    <definedName name="BExB1WI6M8I0EEP1ANUQZCFY24EV" localSheetId="2" hidden="1">'[1]Table'!#REF!</definedName>
    <definedName name="BExB1WI6M8I0EEP1ANUQZCFY24EV" hidden="1">'[1]Table'!#REF!</definedName>
    <definedName name="BExB442RX0T3L6HUL6X5T21CENW6" localSheetId="1" hidden="1">'[1]Table'!#REF!</definedName>
    <definedName name="BExB442RX0T3L6HUL6X5T21CENW6" localSheetId="2" hidden="1">'[1]Table'!#REF!</definedName>
    <definedName name="BExB442RX0T3L6HUL6X5T21CENW6" hidden="1">'[1]Table'!#REF!</definedName>
    <definedName name="BExB5833OAOJ22VK1YK47FHUSVK2" localSheetId="1" hidden="1">'[1]Table'!#REF!</definedName>
    <definedName name="BExB5833OAOJ22VK1YK47FHUSVK2" localSheetId="2" hidden="1">'[1]Table'!#REF!</definedName>
    <definedName name="BExB5833OAOJ22VK1YK47FHUSVK2" hidden="1">'[1]Table'!#REF!</definedName>
    <definedName name="BExB806PAXX70XUTA3ZI7OORD78R" localSheetId="1" hidden="1">'[1]Table'!#REF!</definedName>
    <definedName name="BExB806PAXX70XUTA3ZI7OORD78R" localSheetId="2" hidden="1">'[1]Table'!#REF!</definedName>
    <definedName name="BExB806PAXX70XUTA3ZI7OORD78R" hidden="1">'[1]Table'!#REF!</definedName>
    <definedName name="BExB8U5N0D85YR8APKN3PPKG0FWP" localSheetId="1" hidden="1">'[1]Table'!#REF!</definedName>
    <definedName name="BExB8U5N0D85YR8APKN3PPKG0FWP" localSheetId="2" hidden="1">'[1]Table'!#REF!</definedName>
    <definedName name="BExB8U5N0D85YR8APKN3PPKG0FWP" hidden="1">'[1]Table'!#REF!</definedName>
    <definedName name="BExBBV8XVMD9CKZY711T0BN7H3PM" localSheetId="1" hidden="1">'[1]Table'!#REF!</definedName>
    <definedName name="BExBBV8XVMD9CKZY711T0BN7H3PM" localSheetId="2" hidden="1">'[1]Table'!#REF!</definedName>
    <definedName name="BExBBV8XVMD9CKZY711T0BN7H3PM" hidden="1">'[1]Table'!#REF!</definedName>
    <definedName name="BExBCRBEYR2KZ8FAQFZ2NHY13WIY" localSheetId="1" hidden="1">'[1]Table'!#REF!</definedName>
    <definedName name="BExBCRBEYR2KZ8FAQFZ2NHY13WIY" localSheetId="2" hidden="1">'[1]Table'!#REF!</definedName>
    <definedName name="BExBCRBEYR2KZ8FAQFZ2NHY13WIY" hidden="1">'[1]Table'!#REF!</definedName>
    <definedName name="BExBDJS9TUEU8Z84IV59E5V4T8K6" localSheetId="1" hidden="1">'[1]Table'!#REF!</definedName>
    <definedName name="BExBDJS9TUEU8Z84IV59E5V4T8K6" localSheetId="2" hidden="1">'[1]Table'!#REF!</definedName>
    <definedName name="BExBDJS9TUEU8Z84IV59E5V4T8K6" hidden="1">'[1]Table'!#REF!</definedName>
    <definedName name="BExBDNDQQG5KYZDAQPCYL10479JI" localSheetId="1" hidden="1">'[2]Table'!#REF!</definedName>
    <definedName name="BExBDNDQQG5KYZDAQPCYL10479JI" localSheetId="2" hidden="1">'[2]Table'!#REF!</definedName>
    <definedName name="BExBDNDQQG5KYZDAQPCYL10479JI" hidden="1">'[2]Table'!#REF!</definedName>
    <definedName name="BExBE5YPUY1T7N7DHMMIGGXK8TMP" localSheetId="1" hidden="1">'[1]Table'!#REF!</definedName>
    <definedName name="BExBE5YPUY1T7N7DHMMIGGXK8TMP" localSheetId="2" hidden="1">'[1]Table'!#REF!</definedName>
    <definedName name="BExBE5YPUY1T7N7DHMMIGGXK8TMP" hidden="1">'[1]Table'!#REF!</definedName>
    <definedName name="BExCS7ZPMHFJ4UJDAL8CQOLSZ13B" localSheetId="1" hidden="1">'[1]Table'!#REF!</definedName>
    <definedName name="BExCS7ZPMHFJ4UJDAL8CQOLSZ13B" localSheetId="2" hidden="1">'[1]Table'!#REF!</definedName>
    <definedName name="BExCS7ZPMHFJ4UJDAL8CQOLSZ13B" hidden="1">'[1]Table'!#REF!</definedName>
    <definedName name="BExCT4NSDT61OCH04Y2QIFIOP75H" localSheetId="1" hidden="1">'[1]Table'!#REF!</definedName>
    <definedName name="BExCT4NSDT61OCH04Y2QIFIOP75H" localSheetId="2" hidden="1">'[1]Table'!#REF!</definedName>
    <definedName name="BExCT4NSDT61OCH04Y2QIFIOP75H" hidden="1">'[1]Table'!#REF!</definedName>
    <definedName name="BExCTYS2KX0QANOLT8LGZ9WV3S3T" localSheetId="1" hidden="1">'[1]Table'!#REF!</definedName>
    <definedName name="BExCTYS2KX0QANOLT8LGZ9WV3S3T" localSheetId="2" hidden="1">'[1]Table'!#REF!</definedName>
    <definedName name="BExCTYS2KX0QANOLT8LGZ9WV3S3T" hidden="1">'[1]Table'!#REF!</definedName>
    <definedName name="BExCVHBNLOHNFS0JAV3I1XGPNH9W" localSheetId="1" hidden="1">'[1]Table'!#REF!</definedName>
    <definedName name="BExCVHBNLOHNFS0JAV3I1XGPNH9W" localSheetId="2" hidden="1">'[1]Table'!#REF!</definedName>
    <definedName name="BExCVHBNLOHNFS0JAV3I1XGPNH9W" hidden="1">'[1]Table'!#REF!</definedName>
    <definedName name="BExCVZ5PN4V6MRBZ04PZJW3GEF8S" localSheetId="1" hidden="1">'[1]Table'!#REF!</definedName>
    <definedName name="BExCVZ5PN4V6MRBZ04PZJW3GEF8S" localSheetId="2" hidden="1">'[1]Table'!#REF!</definedName>
    <definedName name="BExCVZ5PN4V6MRBZ04PZJW3GEF8S" hidden="1">'[1]Table'!#REF!</definedName>
    <definedName name="BExCX2KGRZBRVLZNM8SUSIE6A0RL" localSheetId="1" hidden="1">'[1]Table'!#REF!</definedName>
    <definedName name="BExCX2KGRZBRVLZNM8SUSIE6A0RL" localSheetId="2" hidden="1">'[1]Table'!#REF!</definedName>
    <definedName name="BExCX2KGRZBRVLZNM8SUSIE6A0RL" hidden="1">'[1]Table'!#REF!</definedName>
    <definedName name="BExCXQUFBMXQ1650735H48B1AZT3" localSheetId="1" hidden="1">'[1]Table'!#REF!</definedName>
    <definedName name="BExCXQUFBMXQ1650735H48B1AZT3" localSheetId="2" hidden="1">'[1]Table'!#REF!</definedName>
    <definedName name="BExCXQUFBMXQ1650735H48B1AZT3" hidden="1">'[1]Table'!#REF!</definedName>
    <definedName name="BExCYUK0I3UEXZNFDW71G6Z6D8XR" localSheetId="1" hidden="1">'[1]Table'!#REF!</definedName>
    <definedName name="BExCYUK0I3UEXZNFDW71G6Z6D8XR" localSheetId="2" hidden="1">'[1]Table'!#REF!</definedName>
    <definedName name="BExCYUK0I3UEXZNFDW71G6Z6D8XR" hidden="1">'[1]Table'!#REF!</definedName>
    <definedName name="BExD4JJSS3QDBLABCJCHD45SRNPI" localSheetId="1" hidden="1">'[1]Table'!#REF!</definedName>
    <definedName name="BExD4JJSS3QDBLABCJCHD45SRNPI" localSheetId="2" hidden="1">'[1]Table'!#REF!</definedName>
    <definedName name="BExD4JJSS3QDBLABCJCHD45SRNPI" hidden="1">'[1]Table'!#REF!</definedName>
    <definedName name="BExD4R1I0MKF033I5LPUYIMTZ6E8" localSheetId="1" hidden="1">'[1]Table'!#REF!</definedName>
    <definedName name="BExD4R1I0MKF033I5LPUYIMTZ6E8" localSheetId="2" hidden="1">'[1]Table'!#REF!</definedName>
    <definedName name="BExD4R1I0MKF033I5LPUYIMTZ6E8" hidden="1">'[1]Table'!#REF!</definedName>
    <definedName name="BExD623C9LRX18BE0W2V6SZLQUXX" localSheetId="1" hidden="1">'[1]Table'!#REF!</definedName>
    <definedName name="BExD623C9LRX18BE0W2V6SZLQUXX" localSheetId="2" hidden="1">'[1]Table'!#REF!</definedName>
    <definedName name="BExD623C9LRX18BE0W2V6SZLQUXX" hidden="1">'[1]Table'!#REF!</definedName>
    <definedName name="BExD6GMP0LK8WKVWMIT1NNH8CHLF" localSheetId="1" hidden="1">'[1]Table'!#REF!</definedName>
    <definedName name="BExD6GMP0LK8WKVWMIT1NNH8CHLF" localSheetId="2" hidden="1">'[1]Table'!#REF!</definedName>
    <definedName name="BExD6GMP0LK8WKVWMIT1NNH8CHLF" hidden="1">'[1]Table'!#REF!</definedName>
    <definedName name="BExD8OCLZMFN5K3VZYI4Q4ITVKUA" localSheetId="1" hidden="1">'[1]Table'!#REF!</definedName>
    <definedName name="BExD8OCLZMFN5K3VZYI4Q4ITVKUA" localSheetId="2" hidden="1">'[1]Table'!#REF!</definedName>
    <definedName name="BExD8OCLZMFN5K3VZYI4Q4ITVKUA" hidden="1">'[1]Table'!#REF!</definedName>
    <definedName name="BExD9P7OURSYFOYT90T0CUK1YOC2" localSheetId="1" hidden="1">'[2]Table'!#REF!</definedName>
    <definedName name="BExD9P7OURSYFOYT90T0CUK1YOC2" localSheetId="2" hidden="1">'[2]Table'!#REF!</definedName>
    <definedName name="BExD9P7OURSYFOYT90T0CUK1YOC2" hidden="1">'[2]Table'!#REF!</definedName>
    <definedName name="BExEPCHG51CQZ5MGYA8E9KVMDRUJ" localSheetId="1" hidden="1">'[2]Table'!#REF!</definedName>
    <definedName name="BExEPCHG51CQZ5MGYA8E9KVMDRUJ" localSheetId="2" hidden="1">'[2]Table'!#REF!</definedName>
    <definedName name="BExEPCHG51CQZ5MGYA8E9KVMDRUJ" hidden="1">'[2]Table'!#REF!</definedName>
    <definedName name="BExEQB8ZWXO6IIGOEPWTLOJGE2NR" localSheetId="1" hidden="1">'[1]Table'!#REF!</definedName>
    <definedName name="BExEQB8ZWXO6IIGOEPWTLOJGE2NR" localSheetId="2" hidden="1">'[1]Table'!#REF!</definedName>
    <definedName name="BExEQB8ZWXO6IIGOEPWTLOJGE2NR" hidden="1">'[1]Table'!#REF!</definedName>
    <definedName name="BExERSANFNM1O7T65PC5MJ301YET" localSheetId="1" hidden="1">'[1]Table'!#REF!</definedName>
    <definedName name="BExERSANFNM1O7T65PC5MJ301YET" localSheetId="2" hidden="1">'[1]Table'!#REF!</definedName>
    <definedName name="BExERSANFNM1O7T65PC5MJ301YET" hidden="1">'[1]Table'!#REF!</definedName>
    <definedName name="BExERWCEBKQRYWRQLYJ4UCMMKTHG" localSheetId="1" hidden="1">'[3]Table'!#REF!</definedName>
    <definedName name="BExERWCEBKQRYWRQLYJ4UCMMKTHG" localSheetId="2" hidden="1">'[3]Table'!#REF!</definedName>
    <definedName name="BExERWCEBKQRYWRQLYJ4UCMMKTHG" hidden="1">'[3]Table'!#REF!</definedName>
    <definedName name="BExEWNBGQS1U2LW3W84T4LSJ9K00" localSheetId="1" hidden="1">'[1]Table'!#REF!</definedName>
    <definedName name="BExEWNBGQS1U2LW3W84T4LSJ9K00" localSheetId="2" hidden="1">'[1]Table'!#REF!</definedName>
    <definedName name="BExEWNBGQS1U2LW3W84T4LSJ9K00" hidden="1">'[1]Table'!#REF!</definedName>
    <definedName name="BExEX9HWY2G6928ZVVVQF77QCM2C" localSheetId="1" hidden="1">'[1]Table'!#REF!</definedName>
    <definedName name="BExEX9HWY2G6928ZVVVQF77QCM2C" localSheetId="2" hidden="1">'[1]Table'!#REF!</definedName>
    <definedName name="BExEX9HWY2G6928ZVVVQF77QCM2C" hidden="1">'[1]Table'!#REF!</definedName>
    <definedName name="BExF2UQWQFBLFXALZW0V5ZLXEJS8" localSheetId="1" hidden="1">'[1]Table'!#REF!</definedName>
    <definedName name="BExF2UQWQFBLFXALZW0V5ZLXEJS8" localSheetId="2" hidden="1">'[1]Table'!#REF!</definedName>
    <definedName name="BExF2UQWQFBLFXALZW0V5ZLXEJS8" hidden="1">'[1]Table'!#REF!</definedName>
    <definedName name="BExF37C1YKBT79Z9SOJAG5MXQGTU" localSheetId="1" hidden="1">'[1]Table'!#REF!</definedName>
    <definedName name="BExF37C1YKBT79Z9SOJAG5MXQGTU" localSheetId="2" hidden="1">'[1]Table'!#REF!</definedName>
    <definedName name="BExF37C1YKBT79Z9SOJAG5MXQGTU" hidden="1">'[1]Table'!#REF!</definedName>
    <definedName name="BExF4PVMZYV36E8HOYY06J81AMBI" localSheetId="1" hidden="1">'[1]Table'!#REF!</definedName>
    <definedName name="BExF4PVMZYV36E8HOYY06J81AMBI" localSheetId="2" hidden="1">'[1]Table'!#REF!</definedName>
    <definedName name="BExF4PVMZYV36E8HOYY06J81AMBI" hidden="1">'[1]Table'!#REF!</definedName>
    <definedName name="BExF5L72GS9PK2F11EIY8X7N9TH8" localSheetId="1" hidden="1">'[2]Table'!#REF!</definedName>
    <definedName name="BExF5L72GS9PK2F11EIY8X7N9TH8" localSheetId="2" hidden="1">'[2]Table'!#REF!</definedName>
    <definedName name="BExF5L72GS9PK2F11EIY8X7N9TH8" hidden="1">'[2]Table'!#REF!</definedName>
    <definedName name="BExF6RR76KNVIXGJOVFO8GDILKGZ" localSheetId="1" hidden="1">'[1]Table'!#REF!</definedName>
    <definedName name="BExF6RR76KNVIXGJOVFO8GDILKGZ" localSheetId="2" hidden="1">'[1]Table'!#REF!</definedName>
    <definedName name="BExF6RR76KNVIXGJOVFO8GDILKGZ" hidden="1">'[1]Table'!#REF!</definedName>
    <definedName name="BExGLVP1IU8K5A8J1340XFMYPR88" localSheetId="1" hidden="1">'[1]Table'!#REF!</definedName>
    <definedName name="BExGLVP1IU8K5A8J1340XFMYPR88" localSheetId="2" hidden="1">'[1]Table'!#REF!</definedName>
    <definedName name="BExGLVP1IU8K5A8J1340XFMYPR88" hidden="1">'[1]Table'!#REF!</definedName>
    <definedName name="BExGM06V531MEEBCEX0I8L6NEKUH" localSheetId="1" hidden="1">'[2]Table'!#REF!</definedName>
    <definedName name="BExGM06V531MEEBCEX0I8L6NEKUH" localSheetId="2" hidden="1">'[2]Table'!#REF!</definedName>
    <definedName name="BExGM06V531MEEBCEX0I8L6NEKUH" hidden="1">'[2]Table'!#REF!</definedName>
    <definedName name="BExGNN2YQ9BDAZXT2GLCSAPXKIM7" localSheetId="1" hidden="1">'[1]Table'!#REF!</definedName>
    <definedName name="BExGNN2YQ9BDAZXT2GLCSAPXKIM7" localSheetId="2" hidden="1">'[1]Table'!#REF!</definedName>
    <definedName name="BExGNN2YQ9BDAZXT2GLCSAPXKIM7" hidden="1">'[1]Table'!#REF!</definedName>
    <definedName name="BExGO2YUBOVLYHY1QSIHRE1KLAFV" localSheetId="1" hidden="1">'[1]Table'!#REF!</definedName>
    <definedName name="BExGO2YUBOVLYHY1QSIHRE1KLAFV" localSheetId="2" hidden="1">'[1]Table'!#REF!</definedName>
    <definedName name="BExGO2YUBOVLYHY1QSIHRE1KLAFV" hidden="1">'[1]Table'!#REF!</definedName>
    <definedName name="BExGOPQPCWJIYUZZVIJTYDFMMTGD" localSheetId="1" hidden="1">'[1]Table'!#REF!</definedName>
    <definedName name="BExGOPQPCWJIYUZZVIJTYDFMMTGD" localSheetId="2" hidden="1">'[1]Table'!#REF!</definedName>
    <definedName name="BExGOPQPCWJIYUZZVIJTYDFMMTGD" hidden="1">'[1]Table'!#REF!</definedName>
    <definedName name="BExGOT6UXUX5FVTAYL9SOBZ1D0II" localSheetId="1" hidden="1">'[1]Table'!#REF!</definedName>
    <definedName name="BExGOT6UXUX5FVTAYL9SOBZ1D0II" localSheetId="2" hidden="1">'[1]Table'!#REF!</definedName>
    <definedName name="BExGOT6UXUX5FVTAYL9SOBZ1D0II" hidden="1">'[1]Table'!#REF!</definedName>
    <definedName name="BExGPID72Y4Y619LWASUQZKZHJNC" localSheetId="1" hidden="1">'[1]Table'!#REF!</definedName>
    <definedName name="BExGPID72Y4Y619LWASUQZKZHJNC" localSheetId="2" hidden="1">'[1]Table'!#REF!</definedName>
    <definedName name="BExGPID72Y4Y619LWASUQZKZHJNC" hidden="1">'[1]Table'!#REF!</definedName>
    <definedName name="BExGQX0H4EZMXBJTKJJE4ICJWN5O" localSheetId="1" hidden="1">'[1]Table'!#REF!</definedName>
    <definedName name="BExGQX0H4EZMXBJTKJJE4ICJWN5O" localSheetId="2" hidden="1">'[1]Table'!#REF!</definedName>
    <definedName name="BExGQX0H4EZMXBJTKJJE4ICJWN5O" hidden="1">'[1]Table'!#REF!</definedName>
    <definedName name="BExGT0DZJB6LSF6L693UUB9EY1VQ" localSheetId="1" hidden="1">'[1]Table'!#REF!</definedName>
    <definedName name="BExGT0DZJB6LSF6L693UUB9EY1VQ" localSheetId="2" hidden="1">'[1]Table'!#REF!</definedName>
    <definedName name="BExGT0DZJB6LSF6L693UUB9EY1VQ" hidden="1">'[1]Table'!#REF!</definedName>
    <definedName name="BExGTIYX3OWPIINOGY1E4QQYSKHP" localSheetId="1" hidden="1">'[1]Table'!#REF!</definedName>
    <definedName name="BExGTIYX3OWPIINOGY1E4QQYSKHP" localSheetId="2" hidden="1">'[1]Table'!#REF!</definedName>
    <definedName name="BExGTIYX3OWPIINOGY1E4QQYSKHP" hidden="1">'[1]Table'!#REF!</definedName>
    <definedName name="BExGUM8D91UNPCOO4TKP9FGX85TF" localSheetId="1" hidden="1">'[1]Table'!#REF!</definedName>
    <definedName name="BExGUM8D91UNPCOO4TKP9FGX85TF" localSheetId="2" hidden="1">'[1]Table'!#REF!</definedName>
    <definedName name="BExGUM8D91UNPCOO4TKP9FGX85TF" hidden="1">'[1]Table'!#REF!</definedName>
    <definedName name="BExGW2Z7AMPG6H9EXA9ML6EZVGGA" localSheetId="1" hidden="1">'[1]Table'!#REF!</definedName>
    <definedName name="BExGW2Z7AMPG6H9EXA9ML6EZVGGA" localSheetId="2" hidden="1">'[1]Table'!#REF!</definedName>
    <definedName name="BExGW2Z7AMPG6H9EXA9ML6EZVGGA" hidden="1">'[1]Table'!#REF!</definedName>
    <definedName name="BExGWEO0JDG84NYLEAV5NSOAGMJZ" localSheetId="1" hidden="1">'[1]Table'!#REF!</definedName>
    <definedName name="BExGWEO0JDG84NYLEAV5NSOAGMJZ" localSheetId="2" hidden="1">'[1]Table'!#REF!</definedName>
    <definedName name="BExGWEO0JDG84NYLEAV5NSOAGMJZ" hidden="1">'[1]Table'!#REF!</definedName>
    <definedName name="BExGWNCXLCRTLBVMTXYJ5PHQI6SS" localSheetId="1" hidden="1">'[1]Table'!#REF!</definedName>
    <definedName name="BExGWNCXLCRTLBVMTXYJ5PHQI6SS" localSheetId="2" hidden="1">'[1]Table'!#REF!</definedName>
    <definedName name="BExGWNCXLCRTLBVMTXYJ5PHQI6SS" hidden="1">'[1]Table'!#REF!</definedName>
    <definedName name="BExGY6SU3SYVCJ3AG2ITY59SAZ5A" localSheetId="1" hidden="1">'[1]Table'!#REF!</definedName>
    <definedName name="BExGY6SU3SYVCJ3AG2ITY59SAZ5A" localSheetId="2" hidden="1">'[1]Table'!#REF!</definedName>
    <definedName name="BExGY6SU3SYVCJ3AG2ITY59SAZ5A" hidden="1">'[1]Table'!#REF!</definedName>
    <definedName name="BExGZ7NXZ0IBS44C2NZ9VMD6T6K2" localSheetId="1" hidden="1">'[1]Table'!#REF!</definedName>
    <definedName name="BExGZ7NXZ0IBS44C2NZ9VMD6T6K2" localSheetId="2" hidden="1">'[1]Table'!#REF!</definedName>
    <definedName name="BExGZ7NXZ0IBS44C2NZ9VMD6T6K2" hidden="1">'[1]Table'!#REF!</definedName>
    <definedName name="BExH02ZD6VAY1KQLAQYBBI6WWIZB" localSheetId="1" hidden="1">'[1]Table'!#REF!</definedName>
    <definedName name="BExH02ZD6VAY1KQLAQYBBI6WWIZB" localSheetId="2" hidden="1">'[1]Table'!#REF!</definedName>
    <definedName name="BExH02ZD6VAY1KQLAQYBBI6WWIZB" hidden="1">'[1]Table'!#REF!</definedName>
    <definedName name="BExH1FDTQXR9QQ31WDB7OPXU7MPT" localSheetId="1" hidden="1">'[1]Table'!#REF!</definedName>
    <definedName name="BExH1FDTQXR9QQ31WDB7OPXU7MPT" localSheetId="2" hidden="1">'[1]Table'!#REF!</definedName>
    <definedName name="BExH1FDTQXR9QQ31WDB7OPXU7MPT" hidden="1">'[1]Table'!#REF!</definedName>
    <definedName name="BExIJFGZJ5ED9D6KAY4PGQYLELAX" localSheetId="1" hidden="1">'[1]Table'!#REF!</definedName>
    <definedName name="BExIJFGZJ5ED9D6KAY4PGQYLELAX" localSheetId="2" hidden="1">'[1]Table'!#REF!</definedName>
    <definedName name="BExIJFGZJ5ED9D6KAY4PGQYLELAX" hidden="1">'[1]Table'!#REF!</definedName>
    <definedName name="BExIJM7PNEENRQMX909L1JOLB7MG" localSheetId="1" hidden="1">'[1]Table'!#REF!</definedName>
    <definedName name="BExIJM7PNEENRQMX909L1JOLB7MG" localSheetId="2" hidden="1">'[1]Table'!#REF!</definedName>
    <definedName name="BExIJM7PNEENRQMX909L1JOLB7MG" hidden="1">'[1]Table'!#REF!</definedName>
    <definedName name="BExILG5F338C0FFLMVOKMKF8X5ZP" localSheetId="1" hidden="1">'[1]Table'!#REF!</definedName>
    <definedName name="BExILG5F338C0FFLMVOKMKF8X5ZP" localSheetId="2" hidden="1">'[1]Table'!#REF!</definedName>
    <definedName name="BExILG5F338C0FFLMVOKMKF8X5ZP" hidden="1">'[1]Table'!#REF!</definedName>
    <definedName name="BExINLX401ZKEGWU168DS4JUM2J6" localSheetId="1" hidden="1">'[1]Table'!#REF!</definedName>
    <definedName name="BExINLX401ZKEGWU168DS4JUM2J6" localSheetId="2" hidden="1">'[1]Table'!#REF!</definedName>
    <definedName name="BExINLX401ZKEGWU168DS4JUM2J6" hidden="1">'[1]Table'!#REF!</definedName>
    <definedName name="BExIORA3GK78T7C7SNBJJUONJ0LS" localSheetId="1" hidden="1">'[1]Table'!#REF!</definedName>
    <definedName name="BExIORA3GK78T7C7SNBJJUONJ0LS" localSheetId="2" hidden="1">'[1]Table'!#REF!</definedName>
    <definedName name="BExIORA3GK78T7C7SNBJJUONJ0LS" hidden="1">'[1]Table'!#REF!</definedName>
    <definedName name="BExIOTZ5EFZ2NASVQ05RH15HRSW6" localSheetId="1" hidden="1">'[1]Table'!#REF!</definedName>
    <definedName name="BExIOTZ5EFZ2NASVQ05RH15HRSW6" localSheetId="2" hidden="1">'[1]Table'!#REF!</definedName>
    <definedName name="BExIOTZ5EFZ2NASVQ05RH15HRSW6" hidden="1">'[1]Table'!#REF!</definedName>
    <definedName name="BExIQ5S19ITB0NDRUN4XV7B905ED" localSheetId="1" hidden="1">'[1]Table'!#REF!</definedName>
    <definedName name="BExIQ5S19ITB0NDRUN4XV7B905ED" localSheetId="2" hidden="1">'[1]Table'!#REF!</definedName>
    <definedName name="BExIQ5S19ITB0NDRUN4XV7B905ED" hidden="1">'[1]Table'!#REF!</definedName>
    <definedName name="BExIS4T0DRF57HYO7OGG72KBOFOI" localSheetId="1" hidden="1">'[1]Table'!#REF!</definedName>
    <definedName name="BExIS4T0DRF57HYO7OGG72KBOFOI" localSheetId="2" hidden="1">'[1]Table'!#REF!</definedName>
    <definedName name="BExIS4T0DRF57HYO7OGG72KBOFOI" hidden="1">'[1]Table'!#REF!</definedName>
    <definedName name="BExIUUT2MHIOV6R3WHA0DPM1KBKY" localSheetId="1" hidden="1">'[1]Table'!#REF!</definedName>
    <definedName name="BExIUUT2MHIOV6R3WHA0DPM1KBKY" localSheetId="2" hidden="1">'[1]Table'!#REF!</definedName>
    <definedName name="BExIUUT2MHIOV6R3WHA0DPM1KBKY" hidden="1">'[1]Table'!#REF!</definedName>
    <definedName name="BExIV2LM38XPLRTWT0R44TMQ59E5" localSheetId="1" hidden="1">'[1]Table'!#REF!</definedName>
    <definedName name="BExIV2LM38XPLRTWT0R44TMQ59E5" localSheetId="2" hidden="1">'[1]Table'!#REF!</definedName>
    <definedName name="BExIV2LM38XPLRTWT0R44TMQ59E5" hidden="1">'[1]Table'!#REF!</definedName>
    <definedName name="BExIVCXWL6H5LD9DHDIA4F5U9TQL" localSheetId="1" hidden="1">'[1]Table'!#REF!</definedName>
    <definedName name="BExIVCXWL6H5LD9DHDIA4F5U9TQL" localSheetId="2" hidden="1">'[1]Table'!#REF!</definedName>
    <definedName name="BExIVCXWL6H5LD9DHDIA4F5U9TQL" hidden="1">'[1]Table'!#REF!</definedName>
    <definedName name="BExIXBTH4DFW38SCDT9T30V4XJC9" localSheetId="1" hidden="1">'[1]Table'!#REF!</definedName>
    <definedName name="BExIXBTH4DFW38SCDT9T30V4XJC9" localSheetId="2" hidden="1">'[1]Table'!#REF!</definedName>
    <definedName name="BExIXBTH4DFW38SCDT9T30V4XJC9" hidden="1">'[1]Table'!#REF!</definedName>
    <definedName name="BExIYI2RH0K4225XO970K2IQ1E79" localSheetId="1" hidden="1">'[1]Table'!#REF!</definedName>
    <definedName name="BExIYI2RH0K4225XO970K2IQ1E79" localSheetId="2" hidden="1">'[1]Table'!#REF!</definedName>
    <definedName name="BExIYI2RH0K4225XO970K2IQ1E79" hidden="1">'[1]Table'!#REF!</definedName>
    <definedName name="BExIZ4K0EZJK6PW3L8SVKTJFSWW9" localSheetId="1" hidden="1">'[1]Table'!#REF!</definedName>
    <definedName name="BExIZ4K0EZJK6PW3L8SVKTJFSWW9" localSheetId="2" hidden="1">'[1]Table'!#REF!</definedName>
    <definedName name="BExIZ4K0EZJK6PW3L8SVKTJFSWW9" hidden="1">'[1]Table'!#REF!</definedName>
    <definedName name="BExIZY2PUZ0OF9YKK1B13IW0VS6G" localSheetId="1" hidden="1">'[1]Table'!#REF!</definedName>
    <definedName name="BExIZY2PUZ0OF9YKK1B13IW0VS6G" localSheetId="2" hidden="1">'[1]Table'!#REF!</definedName>
    <definedName name="BExIZY2PUZ0OF9YKK1B13IW0VS6G" hidden="1">'[1]Table'!#REF!</definedName>
    <definedName name="BExJ0DYJWXGE7DA39PYL3WM05U9O" localSheetId="1" hidden="1">'[1]Table'!#REF!</definedName>
    <definedName name="BExJ0DYJWXGE7DA39PYL3WM05U9O" localSheetId="2" hidden="1">'[1]Table'!#REF!</definedName>
    <definedName name="BExJ0DYJWXGE7DA39PYL3WM05U9O" hidden="1">'[1]Table'!#REF!</definedName>
    <definedName name="BExKFZQGXWMAIDUD3M5XSFYZY3BD" localSheetId="1" hidden="1">'[1]Table'!#REF!</definedName>
    <definedName name="BExKFZQGXWMAIDUD3M5XSFYZY3BD" localSheetId="2" hidden="1">'[1]Table'!#REF!</definedName>
    <definedName name="BExKFZQGXWMAIDUD3M5XSFYZY3BD" hidden="1">'[1]Table'!#REF!</definedName>
    <definedName name="BExKI4076KXCDE5KXL79KT36OKLO" localSheetId="1" hidden="1">'[1]Table'!#REF!</definedName>
    <definedName name="BExKI4076KXCDE5KXL79KT36OKLO" localSheetId="2" hidden="1">'[1]Table'!#REF!</definedName>
    <definedName name="BExKI4076KXCDE5KXL79KT36OKLO" hidden="1">'[1]Table'!#REF!</definedName>
    <definedName name="BExKINSBB6RS7I489QHMCOMU4Z2X" localSheetId="1" hidden="1">'[1]Table'!#REF!</definedName>
    <definedName name="BExKINSBB6RS7I489QHMCOMU4Z2X" localSheetId="2" hidden="1">'[1]Table'!#REF!</definedName>
    <definedName name="BExKINSBB6RS7I489QHMCOMU4Z2X" hidden="1">'[1]Table'!#REF!</definedName>
    <definedName name="BExKN6IQWOSE5S6O9N4ZB7X0AS3M" localSheetId="1" hidden="1">'[2]Table'!#REF!</definedName>
    <definedName name="BExKN6IQWOSE5S6O9N4ZB7X0AS3M" localSheetId="2" hidden="1">'[2]Table'!#REF!</definedName>
    <definedName name="BExKN6IQWOSE5S6O9N4ZB7X0AS3M" hidden="1">'[2]Table'!#REF!</definedName>
    <definedName name="BExKNSP6Z2JTTT1ZT5CNHIO79MAJ" localSheetId="1" hidden="1">'[2]Table'!#REF!</definedName>
    <definedName name="BExKNSP6Z2JTTT1ZT5CNHIO79MAJ" localSheetId="2" hidden="1">'[2]Table'!#REF!</definedName>
    <definedName name="BExKNSP6Z2JTTT1ZT5CNHIO79MAJ" hidden="1">'[2]Table'!#REF!</definedName>
    <definedName name="BExKNZLD7UATC1MYRNJD8H2NH4KU" localSheetId="1" hidden="1">'[1]Table'!#REF!</definedName>
    <definedName name="BExKNZLD7UATC1MYRNJD8H2NH4KU" localSheetId="2" hidden="1">'[1]Table'!#REF!</definedName>
    <definedName name="BExKNZLD7UATC1MYRNJD8H2NH4KU" hidden="1">'[1]Table'!#REF!</definedName>
    <definedName name="BExKPLQJX0HJ8OTXBXH9IC9J2V0W" localSheetId="1" hidden="1">'[1]Table'!#REF!</definedName>
    <definedName name="BExKPLQJX0HJ8OTXBXH9IC9J2V0W" localSheetId="2" hidden="1">'[1]Table'!#REF!</definedName>
    <definedName name="BExKPLQJX0HJ8OTXBXH9IC9J2V0W" hidden="1">'[1]Table'!#REF!</definedName>
    <definedName name="BExKQJGAAWNM3NT19E9I0CQDBTU0" localSheetId="1" hidden="1">'[1]Table'!#REF!</definedName>
    <definedName name="BExKQJGAAWNM3NT19E9I0CQDBTU0" localSheetId="2" hidden="1">'[1]Table'!#REF!</definedName>
    <definedName name="BExKQJGAAWNM3NT19E9I0CQDBTU0" hidden="1">'[1]Table'!#REF!</definedName>
    <definedName name="BExKR8RZSEHW184G0Z56B4EGNU72" localSheetId="1" hidden="1">'[1]Table'!#REF!</definedName>
    <definedName name="BExKR8RZSEHW184G0Z56B4EGNU72" localSheetId="2" hidden="1">'[1]Table'!#REF!</definedName>
    <definedName name="BExKR8RZSEHW184G0Z56B4EGNU72" hidden="1">'[1]Table'!#REF!</definedName>
    <definedName name="BExKSU0MKNAVZYYPKCYTZDWQX4R8" localSheetId="1" hidden="1">'[1]Table'!#REF!</definedName>
    <definedName name="BExKSU0MKNAVZYYPKCYTZDWQX4R8" localSheetId="2" hidden="1">'[1]Table'!#REF!</definedName>
    <definedName name="BExKSU0MKNAVZYYPKCYTZDWQX4R8" hidden="1">'[1]Table'!#REF!</definedName>
    <definedName name="BExM9OG182RP30MY23PG49LVPZ1C" localSheetId="1" hidden="1">'[1]Table'!#REF!</definedName>
    <definedName name="BExM9OG182RP30MY23PG49LVPZ1C" localSheetId="2" hidden="1">'[1]Table'!#REF!</definedName>
    <definedName name="BExM9OG182RP30MY23PG49LVPZ1C" hidden="1">'[1]Table'!#REF!</definedName>
    <definedName name="BExMA8TQU9G70S2XW5RT7C6TAF7O" localSheetId="1" hidden="1">'[2]Table'!#REF!</definedName>
    <definedName name="BExMA8TQU9G70S2XW5RT7C6TAF7O" localSheetId="2" hidden="1">'[2]Table'!#REF!</definedName>
    <definedName name="BExMA8TQU9G70S2XW5RT7C6TAF7O" hidden="1">'[2]Table'!#REF!</definedName>
    <definedName name="BExMAR3XSK6RSFLHP7ZX1EWGHASI" localSheetId="1" hidden="1">'[1]Table'!#REF!</definedName>
    <definedName name="BExMAR3XSK6RSFLHP7ZX1EWGHASI" localSheetId="2" hidden="1">'[1]Table'!#REF!</definedName>
    <definedName name="BExMAR3XSK6RSFLHP7ZX1EWGHASI" hidden="1">'[1]Table'!#REF!</definedName>
    <definedName name="BExMB4QRS0R3MTB4CMUHFZ84LNZQ" localSheetId="1" hidden="1">'[1]Table'!#REF!</definedName>
    <definedName name="BExMB4QRS0R3MTB4CMUHFZ84LNZQ" localSheetId="2" hidden="1">'[1]Table'!#REF!</definedName>
    <definedName name="BExMB4QRS0R3MTB4CMUHFZ84LNZQ" hidden="1">'[1]Table'!#REF!</definedName>
    <definedName name="BExMBFTZV4Q1A5KG25C1N9PHQNSW" localSheetId="1" hidden="1">'[1]Table'!#REF!</definedName>
    <definedName name="BExMBFTZV4Q1A5KG25C1N9PHQNSW" localSheetId="2" hidden="1">'[1]Table'!#REF!</definedName>
    <definedName name="BExMBFTZV4Q1A5KG25C1N9PHQNSW" hidden="1">'[1]Table'!#REF!</definedName>
    <definedName name="BExMBYPQDG9AYDQ5E8IECVFREPO6" localSheetId="1" hidden="1">'[3]Table'!#REF!</definedName>
    <definedName name="BExMBYPQDG9AYDQ5E8IECVFREPO6" localSheetId="2" hidden="1">'[3]Table'!#REF!</definedName>
    <definedName name="BExMBYPQDG9AYDQ5E8IECVFREPO6" hidden="1">'[3]Table'!#REF!</definedName>
    <definedName name="BExMCA96YR10V72G2R0SCIKPZLIZ" localSheetId="1" hidden="1">'[1]Table'!#REF!</definedName>
    <definedName name="BExMCA96YR10V72G2R0SCIKPZLIZ" localSheetId="2" hidden="1">'[1]Table'!#REF!</definedName>
    <definedName name="BExMCA96YR10V72G2R0SCIKPZLIZ" hidden="1">'[1]Table'!#REF!</definedName>
    <definedName name="BExMCIHT5U38JQAJ0URM3OAG60M4" localSheetId="1" hidden="1">'[1]Table'!#REF!</definedName>
    <definedName name="BExMCIHT5U38JQAJ0URM3OAG60M4" localSheetId="2" hidden="1">'[1]Table'!#REF!</definedName>
    <definedName name="BExMCIHT5U38JQAJ0URM3OAG60M4" hidden="1">'[1]Table'!#REF!</definedName>
    <definedName name="BExME2U47N8LZG0BPJ49ANY5QVV2" localSheetId="1" hidden="1">'[1]Table'!#REF!</definedName>
    <definedName name="BExME2U47N8LZG0BPJ49ANY5QVV2" localSheetId="2" hidden="1">'[1]Table'!#REF!</definedName>
    <definedName name="BExME2U47N8LZG0BPJ49ANY5QVV2" hidden="1">'[1]Table'!#REF!</definedName>
    <definedName name="BExME88DH5DUKMUFI9FNVECXFD2E" localSheetId="1" hidden="1">'[1]Table'!#REF!</definedName>
    <definedName name="BExME88DH5DUKMUFI9FNVECXFD2E" localSheetId="2" hidden="1">'[1]Table'!#REF!</definedName>
    <definedName name="BExME88DH5DUKMUFI9FNVECXFD2E" hidden="1">'[1]Table'!#REF!</definedName>
    <definedName name="BExMHOWPB34KPZ76M2KIX2C9R2VB" localSheetId="1" hidden="1">'[1]Table'!#REF!</definedName>
    <definedName name="BExMHOWPB34KPZ76M2KIX2C9R2VB" localSheetId="2" hidden="1">'[1]Table'!#REF!</definedName>
    <definedName name="BExMHOWPB34KPZ76M2KIX2C9R2VB" hidden="1">'[1]Table'!#REF!</definedName>
    <definedName name="BExMI057LQD5NT1JYD55LG3NHDA5" localSheetId="1" hidden="1">'[2]Table'!#REF!</definedName>
    <definedName name="BExMI057LQD5NT1JYD55LG3NHDA5" localSheetId="2" hidden="1">'[2]Table'!#REF!</definedName>
    <definedName name="BExMI057LQD5NT1JYD55LG3NHDA5" hidden="1">'[2]Table'!#REF!</definedName>
    <definedName name="BExMI9QH0JWFX4WBZBEE5X1PLIXI" localSheetId="1" hidden="1">'[1]Table'!#REF!</definedName>
    <definedName name="BExMI9QH0JWFX4WBZBEE5X1PLIXI" localSheetId="2" hidden="1">'[1]Table'!#REF!</definedName>
    <definedName name="BExMI9QH0JWFX4WBZBEE5X1PLIXI" hidden="1">'[1]Table'!#REF!</definedName>
    <definedName name="BExMIBOOZU40JS3F89OMPSRCE9MM" localSheetId="1" hidden="1">'[1]Table'!#REF!</definedName>
    <definedName name="BExMIBOOZU40JS3F89OMPSRCE9MM" localSheetId="2" hidden="1">'[1]Table'!#REF!</definedName>
    <definedName name="BExMIBOOZU40JS3F89OMPSRCE9MM" hidden="1">'[1]Table'!#REF!</definedName>
    <definedName name="BExMIV0KC8555D5E42ZGWG15Y0MO" localSheetId="1" hidden="1">'[1]Table'!#REF!</definedName>
    <definedName name="BExMIV0KC8555D5E42ZGWG15Y0MO" localSheetId="2" hidden="1">'[1]Table'!#REF!</definedName>
    <definedName name="BExMIV0KC8555D5E42ZGWG15Y0MO" hidden="1">'[1]Table'!#REF!</definedName>
    <definedName name="BExMKUN3WPECJR2XRID2R7GZRGNX" localSheetId="1" hidden="1">'[1]Table'!#REF!</definedName>
    <definedName name="BExMKUN3WPECJR2XRID2R7GZRGNX" localSheetId="2" hidden="1">'[1]Table'!#REF!</definedName>
    <definedName name="BExMKUN3WPECJR2XRID2R7GZRGNX" hidden="1">'[1]Table'!#REF!</definedName>
    <definedName name="BExMLVI7UORSHM9FMO8S2EI0TMTS" localSheetId="1" hidden="1">'[1]Table'!#REF!</definedName>
    <definedName name="BExMLVI7UORSHM9FMO8S2EI0TMTS" localSheetId="2" hidden="1">'[1]Table'!#REF!</definedName>
    <definedName name="BExMLVI7UORSHM9FMO8S2EI0TMTS" hidden="1">'[1]Table'!#REF!</definedName>
    <definedName name="BExMM5UCOT2HSSN0ZIPZW55GSOVO" localSheetId="1" hidden="1">'[1]Table'!#REF!</definedName>
    <definedName name="BExMM5UCOT2HSSN0ZIPZW55GSOVO" localSheetId="2" hidden="1">'[1]Table'!#REF!</definedName>
    <definedName name="BExMM5UCOT2HSSN0ZIPZW55GSOVO" hidden="1">'[1]Table'!#REF!</definedName>
    <definedName name="BExMNRORKSO28FO9TMB7N1B3MTZ3" localSheetId="1" hidden="1">'[1]Table'!#REF!</definedName>
    <definedName name="BExMNRORKSO28FO9TMB7N1B3MTZ3" localSheetId="2" hidden="1">'[1]Table'!#REF!</definedName>
    <definedName name="BExMNRORKSO28FO9TMB7N1B3MTZ3" hidden="1">'[1]Table'!#REF!</definedName>
    <definedName name="BExMPOBH04JMDO6Z8DMSEJZM4ANN" localSheetId="1" hidden="1">'[1]Table'!#REF!</definedName>
    <definedName name="BExMPOBH04JMDO6Z8DMSEJZM4ANN" localSheetId="2" hidden="1">'[1]Table'!#REF!</definedName>
    <definedName name="BExMPOBH04JMDO6Z8DMSEJZM4ANN" hidden="1">'[1]Table'!#REF!</definedName>
    <definedName name="BExMPSD77XQ3HA6A4FZOJK8G2JP3" localSheetId="1" hidden="1">'[1]Table'!#REF!</definedName>
    <definedName name="BExMPSD77XQ3HA6A4FZOJK8G2JP3" localSheetId="2" hidden="1">'[1]Table'!#REF!</definedName>
    <definedName name="BExMPSD77XQ3HA6A4FZOJK8G2JP3" hidden="1">'[1]Table'!#REF!</definedName>
    <definedName name="BExMQ71WHW50GVX45JU951AGPLFQ" localSheetId="1" hidden="1">'[1]Table'!#REF!</definedName>
    <definedName name="BExMQ71WHW50GVX45JU951AGPLFQ" localSheetId="2" hidden="1">'[1]Table'!#REF!</definedName>
    <definedName name="BExMQ71WHW50GVX45JU951AGPLFQ" hidden="1">'[1]Table'!#REF!</definedName>
    <definedName name="BExMRU3ACIU0RD2BNWO55LH5U2BR" localSheetId="1" hidden="1">'[1]Table'!#REF!</definedName>
    <definedName name="BExMRU3ACIU0RD2BNWO55LH5U2BR" localSheetId="2" hidden="1">'[1]Table'!#REF!</definedName>
    <definedName name="BExMRU3ACIU0RD2BNWO55LH5U2BR" hidden="1">'[1]Table'!#REF!</definedName>
    <definedName name="BExO937E20IHMGQOZMECL3VZC7OX" localSheetId="1" hidden="1">'[1]Table'!#REF!</definedName>
    <definedName name="BExO937E20IHMGQOZMECL3VZC7OX" localSheetId="2" hidden="1">'[1]Table'!#REF!</definedName>
    <definedName name="BExO937E20IHMGQOZMECL3VZC7OX" hidden="1">'[1]Table'!#REF!</definedName>
    <definedName name="BExO9SDRI1M6KMHXSG3AE5L0F2U3" localSheetId="1" hidden="1">'[1]Table'!#REF!</definedName>
    <definedName name="BExO9SDRI1M6KMHXSG3AE5L0F2U3" localSheetId="2" hidden="1">'[1]Table'!#REF!</definedName>
    <definedName name="BExO9SDRI1M6KMHXSG3AE5L0F2U3" hidden="1">'[1]Table'!#REF!</definedName>
    <definedName name="BExO9Z9W1D46BGEI2OSOEXBI9XOX" localSheetId="1" hidden="1">'[2]Table'!#REF!</definedName>
    <definedName name="BExO9Z9W1D46BGEI2OSOEXBI9XOX" localSheetId="2" hidden="1">'[2]Table'!#REF!</definedName>
    <definedName name="BExO9Z9W1D46BGEI2OSOEXBI9XOX" hidden="1">'[2]Table'!#REF!</definedName>
    <definedName name="BExOBEZ0IE2WBEYY3D3CMRI72N1K" localSheetId="1" hidden="1">'[1]Table'!#REF!</definedName>
    <definedName name="BExOBEZ0IE2WBEYY3D3CMRI72N1K" localSheetId="2" hidden="1">'[1]Table'!#REF!</definedName>
    <definedName name="BExOBEZ0IE2WBEYY3D3CMRI72N1K" hidden="1">'[1]Table'!#REF!</definedName>
    <definedName name="BExOFVLXVD6RVHSQO8KZOOACSV24" localSheetId="1" hidden="1">'[1]Table'!#REF!</definedName>
    <definedName name="BExOFVLXVD6RVHSQO8KZOOACSV24" localSheetId="2" hidden="1">'[1]Table'!#REF!</definedName>
    <definedName name="BExOFVLXVD6RVHSQO8KZOOACSV24" hidden="1">'[1]Table'!#REF!</definedName>
    <definedName name="BExOHL75H3OT4WAKKPUXIVXWFVDS" localSheetId="1" hidden="1">'[1]Table'!#REF!</definedName>
    <definedName name="BExOHL75H3OT4WAKKPUXIVXWFVDS" localSheetId="2" hidden="1">'[1]Table'!#REF!</definedName>
    <definedName name="BExOHL75H3OT4WAKKPUXIVXWFVDS" hidden="1">'[1]Table'!#REF!</definedName>
    <definedName name="BExOHLHXXJL6363CC082M9M5VVXQ" localSheetId="1" hidden="1">'[1]Table'!#REF!</definedName>
    <definedName name="BExOHLHXXJL6363CC082M9M5VVXQ" localSheetId="2" hidden="1">'[1]Table'!#REF!</definedName>
    <definedName name="BExOHLHXXJL6363CC082M9M5VVXQ" hidden="1">'[1]Table'!#REF!</definedName>
    <definedName name="BExOLICXFHJLILCJVFMJE5MGGWKR" localSheetId="1" hidden="1">'[1]Table'!#REF!</definedName>
    <definedName name="BExOLICXFHJLILCJVFMJE5MGGWKR" localSheetId="2" hidden="1">'[1]Table'!#REF!</definedName>
    <definedName name="BExOLICXFHJLILCJVFMJE5MGGWKR" hidden="1">'[1]Table'!#REF!</definedName>
    <definedName name="BExONB3A7CO4YD8RB41PHC93BQ9M" localSheetId="1" hidden="1">'[1]Table'!#REF!</definedName>
    <definedName name="BExONB3A7CO4YD8RB41PHC93BQ9M" localSheetId="2" hidden="1">'[1]Table'!#REF!</definedName>
    <definedName name="BExONB3A7CO4YD8RB41PHC93BQ9M" hidden="1">'[1]Table'!#REF!</definedName>
    <definedName name="BExOPFNYRBL0BFM23LZBJTADNOE4" localSheetId="1" hidden="1">'[1]Table'!#REF!</definedName>
    <definedName name="BExOPFNYRBL0BFM23LZBJTADNOE4" localSheetId="2" hidden="1">'[1]Table'!#REF!</definedName>
    <definedName name="BExOPFNYRBL0BFM23LZBJTADNOE4" hidden="1">'[1]Table'!#REF!</definedName>
    <definedName name="BExQ3D1P3M5Z3HLMEZ17E0BLEE4U" localSheetId="1" hidden="1">'[1]Table'!#REF!</definedName>
    <definedName name="BExQ3D1P3M5Z3HLMEZ17E0BLEE4U" localSheetId="2" hidden="1">'[1]Table'!#REF!</definedName>
    <definedName name="BExQ3D1P3M5Z3HLMEZ17E0BLEE4U" hidden="1">'[1]Table'!#REF!</definedName>
    <definedName name="BExQ42IU9MNDYLODP41DL6YTZMAR" localSheetId="1" hidden="1">'[1]Table'!#REF!</definedName>
    <definedName name="BExQ42IU9MNDYLODP41DL6YTZMAR" localSheetId="2" hidden="1">'[1]Table'!#REF!</definedName>
    <definedName name="BExQ42IU9MNDYLODP41DL6YTZMAR" hidden="1">'[1]Table'!#REF!</definedName>
    <definedName name="BExQ4Q1PSM6VRR9I8GIELILNC8G1" localSheetId="1" hidden="1">'[1]Table'!#REF!</definedName>
    <definedName name="BExQ4Q1PSM6VRR9I8GIELILNC8G1" localSheetId="2" hidden="1">'[1]Table'!#REF!</definedName>
    <definedName name="BExQ4Q1PSM6VRR9I8GIELILNC8G1" hidden="1">'[1]Table'!#REF!</definedName>
    <definedName name="BExQ5SPMSOCJYLAY20NB5A6O32RE" localSheetId="1" hidden="1">'[1]Table'!#REF!</definedName>
    <definedName name="BExQ5SPMSOCJYLAY20NB5A6O32RE" localSheetId="2" hidden="1">'[1]Table'!#REF!</definedName>
    <definedName name="BExQ5SPMSOCJYLAY20NB5A6O32RE" hidden="1">'[1]Table'!#REF!</definedName>
    <definedName name="BExQ6M8B0X44N9TV56ATUVHGDI00" localSheetId="1" hidden="1">'[1]Table'!#REF!</definedName>
    <definedName name="BExQ6M8B0X44N9TV56ATUVHGDI00" localSheetId="2" hidden="1">'[1]Table'!#REF!</definedName>
    <definedName name="BExQ6M8B0X44N9TV56ATUVHGDI00" hidden="1">'[1]Table'!#REF!</definedName>
    <definedName name="BExQ7MY3U2Z1IZ71U5LJUD00VVB4" localSheetId="1" hidden="1">'[1]Table'!#REF!</definedName>
    <definedName name="BExQ7MY3U2Z1IZ71U5LJUD00VVB4" localSheetId="2" hidden="1">'[1]Table'!#REF!</definedName>
    <definedName name="BExQ7MY3U2Z1IZ71U5LJUD00VVB4" hidden="1">'[1]Table'!#REF!</definedName>
    <definedName name="BExQ84MJB94HL3BWRN50M4NCB6Z0" localSheetId="1" hidden="1">'[1]Table'!#REF!</definedName>
    <definedName name="BExQ84MJB94HL3BWRN50M4NCB6Z0" localSheetId="2" hidden="1">'[1]Table'!#REF!</definedName>
    <definedName name="BExQ84MJB94HL3BWRN50M4NCB6Z0" hidden="1">'[1]Table'!#REF!</definedName>
    <definedName name="BExQ8583ZE00NW7T9OF11OT9IA14" localSheetId="1" hidden="1">'[1]Table'!#REF!</definedName>
    <definedName name="BExQ8583ZE00NW7T9OF11OT9IA14" localSheetId="2" hidden="1">'[1]Table'!#REF!</definedName>
    <definedName name="BExQ8583ZE00NW7T9OF11OT9IA14" hidden="1">'[1]Table'!#REF!</definedName>
    <definedName name="BExQ8DM90XJ6GCJIK9LC5O82I2TJ" localSheetId="1" hidden="1">'[1]Table'!#REF!</definedName>
    <definedName name="BExQ8DM90XJ6GCJIK9LC5O82I2TJ" localSheetId="2" hidden="1">'[1]Table'!#REF!</definedName>
    <definedName name="BExQ8DM90XJ6GCJIK9LC5O82I2TJ" hidden="1">'[1]Table'!#REF!</definedName>
    <definedName name="BExQ8O3WEU8HNTTGKTW5T0QSKCLP" localSheetId="1" hidden="1">'[3]Table'!#REF!</definedName>
    <definedName name="BExQ8O3WEU8HNTTGKTW5T0QSKCLP" localSheetId="2" hidden="1">'[3]Table'!#REF!</definedName>
    <definedName name="BExQ8O3WEU8HNTTGKTW5T0QSKCLP" hidden="1">'[3]Table'!#REF!</definedName>
    <definedName name="BExQ9ZLYHWABXAA9NJDW8ZS0UQ9P" localSheetId="1" hidden="1">'[3]Table'!#REF!</definedName>
    <definedName name="BExQ9ZLYHWABXAA9NJDW8ZS0UQ9P" localSheetId="2" hidden="1">'[3]Table'!#REF!</definedName>
    <definedName name="BExQ9ZLYHWABXAA9NJDW8ZS0UQ9P" hidden="1">'[3]Table'!#REF!</definedName>
    <definedName name="BExQA324HSCK40ENJUT9CS9EC71B" localSheetId="1" hidden="1">'[1]Table'!#REF!</definedName>
    <definedName name="BExQA324HSCK40ENJUT9CS9EC71B" localSheetId="2" hidden="1">'[1]Table'!#REF!</definedName>
    <definedName name="BExQA324HSCK40ENJUT9CS9EC71B" hidden="1">'[1]Table'!#REF!</definedName>
    <definedName name="BExQAG8PP8R5NJKNQD1U4QOSD6X5" localSheetId="1" hidden="1">'[1]Table'!#REF!</definedName>
    <definedName name="BExQAG8PP8R5NJKNQD1U4QOSD6X5" localSheetId="2" hidden="1">'[1]Table'!#REF!</definedName>
    <definedName name="BExQAG8PP8R5NJKNQD1U4QOSD6X5" hidden="1">'[1]Table'!#REF!</definedName>
    <definedName name="BExQBJI68WDPBZSDY2IEW5SD50TR" localSheetId="1" hidden="1">'[1]Table'!#REF!</definedName>
    <definedName name="BExQBJI68WDPBZSDY2IEW5SD50TR" localSheetId="2" hidden="1">'[1]Table'!#REF!</definedName>
    <definedName name="BExQBJI68WDPBZSDY2IEW5SD50TR" hidden="1">'[1]Table'!#REF!</definedName>
    <definedName name="BExQEMUA4HEFM4OVO8M8MA8PIAW1" localSheetId="1" hidden="1">'[1]Table'!#REF!</definedName>
    <definedName name="BExQEMUA4HEFM4OVO8M8MA8PIAW1" localSheetId="2" hidden="1">'[1]Table'!#REF!</definedName>
    <definedName name="BExQEMUA4HEFM4OVO8M8MA8PIAW1" hidden="1">'[1]Table'!#REF!</definedName>
    <definedName name="BExQFEEV7627R8TYZCM28C6V6WHE" localSheetId="1" hidden="1">'[1]Table'!#REF!</definedName>
    <definedName name="BExQFEEV7627R8TYZCM28C6V6WHE" localSheetId="2" hidden="1">'[1]Table'!#REF!</definedName>
    <definedName name="BExQFEEV7627R8TYZCM28C6V6WHE" hidden="1">'[1]Table'!#REF!</definedName>
    <definedName name="BExQFEK8NUD04X2OBRA275ADPSDL" localSheetId="1" hidden="1">'[1]Table'!#REF!</definedName>
    <definedName name="BExQFEK8NUD04X2OBRA275ADPSDL" localSheetId="2" hidden="1">'[1]Table'!#REF!</definedName>
    <definedName name="BExQFEK8NUD04X2OBRA275ADPSDL" hidden="1">'[1]Table'!#REF!</definedName>
    <definedName name="BExQH9P2MCXAJOVEO4GFQT6MNW22" localSheetId="1" hidden="1">'[1]Table'!#REF!</definedName>
    <definedName name="BExQH9P2MCXAJOVEO4GFQT6MNW22" localSheetId="2" hidden="1">'[1]Table'!#REF!</definedName>
    <definedName name="BExQH9P2MCXAJOVEO4GFQT6MNW22" hidden="1">'[1]Table'!#REF!</definedName>
    <definedName name="BExQIS8O6R36CI01XRY9ISM99TW9" localSheetId="1" hidden="1">'[1]Table'!#REF!</definedName>
    <definedName name="BExQIS8O6R36CI01XRY9ISM99TW9" localSheetId="2" hidden="1">'[1]Table'!#REF!</definedName>
    <definedName name="BExQIS8O6R36CI01XRY9ISM99TW9" hidden="1">'[1]Table'!#REF!</definedName>
    <definedName name="BExS5DRER9US6NXY9ATYT41KZII3" localSheetId="1" hidden="1">'[1]Table'!#REF!</definedName>
    <definedName name="BExS5DRER9US6NXY9ATYT41KZII3" localSheetId="2" hidden="1">'[1]Table'!#REF!</definedName>
    <definedName name="BExS5DRER9US6NXY9ATYT41KZII3" hidden="1">'[1]Table'!#REF!</definedName>
    <definedName name="BExS81TE0EY44Y3W2M4Z4MGNP5OM" localSheetId="1" hidden="1">'[1]Table'!#REF!</definedName>
    <definedName name="BExS81TE0EY44Y3W2M4Z4MGNP5OM" localSheetId="2" hidden="1">'[1]Table'!#REF!</definedName>
    <definedName name="BExS81TE0EY44Y3W2M4Z4MGNP5OM" hidden="1">'[1]Table'!#REF!</definedName>
    <definedName name="BExS8R51C8RM2FS6V6IRTYO9GA4A" localSheetId="1" hidden="1">'[1]Table'!#REF!</definedName>
    <definedName name="BExS8R51C8RM2FS6V6IRTYO9GA4A" localSheetId="2" hidden="1">'[1]Table'!#REF!</definedName>
    <definedName name="BExS8R51C8RM2FS6V6IRTYO9GA4A" hidden="1">'[1]Table'!#REF!</definedName>
    <definedName name="BExSI0K2YL3HTCQAD8A7TR4QCUR6" localSheetId="1" hidden="1">'[1]Table'!#REF!</definedName>
    <definedName name="BExSI0K2YL3HTCQAD8A7TR4QCUR6" localSheetId="2" hidden="1">'[1]Table'!#REF!</definedName>
    <definedName name="BExSI0K2YL3HTCQAD8A7TR4QCUR6" hidden="1">'[1]Table'!#REF!</definedName>
    <definedName name="BExTU75IOII1V5O0C9X2VAYYVJUG" localSheetId="1" hidden="1">'[1]Table'!#REF!</definedName>
    <definedName name="BExTU75IOII1V5O0C9X2VAYYVJUG" localSheetId="2" hidden="1">'[1]Table'!#REF!</definedName>
    <definedName name="BExTU75IOII1V5O0C9X2VAYYVJUG" hidden="1">'[1]Table'!#REF!</definedName>
    <definedName name="BExTUWXFQHINU66YG82BI20ATMB5" localSheetId="1" hidden="1">'[1]Table'!#REF!</definedName>
    <definedName name="BExTUWXFQHINU66YG82BI20ATMB5" localSheetId="2" hidden="1">'[1]Table'!#REF!</definedName>
    <definedName name="BExTUWXFQHINU66YG82BI20ATMB5" hidden="1">'[1]Table'!#REF!</definedName>
    <definedName name="BExTUY9WNSJ91GV8CP0SKJTEIV82" localSheetId="1" hidden="1">'[3]Table'!#REF!</definedName>
    <definedName name="BExTUY9WNSJ91GV8CP0SKJTEIV82" localSheetId="2" hidden="1">'[3]Table'!#REF!</definedName>
    <definedName name="BExTUY9WNSJ91GV8CP0SKJTEIV82" hidden="1">'[3]Table'!#REF!</definedName>
    <definedName name="BExTV67VIM8PV6KO253M4DUBJQLC" localSheetId="1" hidden="1">'[1]Table'!#REF!</definedName>
    <definedName name="BExTV67VIM8PV6KO253M4DUBJQLC" localSheetId="2" hidden="1">'[1]Table'!#REF!</definedName>
    <definedName name="BExTV67VIM8PV6KO253M4DUBJQLC" hidden="1">'[1]Table'!#REF!</definedName>
    <definedName name="BExTVELZCF2YA5L6F23BYZZR6WHF" localSheetId="1" hidden="1">'[1]Table'!#REF!</definedName>
    <definedName name="BExTVELZCF2YA5L6F23BYZZR6WHF" localSheetId="2" hidden="1">'[1]Table'!#REF!</definedName>
    <definedName name="BExTVELZCF2YA5L6F23BYZZR6WHF" hidden="1">'[1]Table'!#REF!</definedName>
    <definedName name="BExTWB4LA1PODQOH4LDTHQKBN16K" localSheetId="1" hidden="1">'[1]Table'!#REF!</definedName>
    <definedName name="BExTWB4LA1PODQOH4LDTHQKBN16K" localSheetId="2" hidden="1">'[1]Table'!#REF!</definedName>
    <definedName name="BExTWB4LA1PODQOH4LDTHQKBN16K" hidden="1">'[1]Table'!#REF!</definedName>
    <definedName name="BExTXT812NQT8GAEGH738U29BI0D" localSheetId="1" hidden="1">'[1]Table'!#REF!</definedName>
    <definedName name="BExTXT812NQT8GAEGH738U29BI0D" localSheetId="2" hidden="1">'[1]Table'!#REF!</definedName>
    <definedName name="BExTXT812NQT8GAEGH738U29BI0D" hidden="1">'[1]Table'!#REF!</definedName>
    <definedName name="BExTZ3OA1Y9X9CZLMEDKKABFCHVG" localSheetId="1" hidden="1">'[2]Table'!#REF!</definedName>
    <definedName name="BExTZ3OA1Y9X9CZLMEDKKABFCHVG" localSheetId="2" hidden="1">'[2]Table'!#REF!</definedName>
    <definedName name="BExTZ3OA1Y9X9CZLMEDKKABFCHVG" hidden="1">'[2]Table'!#REF!</definedName>
    <definedName name="BExTZ8X5G9S3PA4FPSNK7T69W7QT" localSheetId="1" hidden="1">'[1]Table'!#REF!</definedName>
    <definedName name="BExTZ8X5G9S3PA4FPSNK7T69W7QT" localSheetId="2" hidden="1">'[1]Table'!#REF!</definedName>
    <definedName name="BExTZ8X5G9S3PA4FPSNK7T69W7QT" hidden="1">'[1]Table'!#REF!</definedName>
    <definedName name="BExU0HKTO8WJDQDWRTUK5TETM3HS" localSheetId="1" hidden="1">'[1]Table'!#REF!</definedName>
    <definedName name="BExU0HKTO8WJDQDWRTUK5TETM3HS" localSheetId="2" hidden="1">'[1]Table'!#REF!</definedName>
    <definedName name="BExU0HKTO8WJDQDWRTUK5TETM3HS" hidden="1">'[1]Table'!#REF!</definedName>
    <definedName name="BExU1GXUTLRPJN4MRINLAPHSZQFG" localSheetId="1" hidden="1">'[1]Table'!#REF!</definedName>
    <definedName name="BExU1GXUTLRPJN4MRINLAPHSZQFG" localSheetId="2" hidden="1">'[1]Table'!#REF!</definedName>
    <definedName name="BExU1GXUTLRPJN4MRINLAPHSZQFG" hidden="1">'[1]Table'!#REF!</definedName>
    <definedName name="BExU1NOPS09CLFZL1O31RAF9BQNQ" localSheetId="1" hidden="1">'[1]Table'!#REF!</definedName>
    <definedName name="BExU1NOPS09CLFZL1O31RAF9BQNQ" localSheetId="2" hidden="1">'[1]Table'!#REF!</definedName>
    <definedName name="BExU1NOPS09CLFZL1O31RAF9BQNQ" hidden="1">'[1]Table'!#REF!</definedName>
    <definedName name="BExU2M5CK6XK55UIHDVYRXJJJRI4" localSheetId="1" hidden="1">'[1]Table'!#REF!</definedName>
    <definedName name="BExU2M5CK6XK55UIHDVYRXJJJRI4" localSheetId="2" hidden="1">'[1]Table'!#REF!</definedName>
    <definedName name="BExU2M5CK6XK55UIHDVYRXJJJRI4" hidden="1">'[1]Table'!#REF!</definedName>
    <definedName name="BExU4GDVLPUEWBA4MRYRTQAUNO7B" localSheetId="1" hidden="1">'[1]Table'!#REF!</definedName>
    <definedName name="BExU4GDVLPUEWBA4MRYRTQAUNO7B" localSheetId="2" hidden="1">'[1]Table'!#REF!</definedName>
    <definedName name="BExU4GDVLPUEWBA4MRYRTQAUNO7B" hidden="1">'[1]Table'!#REF!</definedName>
    <definedName name="BExU80I6AE5OU7P7F5V7HWIZBJ4P" localSheetId="1" hidden="1">'[1]Table'!#REF!</definedName>
    <definedName name="BExU80I6AE5OU7P7F5V7HWIZBJ4P" localSheetId="2" hidden="1">'[1]Table'!#REF!</definedName>
    <definedName name="BExU80I6AE5OU7P7F5V7HWIZBJ4P" hidden="1">'[1]Table'!#REF!</definedName>
    <definedName name="BExU930KUPVYJ8BVE3OWVLLVMGLH" localSheetId="1" hidden="1">'[1]Table'!#REF!</definedName>
    <definedName name="BExU930KUPVYJ8BVE3OWVLLVMGLH" localSheetId="2" hidden="1">'[1]Table'!#REF!</definedName>
    <definedName name="BExU930KUPVYJ8BVE3OWVLLVMGLH" hidden="1">'[1]Table'!#REF!</definedName>
    <definedName name="BExU9GCSO5YILIKG6VAHN13DL75K" localSheetId="1" hidden="1">'[1]Table'!#REF!</definedName>
    <definedName name="BExU9GCSO5YILIKG6VAHN13DL75K" localSheetId="2" hidden="1">'[1]Table'!#REF!</definedName>
    <definedName name="BExU9GCSO5YILIKG6VAHN13DL75K" hidden="1">'[1]Table'!#REF!</definedName>
    <definedName name="BExUC623BDYEODBN0N4DO6PJQ7NU" localSheetId="1" hidden="1">'[1]Table'!#REF!</definedName>
    <definedName name="BExUC623BDYEODBN0N4DO6PJQ7NU" localSheetId="2" hidden="1">'[1]Table'!#REF!</definedName>
    <definedName name="BExUC623BDYEODBN0N4DO6PJQ7NU" hidden="1">'[1]Table'!#REF!</definedName>
    <definedName name="BExVTXLMYR87BC04D1ERALPUFVPG" localSheetId="1" hidden="1">'[1]Table'!#REF!</definedName>
    <definedName name="BExVTXLMYR87BC04D1ERALPUFVPG" localSheetId="2" hidden="1">'[1]Table'!#REF!</definedName>
    <definedName name="BExVTXLMYR87BC04D1ERALPUFVPG" hidden="1">'[1]Table'!#REF!</definedName>
    <definedName name="BExVVCEED4JEKF59OV0G3T4XFMFO" localSheetId="1" hidden="1">'[1]Table'!#REF!</definedName>
    <definedName name="BExVVCEED4JEKF59OV0G3T4XFMFO" localSheetId="2" hidden="1">'[1]Table'!#REF!</definedName>
    <definedName name="BExVVCEED4JEKF59OV0G3T4XFMFO" hidden="1">'[1]Table'!#REF!</definedName>
    <definedName name="BExVVPFO2J7FMSRPD36909HN4BZJ" localSheetId="1" hidden="1">'[1]Table'!#REF!</definedName>
    <definedName name="BExVVPFO2J7FMSRPD36909HN4BZJ" localSheetId="2" hidden="1">'[1]Table'!#REF!</definedName>
    <definedName name="BExVVPFO2J7FMSRPD36909HN4BZJ" hidden="1">'[1]Table'!#REF!</definedName>
    <definedName name="BExVVQ19TAECID45CS4HXT1RD3AQ" localSheetId="1" hidden="1">'[1]Table'!#REF!</definedName>
    <definedName name="BExVVQ19TAECID45CS4HXT1RD3AQ" localSheetId="2" hidden="1">'[1]Table'!#REF!</definedName>
    <definedName name="BExVVQ19TAECID45CS4HXT1RD3AQ" hidden="1">'[1]Table'!#REF!</definedName>
    <definedName name="BExVY1SV37DL5YU59HS4IG3VBCP4" localSheetId="1" hidden="1">'[1]Table'!#REF!</definedName>
    <definedName name="BExVY1SV37DL5YU59HS4IG3VBCP4" localSheetId="2" hidden="1">'[1]Table'!#REF!</definedName>
    <definedName name="BExVY1SV37DL5YU59HS4IG3VBCP4" hidden="1">'[1]Table'!#REF!</definedName>
    <definedName name="BExVZJQVO5LQ0BJH5JEN5NOBIAF6" localSheetId="1" hidden="1">'[1]Table'!#REF!</definedName>
    <definedName name="BExVZJQVO5LQ0BJH5JEN5NOBIAF6" localSheetId="2" hidden="1">'[1]Table'!#REF!</definedName>
    <definedName name="BExVZJQVO5LQ0BJH5JEN5NOBIAF6" hidden="1">'[1]Table'!#REF!</definedName>
    <definedName name="BExW0Y3D6MDL9MV84M1UUD2DFS13" localSheetId="1" hidden="1">'[2]Table'!#REF!</definedName>
    <definedName name="BExW0Y3D6MDL9MV84M1UUD2DFS13" localSheetId="2" hidden="1">'[2]Table'!#REF!</definedName>
    <definedName name="BExW0Y3D6MDL9MV84M1UUD2DFS13" hidden="1">'[2]Table'!#REF!</definedName>
    <definedName name="BExW1BVUYQTKMOR56MW7RVRX4L1L" localSheetId="1" hidden="1">'[1]Table'!#REF!</definedName>
    <definedName name="BExW1BVUYQTKMOR56MW7RVRX4L1L" localSheetId="2" hidden="1">'[1]Table'!#REF!</definedName>
    <definedName name="BExW1BVUYQTKMOR56MW7RVRX4L1L" hidden="1">'[1]Table'!#REF!</definedName>
    <definedName name="BExW1KQ26RMMKVJLEPUCBZRSSBET" localSheetId="1" hidden="1">'[2]Table'!#REF!</definedName>
    <definedName name="BExW1KQ26RMMKVJLEPUCBZRSSBET" localSheetId="2" hidden="1">'[2]Table'!#REF!</definedName>
    <definedName name="BExW1KQ26RMMKVJLEPUCBZRSSBET" hidden="1">'[2]Table'!#REF!</definedName>
    <definedName name="BExW2MSCKPGF5K3I7TL4KF5ISUOL" localSheetId="1" hidden="1">'[1]Table'!#REF!</definedName>
    <definedName name="BExW2MSCKPGF5K3I7TL4KF5ISUOL" localSheetId="2" hidden="1">'[1]Table'!#REF!</definedName>
    <definedName name="BExW2MSCKPGF5K3I7TL4KF5ISUOL" hidden="1">'[1]Table'!#REF!</definedName>
    <definedName name="BExW36V9N91OHCUMGWJQL3I5P4JK" localSheetId="1" hidden="1">'[1]Table'!#REF!</definedName>
    <definedName name="BExW36V9N91OHCUMGWJQL3I5P4JK" localSheetId="2" hidden="1">'[1]Table'!#REF!</definedName>
    <definedName name="BExW36V9N91OHCUMGWJQL3I5P4JK" hidden="1">'[1]Table'!#REF!</definedName>
    <definedName name="BExW8T0GVY3ZYO4ACSBLHS8SH895" localSheetId="1" hidden="1">'[1]Table'!#REF!</definedName>
    <definedName name="BExW8T0GVY3ZYO4ACSBLHS8SH895" localSheetId="2" hidden="1">'[1]Table'!#REF!</definedName>
    <definedName name="BExW8T0GVY3ZYO4ACSBLHS8SH895" hidden="1">'[1]Table'!#REF!</definedName>
    <definedName name="BExXLDE6PN4ESWT3LXJNQCY94NE4" localSheetId="1" hidden="1">'[1]Table'!#REF!</definedName>
    <definedName name="BExXLDE6PN4ESWT3LXJNQCY94NE4" localSheetId="2" hidden="1">'[1]Table'!#REF!</definedName>
    <definedName name="BExXLDE6PN4ESWT3LXJNQCY94NE4" hidden="1">'[1]Table'!#REF!</definedName>
    <definedName name="BExXM065WOLYRYHGHOJE0OOFXA4M" localSheetId="1" hidden="1">'[1]Table'!#REF!</definedName>
    <definedName name="BExXM065WOLYRYHGHOJE0OOFXA4M" localSheetId="2" hidden="1">'[1]Table'!#REF!</definedName>
    <definedName name="BExXM065WOLYRYHGHOJE0OOFXA4M" hidden="1">'[1]Table'!#REF!</definedName>
    <definedName name="BExXNWYB165VO9MHARCL5WLCHWS0" localSheetId="1" hidden="1">'[1]Table'!#REF!</definedName>
    <definedName name="BExXNWYB165VO9MHARCL5WLCHWS0" localSheetId="2" hidden="1">'[1]Table'!#REF!</definedName>
    <definedName name="BExXNWYB165VO9MHARCL5WLCHWS0" hidden="1">'[1]Table'!#REF!</definedName>
    <definedName name="BExXQH41O5HZAH8BO6HCFY8YC3TU" localSheetId="1" hidden="1">'[1]Table'!#REF!</definedName>
    <definedName name="BExXQH41O5HZAH8BO6HCFY8YC3TU" localSheetId="2" hidden="1">'[1]Table'!#REF!</definedName>
    <definedName name="BExXQH41O5HZAH8BO6HCFY8YC3TU" hidden="1">'[1]Table'!#REF!</definedName>
    <definedName name="BExXQIRBLQSLAJTFL7224FCFUTKH" localSheetId="1" hidden="1">'[1]Table'!#REF!</definedName>
    <definedName name="BExXQIRBLQSLAJTFL7224FCFUTKH" localSheetId="2" hidden="1">'[1]Table'!#REF!</definedName>
    <definedName name="BExXQIRBLQSLAJTFL7224FCFUTKH" hidden="1">'[1]Table'!#REF!</definedName>
    <definedName name="BExXRD13K1S9Y3JGR7CXSONT7RJZ" localSheetId="1" hidden="1">'[1]Table'!#REF!</definedName>
    <definedName name="BExXRD13K1S9Y3JGR7CXSONT7RJZ" localSheetId="2" hidden="1">'[1]Table'!#REF!</definedName>
    <definedName name="BExXRD13K1S9Y3JGR7CXSONT7RJZ" hidden="1">'[1]Table'!#REF!</definedName>
    <definedName name="BExXRO4A6VUH1F4XV8N1BRJ4896W" localSheetId="1" hidden="1">'[1]Table'!#REF!</definedName>
    <definedName name="BExXRO4A6VUH1F4XV8N1BRJ4896W" localSheetId="2" hidden="1">'[1]Table'!#REF!</definedName>
    <definedName name="BExXRO4A6VUH1F4XV8N1BRJ4896W" hidden="1">'[1]Table'!#REF!</definedName>
    <definedName name="BExXRO9N1SNJZGKD90P4K7FU1J0P" localSheetId="1" hidden="1">'[1]Table'!#REF!</definedName>
    <definedName name="BExXRO9N1SNJZGKD90P4K7FU1J0P" localSheetId="2" hidden="1">'[1]Table'!#REF!</definedName>
    <definedName name="BExXRO9N1SNJZGKD90P4K7FU1J0P" hidden="1">'[1]Table'!#REF!</definedName>
    <definedName name="BExXRZ20LZZCW8LVGDK0XETOTSAI" localSheetId="1" hidden="1">'[1]Table'!#REF!</definedName>
    <definedName name="BExXRZ20LZZCW8LVGDK0XETOTSAI" localSheetId="2" hidden="1">'[1]Table'!#REF!</definedName>
    <definedName name="BExXRZ20LZZCW8LVGDK0XETOTSAI" hidden="1">'[1]Table'!#REF!</definedName>
    <definedName name="BExXVMBPXT6AMJLEJGLIBXKXQ5O5" localSheetId="1" hidden="1">'[1]Table'!#REF!</definedName>
    <definedName name="BExXVMBPXT6AMJLEJGLIBXKXQ5O5" localSheetId="2" hidden="1">'[1]Table'!#REF!</definedName>
    <definedName name="BExXVMBPXT6AMJLEJGLIBXKXQ5O5" hidden="1">'[1]Table'!#REF!</definedName>
    <definedName name="BExXW0K72T1Y8K1I4VZT87UY9S2G" localSheetId="1" hidden="1">'[1]Table'!#REF!</definedName>
    <definedName name="BExXW0K72T1Y8K1I4VZT87UY9S2G" localSheetId="2" hidden="1">'[1]Table'!#REF!</definedName>
    <definedName name="BExXW0K72T1Y8K1I4VZT87UY9S2G" hidden="1">'[1]Table'!#REF!</definedName>
    <definedName name="BExXXBM521DL8R4ZX7NZ3DBCUOR5" localSheetId="1" hidden="1">'[1]Table'!#REF!</definedName>
    <definedName name="BExXXBM521DL8R4ZX7NZ3DBCUOR5" localSheetId="2" hidden="1">'[1]Table'!#REF!</definedName>
    <definedName name="BExXXBM521DL8R4ZX7NZ3DBCUOR5" hidden="1">'[1]Table'!#REF!</definedName>
    <definedName name="BExXY7TYEBFXRYUYIFHTN65RJ8EW" localSheetId="1" hidden="1">'[1]Table'!#REF!</definedName>
    <definedName name="BExXY7TYEBFXRYUYIFHTN65RJ8EW" localSheetId="2" hidden="1">'[1]Table'!#REF!</definedName>
    <definedName name="BExXY7TYEBFXRYUYIFHTN65RJ8EW" hidden="1">'[1]Table'!#REF!</definedName>
    <definedName name="BExXZOVPCEP495TQSON6PSRQ8XCY" localSheetId="1" hidden="1">'[1]Table'!#REF!</definedName>
    <definedName name="BExXZOVPCEP495TQSON6PSRQ8XCY" localSheetId="2" hidden="1">'[1]Table'!#REF!</definedName>
    <definedName name="BExXZOVPCEP495TQSON6PSRQ8XCY" hidden="1">'[1]Table'!#REF!</definedName>
    <definedName name="BExY0T1E034D7XAXNC6F7540LLIE" localSheetId="1" hidden="1">'[1]Table'!#REF!</definedName>
    <definedName name="BExY0T1E034D7XAXNC6F7540LLIE" localSheetId="2" hidden="1">'[1]Table'!#REF!</definedName>
    <definedName name="BExY0T1E034D7XAXNC6F7540LLIE" hidden="1">'[1]Table'!#REF!</definedName>
    <definedName name="BExY0WXNAS8FTBMVRVQQHMVMGEN3" localSheetId="1" hidden="1">'[2]Table'!#REF!</definedName>
    <definedName name="BExY0WXNAS8FTBMVRVQQHMVMGEN3" localSheetId="2" hidden="1">'[2]Table'!#REF!</definedName>
    <definedName name="BExY0WXNAS8FTBMVRVQQHMVMGEN3" hidden="1">'[2]Table'!#REF!</definedName>
    <definedName name="BExY180UKNW5NIAWD6ZUYTFEH8QS" localSheetId="1" hidden="1">'[1]Table'!#REF!</definedName>
    <definedName name="BExY180UKNW5NIAWD6ZUYTFEH8QS" localSheetId="2" hidden="1">'[1]Table'!#REF!</definedName>
    <definedName name="BExY180UKNW5NIAWD6ZUYTFEH8QS" hidden="1">'[1]Table'!#REF!</definedName>
    <definedName name="BExY2IXBR1SGYZH08T7QHKEFS8HA" localSheetId="1" hidden="1">'[1]Table'!#REF!</definedName>
    <definedName name="BExY2IXBR1SGYZH08T7QHKEFS8HA" localSheetId="2" hidden="1">'[1]Table'!#REF!</definedName>
    <definedName name="BExY2IXBR1SGYZH08T7QHKEFS8HA" hidden="1">'[1]Table'!#REF!</definedName>
    <definedName name="BExY3HOSK7YI364K15OX70AVR6F1" localSheetId="1" hidden="1">'[1]Table'!#REF!</definedName>
    <definedName name="BExY3HOSK7YI364K15OX70AVR6F1" localSheetId="2" hidden="1">'[1]Table'!#REF!</definedName>
    <definedName name="BExY3HOSK7YI364K15OX70AVR6F1" hidden="1">'[1]Table'!#REF!</definedName>
    <definedName name="BExY45TFT2XMTPJX1GMN8XWDD0HK" localSheetId="1" hidden="1">'[1]Table'!#REF!</definedName>
    <definedName name="BExY45TFT2XMTPJX1GMN8XWDD0HK" localSheetId="2" hidden="1">'[1]Table'!#REF!</definedName>
    <definedName name="BExY45TFT2XMTPJX1GMN8XWDD0HK" hidden="1">'[1]Table'!#REF!</definedName>
    <definedName name="BExY5515SJTJS3VM80M3YYR0WF37" localSheetId="1" hidden="1">'[1]Table'!#REF!</definedName>
    <definedName name="BExY5515SJTJS3VM80M3YYR0WF37" localSheetId="2" hidden="1">'[1]Table'!#REF!</definedName>
    <definedName name="BExY5515SJTJS3VM80M3YYR0WF37" hidden="1">'[1]Table'!#REF!</definedName>
    <definedName name="BExZJ7I9T8XU4MZRKJ1VVU76V2LZ" localSheetId="1" hidden="1">'[1]Table'!#REF!</definedName>
    <definedName name="BExZJ7I9T8XU4MZRKJ1VVU76V2LZ" localSheetId="2" hidden="1">'[1]Table'!#REF!</definedName>
    <definedName name="BExZJ7I9T8XU4MZRKJ1VVU76V2LZ" hidden="1">'[1]Table'!#REF!</definedName>
    <definedName name="BExZQJJMGU5MHQOILGXGJPAQI5XI" localSheetId="1" hidden="1">'[1]Table'!#REF!</definedName>
    <definedName name="BExZQJJMGU5MHQOILGXGJPAQI5XI" localSheetId="2" hidden="1">'[1]Table'!#REF!</definedName>
    <definedName name="BExZQJJMGU5MHQOILGXGJPAQI5XI" hidden="1">'[1]Table'!#REF!</definedName>
    <definedName name="BExZQXBYEBN28QUH1KOVW6KKA5UM" localSheetId="1" hidden="1">'[1]Table'!#REF!</definedName>
    <definedName name="BExZQXBYEBN28QUH1KOVW6KKA5UM" localSheetId="2" hidden="1">'[1]Table'!#REF!</definedName>
    <definedName name="BExZQXBYEBN28QUH1KOVW6KKA5UM" hidden="1">'[1]Table'!#REF!</definedName>
    <definedName name="BExZQZKT146WEN8FTVZ7Y5TSB8L5" localSheetId="1" hidden="1">'[1]Table'!#REF!</definedName>
    <definedName name="BExZQZKT146WEN8FTVZ7Y5TSB8L5" localSheetId="2" hidden="1">'[1]Table'!#REF!</definedName>
    <definedName name="BExZQZKT146WEN8FTVZ7Y5TSB8L5" hidden="1">'[1]Table'!#REF!</definedName>
    <definedName name="BExZRP1X6UVLN1UOLHH5VF4STP1O" localSheetId="1" hidden="1">'[1]Table'!#REF!</definedName>
    <definedName name="BExZRP1X6UVLN1UOLHH5VF4STP1O" localSheetId="2" hidden="1">'[1]Table'!#REF!</definedName>
    <definedName name="BExZRP1X6UVLN1UOLHH5VF4STP1O" hidden="1">'[1]Table'!#REF!</definedName>
    <definedName name="BExZRWJP2BUVFJPO8U8ATQEP0LZU" localSheetId="1" hidden="1">'[1]Table'!#REF!</definedName>
    <definedName name="BExZRWJP2BUVFJPO8U8ATQEP0LZU" localSheetId="2" hidden="1">'[1]Table'!#REF!</definedName>
    <definedName name="BExZRWJP2BUVFJPO8U8ATQEP0LZU" hidden="1">'[1]Table'!#REF!</definedName>
    <definedName name="BExZSHO8X547DFEEV40I12ZDTJDU" localSheetId="1" hidden="1">'[2]Table'!#REF!</definedName>
    <definedName name="BExZSHO8X547DFEEV40I12ZDTJDU" localSheetId="2" hidden="1">'[2]Table'!#REF!</definedName>
    <definedName name="BExZSHO8X547DFEEV40I12ZDTJDU" hidden="1">'[2]Table'!#REF!</definedName>
    <definedName name="BExZTAQV2QVSZY5Y3VCCWUBSBW9P" localSheetId="1" hidden="1">'[1]Table'!#REF!</definedName>
    <definedName name="BExZTAQV2QVSZY5Y3VCCWUBSBW9P" localSheetId="2" hidden="1">'[1]Table'!#REF!</definedName>
    <definedName name="BExZTAQV2QVSZY5Y3VCCWUBSBW9P" hidden="1">'[1]Table'!#REF!</definedName>
    <definedName name="BExZUK03RE247R0EMB5J42W1DOZZ" localSheetId="1" hidden="1">'[1]Table'!#REF!</definedName>
    <definedName name="BExZUK03RE247R0EMB5J42W1DOZZ" localSheetId="2" hidden="1">'[1]Table'!#REF!</definedName>
    <definedName name="BExZUK03RE247R0EMB5J42W1DOZZ" hidden="1">'[1]Table'!#REF!</definedName>
    <definedName name="BExZWAMZXELE7XD1TF7GNOJMVY70" localSheetId="1" hidden="1">'[1]Table'!#REF!</definedName>
    <definedName name="BExZWAMZXELE7XD1TF7GNOJMVY70" localSheetId="2" hidden="1">'[1]Table'!#REF!</definedName>
    <definedName name="BExZWAMZXELE7XD1TF7GNOJMVY70" hidden="1">'[1]Table'!#REF!</definedName>
    <definedName name="BExZZZEMIIFKMLLV4DJKX5TB9R5V" localSheetId="1" hidden="1">'[1]Table'!#REF!</definedName>
    <definedName name="BExZZZEMIIFKMLLV4DJKX5TB9R5V" localSheetId="2" hidden="1">'[1]Table'!#REF!</definedName>
    <definedName name="BExZZZEMIIFKMLLV4DJKX5TB9R5V" hidden="1">'[1]Table'!#REF!</definedName>
    <definedName name="d" localSheetId="1" hidden="1">'[4]Table'!#REF!</definedName>
    <definedName name="d" localSheetId="2" hidden="1">'[4]Table'!#REF!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'приложение 2'!$10:$10</definedName>
    <definedName name="_xlnm.Print_Titles" localSheetId="2">'приложение 3'!$11:$11</definedName>
    <definedName name="_xlnm.Print_Area" localSheetId="1">'приложение 2'!$A$1:$H$568</definedName>
    <definedName name="_xlnm.Print_Area" localSheetId="2">'приложение 3'!$A$1:$I$804</definedName>
  </definedNames>
  <calcPr fullCalcOnLoad="1"/>
</workbook>
</file>

<file path=xl/sharedStrings.xml><?xml version="1.0" encoding="utf-8"?>
<sst xmlns="http://schemas.openxmlformats.org/spreadsheetml/2006/main" count="3900" uniqueCount="1106">
  <si>
    <t>Сумма, тыс.рублей</t>
  </si>
  <si>
    <t xml:space="preserve"> 01 06 05 02 02 0000 540</t>
  </si>
  <si>
    <t>01 03 00 00 00 0000 000</t>
  </si>
  <si>
    <t>Бюджетные кредиты от других бюджетов бюджетной системы Российской Федерации</t>
  </si>
  <si>
    <t>7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</si>
  <si>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</si>
  <si>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</si>
  <si>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</si>
  <si>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</si>
  <si>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</si>
  <si>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</si>
  <si>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</si>
  <si>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</si>
  <si>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</si>
  <si>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</si>
  <si>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01 03 01 00 02 0000 810</t>
  </si>
  <si>
    <t>Погашение бюджетом Пермского края кредитов, полученных из федерального бюджета в валюте Российской Федерации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</si>
  <si>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</si>
  <si>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</si>
  <si>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</si>
  <si>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</si>
  <si>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01 06 04 01 00 0000 000
</t>
  </si>
  <si>
    <t>Исполнение государственных и муниципальных гарантий в валюте Российской Федерации</t>
  </si>
  <si>
    <t xml:space="preserve">01 06 04 01 00 0000 800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</si>
  <si>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</si>
  <si>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</si>
  <si>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</si>
  <si>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>01 06 05 00 00 0000 500</t>
  </si>
  <si>
    <t>Предоставление бюджетных кредитов внутри страны в валюте Российской Федерации</t>
  </si>
  <si>
    <t xml:space="preserve"> 01 06 05 00 02 0000 540</t>
  </si>
  <si>
    <t xml:space="preserve">Предоставление из бюджета Пермского края бюджетных кредитов </t>
  </si>
  <si>
    <t>Предоставление  бюджетных кредитов бюджетам муниципальных образований Пермского края из бюджета Пермского края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</si>
  <si>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</si>
  <si>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</si>
  <si>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Рз, ПР</t>
  </si>
  <si>
    <t>ЦСР</t>
  </si>
  <si>
    <t>ВР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</si>
  <si>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</si>
  <si>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</si>
  <si>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</si>
  <si>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</si>
  <si>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</si>
  <si>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</si>
  <si>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200</t>
  </si>
  <si>
    <t>800</t>
  </si>
  <si>
    <t>Иные бюджетные ассигнования</t>
  </si>
  <si>
    <t>0103</t>
  </si>
  <si>
    <t>300</t>
  </si>
  <si>
    <t>Социальное обеспечение и иные выплаты населению</t>
  </si>
  <si>
    <t>500</t>
  </si>
  <si>
    <t>Межбюджетные трансферты</t>
  </si>
  <si>
    <t>0104</t>
  </si>
  <si>
    <t>0106</t>
  </si>
  <si>
    <t>2000000</t>
  </si>
  <si>
    <t>Обслуживание лицевых счетов органов государственной власти Пермского края, государственных краевых учреждений</t>
  </si>
  <si>
    <t>0200000</t>
  </si>
  <si>
    <t>0111</t>
  </si>
  <si>
    <t>Резервные фонды</t>
  </si>
  <si>
    <t>0113</t>
  </si>
  <si>
    <t>Другие общегосударственные вопросы</t>
  </si>
  <si>
    <t>0300000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</si>
  <si>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</si>
  <si>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0500000</t>
  </si>
  <si>
    <t>0600000</t>
  </si>
  <si>
    <t>Обеспечение деятельности казенных учреждений</t>
  </si>
  <si>
    <t>600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</si>
  <si>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</si>
  <si>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</si>
  <si>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</si>
  <si>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</si>
  <si>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</si>
  <si>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</si>
  <si>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</si>
  <si>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</si>
  <si>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2100000</t>
  </si>
  <si>
    <t>0300</t>
  </si>
  <si>
    <t>НАЦИОНАЛЬНАЯ БЕЗОПАСНОСТЬ И ПРАВООХРАНИТЕЛЬНАЯ ДЕЯТЕЛЬНОСТЬ</t>
  </si>
  <si>
    <t>0309</t>
  </si>
  <si>
    <t>Составление протоколов об административных правонарушениях</t>
  </si>
  <si>
    <t>0400</t>
  </si>
  <si>
    <t>НАЦИОНАЛЬНАЯ ЭКОНОМИКА</t>
  </si>
  <si>
    <t>0100000</t>
  </si>
  <si>
    <t>0405</t>
  </si>
  <si>
    <t>Сельское хозяйство и рыболовство</t>
  </si>
  <si>
    <t>1000000</t>
  </si>
  <si>
    <t>Государственная поддержка кредитования малых форм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</si>
  <si>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</si>
  <si>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</si>
  <si>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</si>
  <si>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</si>
  <si>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</si>
  <si>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</si>
  <si>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</si>
  <si>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</si>
  <si>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</si>
  <si>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</si>
  <si>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</si>
  <si>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</si>
  <si>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</si>
  <si>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</si>
  <si>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</si>
  <si>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</si>
  <si>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</si>
  <si>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Предоставление социальных гарантий и льгот педагогическим работникам дошкольных и общеобразовательных организаций</t>
  </si>
  <si>
    <t>0700000</t>
  </si>
  <si>
    <t>0707</t>
  </si>
  <si>
    <t>Молодежная политика и оздоровление детей</t>
  </si>
  <si>
    <t>Мероприятия по организации оздоровления и отдыха детей</t>
  </si>
  <si>
    <t>Организация отдыха и оздоровления детей</t>
  </si>
  <si>
    <t>0709</t>
  </si>
  <si>
    <t>Другие вопросы в области образования</t>
  </si>
  <si>
    <t>0800</t>
  </si>
  <si>
    <t>0801</t>
  </si>
  <si>
    <t>Культура</t>
  </si>
  <si>
    <t>0900</t>
  </si>
  <si>
    <t>ЗДРАВООХРАНЕНИЕ</t>
  </si>
  <si>
    <t>0902</t>
  </si>
  <si>
    <t>Амбулаторная помощь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</si>
  <si>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</si>
  <si>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</si>
  <si>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</si>
  <si>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</si>
  <si>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</si>
  <si>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</si>
  <si>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</si>
  <si>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</si>
  <si>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</si>
  <si>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</si>
  <si>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</si>
  <si>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</si>
  <si>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</si>
  <si>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</si>
  <si>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</si>
  <si>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</si>
  <si>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</si>
  <si>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</si>
  <si>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700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</si>
  <si>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</si>
  <si>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</si>
  <si>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</si>
  <si>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ВСЕГО РАСХОДОВ</t>
  </si>
  <si>
    <t>Вед</t>
  </si>
  <si>
    <t>Сумма, тыс. рублей</t>
  </si>
  <si>
    <t>01 02 00 00 00 0000 800</t>
  </si>
  <si>
    <t>Стипендиальное обеспечение  обучающихся в 10-х и 11-х классах общеобразовательных организаций</t>
  </si>
  <si>
    <t>710</t>
  </si>
  <si>
    <t>Отдел сельского хозяйства и продовольствия администрации Краснокамского муниципального района</t>
  </si>
  <si>
    <t>0100002</t>
  </si>
  <si>
    <t>Обеспечение выполнения функций органами местного самоуправления Краснокамского муниципального района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</si>
  <si>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</si>
  <si>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</si>
  <si>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2100002</t>
  </si>
  <si>
    <t>Пенсии за выслугу лет лицам, замещавшим муниципальные должности Краснокамского муниципального района, муниципальным служащим Краснокамского муниципального района</t>
  </si>
  <si>
    <t>711</t>
  </si>
  <si>
    <t>Финансовое управление администрации Краснокамского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</si>
  <si>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</si>
  <si>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0200006</t>
  </si>
  <si>
    <t>Обслуживание муниципального долга Краснокамского муниципального района</t>
  </si>
  <si>
    <t>Обслуживание государственного (муниципального) долга</t>
  </si>
  <si>
    <t>712</t>
  </si>
  <si>
    <t>Комитет имущественных отношений администрации Краснокамского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</si>
  <si>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</si>
  <si>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0200001</t>
  </si>
  <si>
    <t>Управление земельными ресурсами и имуществом Краснокамского муниципального района</t>
  </si>
  <si>
    <t>713</t>
  </si>
  <si>
    <t>Администрация Краснокамского муниципального района</t>
  </si>
  <si>
    <t>0100001</t>
  </si>
  <si>
    <t>Глава Краснокамского муниципального района</t>
  </si>
  <si>
    <t>0700001</t>
  </si>
  <si>
    <t>Предоставление субсидий на возмещение хозяйствующим субъектам, обслуживающим садоводческие пригородные маршруты Краснокамского муниципального района, недополученных доходов от перевозки льготной категории граждан</t>
  </si>
  <si>
    <t>0200011</t>
  </si>
  <si>
    <t>Прочие мероприятия</t>
  </si>
  <si>
    <t>1200</t>
  </si>
  <si>
    <t>СРЕДСТВА МАССОВОЙ ИНФОРМАЦИИ</t>
  </si>
  <si>
    <t>1202</t>
  </si>
  <si>
    <t>Периодическая печать и издательства</t>
  </si>
  <si>
    <t>0200002</t>
  </si>
  <si>
    <t>Информирование населения через средства массовой информации о деятельности органов местного самоуправления Краснокамского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</si>
  <si>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</si>
  <si>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0200017</t>
  </si>
  <si>
    <t>0200018</t>
  </si>
  <si>
    <t>714</t>
  </si>
  <si>
    <t>Земское собрание Краснокамского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</si>
  <si>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</si>
  <si>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0100003</t>
  </si>
  <si>
    <t>Председатель Земского собрания Краснокамского муниципального района</t>
  </si>
  <si>
    <t>0100004</t>
  </si>
  <si>
    <t>Депутаты (члены) Земского собрания Краснокамского муниципального района</t>
  </si>
  <si>
    <t>Управление системой образования администрации Краснокамского муниципального района</t>
  </si>
  <si>
    <t>722</t>
  </si>
  <si>
    <t>1200001</t>
  </si>
  <si>
    <t>Предоставление общедоступного бесплатного дошкольного образования по основным общеобразовательным программам в муниципальных дошкольных образовательных организациях Краснокамского муниципального района</t>
  </si>
  <si>
    <t>1300001</t>
  </si>
  <si>
    <t>Предоставление общедоступного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Краснокамского муниципального района</t>
  </si>
  <si>
    <t>1400001</t>
  </si>
  <si>
    <t>Предоставление дополнительного образования детей в муниципальных образовательных организациях сферы образования и работы с молодежью Краснокамского муниципального района</t>
  </si>
  <si>
    <t>1600001</t>
  </si>
  <si>
    <t>1300002</t>
  </si>
  <si>
    <t>1700002</t>
  </si>
  <si>
    <t>Предоставление социальных гарантий и льгот педагогическим работникам муниципальных образовательных организаций Краснокамского муниципального района, обеспечивающих предоставление услуг в сфере образования</t>
  </si>
  <si>
    <t>1700001</t>
  </si>
  <si>
    <t>Предоставление прочих услуг в сфере образования</t>
  </si>
  <si>
    <t>723</t>
  </si>
  <si>
    <t>Управление по спорту, культуре и работе с молодежью администрации Краснокамского муниципального района</t>
  </si>
  <si>
    <t>1400002</t>
  </si>
  <si>
    <t>1400003</t>
  </si>
  <si>
    <t>Предоставление дополнительного образования детей в муниципальных образовательных организациях сферы физической культуры и спорта Краснокамского муниципального района</t>
  </si>
  <si>
    <t>Предоставление дополнительного образования детей в муниципальных образовательных организациях сферы культуры и искусства Краснокамского муниципального района</t>
  </si>
  <si>
    <t>1400006</t>
  </si>
  <si>
    <t>Софинансирование приобретения музыкальных инструментов и оборудования для муниципальных образовательных учреждений (организаций) дополнительного образования детей сферы культуры и искусства Краснокамского муниципального района</t>
  </si>
  <si>
    <t>КУЛЬТУРА, КИНЕМАТОГРАФИЯ</t>
  </si>
  <si>
    <t>1800001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</si>
  <si>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Краснокамского муниципального района</t>
  </si>
  <si>
    <t>1800002</t>
  </si>
  <si>
    <t>Софинансирование мероприятий по модернизации материально-технической базы и информатизации общедоступных библиотек Краснокамского муниципального района</t>
  </si>
  <si>
    <t>1900001</t>
  </si>
  <si>
    <t>Организация досуга и обеспечения жителей Краснокамского муниципального района услугами организаций культуры</t>
  </si>
  <si>
    <t>1500001</t>
  </si>
  <si>
    <t>Организация работы с детьми и молодежью в Краснокамском муниципальном районе</t>
  </si>
  <si>
    <t>2000001</t>
  </si>
  <si>
    <t>Обеспечение жителей Краснокамского муниципального района услугами организаций физической культуры и массового спорта</t>
  </si>
  <si>
    <t>724</t>
  </si>
  <si>
    <t>Муниципальное казенное учреждение "Централизованная бухгалтерия Краснокамского муниципального района"</t>
  </si>
  <si>
    <t>0100005</t>
  </si>
  <si>
    <t>730</t>
  </si>
  <si>
    <t>0600005</t>
  </si>
  <si>
    <t>731</t>
  </si>
  <si>
    <t>Защита населения и территории от чрезвычайных ситуаций природного и техногенного характера, гражданская оборона</t>
  </si>
  <si>
    <t>0500005</t>
  </si>
  <si>
    <t>752</t>
  </si>
  <si>
    <t>0300001</t>
  </si>
  <si>
    <t>Дорожный фонд Краснокамского муниципального района</t>
  </si>
  <si>
    <t>0503</t>
  </si>
  <si>
    <t>Благоустройство</t>
  </si>
  <si>
    <t>1000001</t>
  </si>
  <si>
    <t>Текущее содержание межпоселенческого кладбища Краснокамского муниципального района</t>
  </si>
  <si>
    <t>0200012</t>
  </si>
  <si>
    <t>Софинансирование мероприятий по реализации инвестиционных и региональных проектов на территории Краснокамского муниципального района</t>
  </si>
  <si>
    <t>2100001</t>
  </si>
  <si>
    <t>Софинансирование мероприятий по обеспечению работников муниципальных учреждений бюджетной сферы Краснокамского муниципального района путевками на санаторно-курортное лечение и оздоровление</t>
  </si>
  <si>
    <t>МЕЖБЮДЖЕТНЫЕ ТРАНСФЕРТЫ ОБЩЕГО ХАРАКТЕРА БЮДЖЕТАМ СУБЪЕКТОВ РОССИЙСКОЙ ФЕДЕРАЦИИ И МУНИЦИПАЛЬНЫХ ОБРАЗОВАНИЙ</t>
  </si>
  <si>
    <t>2200000</t>
  </si>
  <si>
    <t>2208001</t>
  </si>
  <si>
    <t>Выравнивание бюджетной обеспеченности поселений, входящих в состав Краснокамского муниципального района, из районного фонда финансовой поддержки поселений</t>
  </si>
  <si>
    <t>0200010</t>
  </si>
  <si>
    <t>Резервный фонд администрации Краснокамского муниципального района</t>
  </si>
  <si>
    <t>Предоставление мер социальной поддержки педагогическим работникам образовательных муниципальных учреждений Краснокамского муниципального района,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</si>
  <si>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</t>
  </si>
  <si>
    <t>Предоставление общего образования по основным и адаптированным общеобразовательным программам в муниципальных специальных (коррекционных) образовательных организациях Краснокамского муниципального района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</si>
  <si>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Предоставление иных межбюджетных трансфертов на выполнение отдельных полномочий поселений, входящих в состав Краснокамского муниципального района, на условиях софинансирования</t>
  </si>
  <si>
    <t>Муниципальное казенное учреждение "Краснокамский комитет по экологии и природопользованию"</t>
  </si>
  <si>
    <t>Муниципальное казенное учреждение "Управление гражданской защиты Краснокамского муниципального района"</t>
  </si>
  <si>
    <t>Муниципальное казенное учреждение "Управление капитального строительства" администрации Краснокамского муниципального района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</si>
  <si>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</si>
  <si>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</si>
  <si>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01 02 00 00 05 0000 710</t>
  </si>
  <si>
    <t>Получение кредитов от кредитных организаций бюджетом Краснокамского муниципального района в валюте Российской Федерации</t>
  </si>
  <si>
    <t>01 02 00 00 05 0000 810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</si>
  <si>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</si>
  <si>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бюджетом Краснокамского муниципального района в валюте Российской Федерации</t>
  </si>
  <si>
    <t>Возврат бюджетных кредитов, предоставленных из бюджета Краснокамского муниципального района</t>
  </si>
  <si>
    <t xml:space="preserve"> 01 06 05 00 05 0000 640</t>
  </si>
  <si>
    <t xml:space="preserve"> 01 06 05 02 05 0000 640</t>
  </si>
  <si>
    <t>Возврат бюджетных кредитов, предоставленных бюджетам поселений, входящим в состав Краснокамского муниципального района,  из бюджета Краснокамского муниципального района в валюте Российской Федерации</t>
  </si>
  <si>
    <t>Прочие бюджетные кредиты (ссуды)</t>
  </si>
  <si>
    <t xml:space="preserve"> 01 06 08 00 00 0000 000</t>
  </si>
  <si>
    <t>01 06 08 00 00 0000 500</t>
  </si>
  <si>
    <t>01 06 08 00 00 0000 600</t>
  </si>
  <si>
    <t>Возврат прочих бюджетных кредитов (ссуд)</t>
  </si>
  <si>
    <t xml:space="preserve"> 01 06 08 00 05 0000 640</t>
  </si>
  <si>
    <t>Возврат прочих бюджетных кредитов (ссуд), предоставленных из бюджета Краснокамского муниципального района</t>
  </si>
  <si>
    <t>5</t>
  </si>
  <si>
    <t>0200004</t>
  </si>
  <si>
    <t>Оказание поддержки социально ориентированным некоммерческим организациям</t>
  </si>
  <si>
    <t>Ежемесячные денежные выплаты Почетным гражданам Краснокамского муниципального района</t>
  </si>
  <si>
    <t>Единовременное денежное вознаграждение Почетным гражданам Краснокамского муниципального района</t>
  </si>
  <si>
    <t>1</t>
  </si>
  <si>
    <t>2</t>
  </si>
  <si>
    <t>0200019</t>
  </si>
  <si>
    <t>Конкурс социальных и культурных проектов Краснокамского муниципального района</t>
  </si>
  <si>
    <t>Компенсация оплаты проезда транспортом общего пользования для учащихся, обучающихся по программам среднего (полного) общего образования в образовательных организациях Краснокамского муниципального района</t>
  </si>
  <si>
    <t>1200002</t>
  </si>
  <si>
    <t>Выплаты семьям, имеющим детей в возрасте от 1,5 до 5 лет, не посещающих муниципальные дошкольные образовательные организации</t>
  </si>
  <si>
    <t>3</t>
  </si>
  <si>
    <t>1076325</t>
  </si>
  <si>
    <t>Обеспечение деятельности органов местного самоуправления</t>
  </si>
  <si>
    <t>1036324</t>
  </si>
  <si>
    <t>Социальная поддержка</t>
  </si>
  <si>
    <t>2056327</t>
  </si>
  <si>
    <t>Государственная программа Пермского края «Управление государственными финансами и государственным долгом Пермского края»</t>
  </si>
  <si>
    <t>2050000</t>
  </si>
  <si>
    <t>Подпрограмма «Обеспечение реализации Государственной программы» государственной программы Пермского края «Управление государственными финансами и государственным долгом Пермского края»</t>
  </si>
  <si>
    <t>Государственная программа Пермского края  «Развитие сельского хозяйства и устойчивое развитие сельских территорий в Пермском крае»</t>
  </si>
  <si>
    <t>1030000</t>
  </si>
  <si>
    <t>Подпрограмма «Поддержка малых форм хозяйствования» государственной программы Пермского края «Развитие сельского хозяйства и устойчивое развитие сельских территорий в Пермском крае»</t>
  </si>
  <si>
    <t>1070000</t>
  </si>
  <si>
    <t>Подпрограмма «Обеспечение реализации государственной программы» государственной программы Пермского края «Развитие сельского хозяйства и устойчивое развитие сельских территорий в Пермском крае»</t>
  </si>
  <si>
    <t>Мероприятия, осуществляемые органами местного самоуправления</t>
  </si>
  <si>
    <t>0316203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</si>
  <si>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</si>
  <si>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0310000</t>
  </si>
  <si>
    <t>Государственная программа Пермского края «Социальная поддержка граждан Пермского края»</t>
  </si>
  <si>
    <t>Подпрограмма «Реализация системы мер социальной помощи и поддержки отдельных категорий граждан Пермского края» государственной программы Пермского края «Социальная поддержка граждан Пермского края»</t>
  </si>
  <si>
    <t>Дотации</t>
  </si>
  <si>
    <t>0208021</t>
  </si>
  <si>
    <t>0526319</t>
  </si>
  <si>
    <t>0520000</t>
  </si>
  <si>
    <t>Государственная программа Пермского края «Семья и дети Пермского края»</t>
  </si>
  <si>
    <t>Подпрограмма «Поддержка материнства и детства.   Формирование среды, дружественной к семье и детям» государственной программы Пермского края «Семья и дети Пермского края»</t>
  </si>
  <si>
    <t>0666321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</si>
  <si>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</si>
  <si>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0660000</t>
  </si>
  <si>
    <t>Государственная программа Пермского края  «Культура Пермского края»</t>
  </si>
  <si>
    <t>Подпрограмма «Развитие архивного дела» государственной программы Пермского края «Культура Пермского края»</t>
  </si>
  <si>
    <t>0866322</t>
  </si>
  <si>
    <t>0800000</t>
  </si>
  <si>
    <t>0860000</t>
  </si>
  <si>
    <t>Государственная программа Пермского края «Обеспечение общественной безопасности Пермского края»</t>
  </si>
  <si>
    <t>Подпрограмма «Реализация государственных полномочий Пермского края» государственной программы Пермского края «Обеспечение общественной безопасности Пермского края»</t>
  </si>
  <si>
    <t>1346326</t>
  </si>
  <si>
    <t>1340000</t>
  </si>
  <si>
    <t>Подпрограмма «Развитие транспортного комплекса Пермского края: Автомобильный транспорт» государственной программы Пермского края «Развитие транспортной системы»</t>
  </si>
  <si>
    <t>Государственная программа Пермского края «Развитие транспортной системы»</t>
  </si>
  <si>
    <t>0316329</t>
  </si>
  <si>
    <t>0126301</t>
  </si>
  <si>
    <t>Организация оказания медицинской помощи на территории Пермского края муниципальными учреждениями</t>
  </si>
  <si>
    <t>Государственная программа Пермского края «Развитие здравоохранения»</t>
  </si>
  <si>
    <t>0120000</t>
  </si>
  <si>
    <t>Подпрограмма  «Совершенствование  оказания  специализированной, включая высокотехнологичную,  медицинской помощи,  скорой, в том числе скорой специализированной, медицинской  помощи, медицинской эвакуации» государственной программы Пермского края «Развитие здравоохранения»</t>
  </si>
  <si>
    <t>0316315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</si>
  <si>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</si>
  <si>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воспитания и обучения детей-инвалидов в муниципальных дошкольных образовательных организациях и на дому</t>
  </si>
  <si>
    <t>0216306</t>
  </si>
  <si>
    <t>Государственная  программа Пермского края «Развитие образования и науки»</t>
  </si>
  <si>
    <t>Подпрограмма «Дошкольное образование» государственной программы Пермского края «Развитие образования и науки»</t>
  </si>
  <si>
    <t>0210000</t>
  </si>
  <si>
    <t>0216330</t>
  </si>
  <si>
    <t>Предоставление государственных гарантий на получение общедоступного бесплатного дошкольного образования по основным общеобразовательным программам в дошкольных образовательных организациях</t>
  </si>
  <si>
    <t>0266311</t>
  </si>
  <si>
    <t>0260000</t>
  </si>
  <si>
    <t>Подпрограмма «Кадровая политика» государственной программы Пермского края «Развитие образования и науки»</t>
  </si>
  <si>
    <t>0226307</t>
  </si>
  <si>
    <t>0220000</t>
  </si>
  <si>
    <t>Подпрограмма «Общее образование» государственной программы Пермского края «Развитие образования и науки»</t>
  </si>
  <si>
    <t>0226308</t>
  </si>
  <si>
    <t>0226310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</si>
  <si>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</si>
  <si>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Дополнительное образование детей</t>
  </si>
  <si>
    <t>Предоставление социальных гарантий и льгот педагогическим работникам муниципальных образовательных организаций Краснокамского муниципального района</t>
  </si>
  <si>
    <t>Отдых и оздоровление детей</t>
  </si>
  <si>
    <t>0576320</t>
  </si>
  <si>
    <t>0570000</t>
  </si>
  <si>
    <t>Подпрограмма «Развитие  системы  отдыха и оздоровления детей» государственной программы Пермского края «Семья и дети Пермского края»</t>
  </si>
  <si>
    <t>0226309</t>
  </si>
  <si>
    <t>0516317</t>
  </si>
  <si>
    <t>0516318</t>
  </si>
  <si>
    <t>0510000</t>
  </si>
  <si>
    <t>Подпрограмма «Государственная социальная поддержка семей и детей» государственной программы Пермского края «Семья и  дети Пермского края»</t>
  </si>
  <si>
    <t>0516316</t>
  </si>
  <si>
    <t>Предоставление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</si>
  <si>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Организационно-воспитательная работа с молодежью</t>
  </si>
  <si>
    <t>Библиотеки</t>
  </si>
  <si>
    <t>Дворцы и дома культуры</t>
  </si>
  <si>
    <t>0316314</t>
  </si>
  <si>
    <t>Физическая культура и спорт</t>
  </si>
  <si>
    <t>Предоставление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</si>
  <si>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Охрана окружающей среды</t>
  </si>
  <si>
    <t>Предупреждение и ликвидация последствий чрезвычайных ситуаций и стихийных бедствий</t>
  </si>
  <si>
    <t>Дорожное хозяйство</t>
  </si>
  <si>
    <t>1006</t>
  </si>
  <si>
    <t>Другие вопросы в области социальной политики</t>
  </si>
  <si>
    <t>0820000</t>
  </si>
  <si>
    <t>Подпрограмма «Противодействие наркомании и незаконному обороту наркотических средств, профилактика потребления психоактивных веществ на территории Пермского края» государственной программы Пермского края «Обеспечение общественной безопасности Пермского края»</t>
  </si>
  <si>
    <t>0826412</t>
  </si>
  <si>
    <t>Организация спортивных  и досуговых мероприятий,  мероприятий по информированию населения в целях профилактики спроса потребления психоактивных веществ</t>
  </si>
  <si>
    <t>0315134</t>
  </si>
  <si>
    <t>0315135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</si>
  <si>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
№ 181-ФЗ «О социальной защите инвалидов в Российской Федерации»</t>
  </si>
  <si>
    <t>9100000</t>
  </si>
  <si>
    <t>Обеспечение деятельности органов государственной власти Пермского края</t>
  </si>
  <si>
    <t>9105930</t>
  </si>
  <si>
    <t>Государственная регистрация актов гражданского состояния</t>
  </si>
  <si>
    <t>Предоставление субсидий муниципальным бюджетным, автономным учреждениям и иным некоммерческим организациям</t>
  </si>
  <si>
    <t>Капитальный ремонт  автомобильных дорог и искусственных сооружений на них в рамках приоритетного регионального проекта "Муниципальные дороги"</t>
  </si>
  <si>
    <t>Закупка товаров, работ и услуг для муниципальных нужд</t>
  </si>
  <si>
    <t>400</t>
  </si>
  <si>
    <t>Бюджетные инвестиции</t>
  </si>
  <si>
    <t>0412</t>
  </si>
  <si>
    <t>Другие вопросы в области национальной экономики</t>
  </si>
  <si>
    <t>0400000</t>
  </si>
  <si>
    <t>Мероприятия в области строительства, архитектуры и градостроительства</t>
  </si>
  <si>
    <t>0400001</t>
  </si>
  <si>
    <t>Подготовка проекта новой  схемы территориального планирования Краснокамского муниципального района</t>
  </si>
  <si>
    <t>3000000</t>
  </si>
  <si>
    <t>Строительство (реконструкция) объектов общественной инфраструктуры</t>
  </si>
  <si>
    <t>3000001</t>
  </si>
  <si>
    <t>Строительство детского сада в микрорайоне "Звездный" в г.Краснокамске Пермского края(ПСД)</t>
  </si>
  <si>
    <t>3000002</t>
  </si>
  <si>
    <t>Строительство детского сада   по ул. М.Рыбалко,19  в г.Краснокамске  на 60 мест (ПИР)</t>
  </si>
  <si>
    <t>3000003</t>
  </si>
  <si>
    <t>Реконструкция здания под детский сад   пер. Банковский ,4а г.Краснокамска (ПИР)</t>
  </si>
  <si>
    <t>Выполнение работ по ремонту и содержанию автомобильных дорог общего пользования местного значения и искусственных сооружений на них</t>
  </si>
  <si>
    <t>Выполнение работ по капитальному ремонту  автомобильных дорог общего пользования местного значения и искусственных сооружений на них, в том числе работы по изысканиям, проектированию, экспертизе</t>
  </si>
  <si>
    <t>0300007</t>
  </si>
  <si>
    <t>0300003</t>
  </si>
  <si>
    <t>0300004</t>
  </si>
  <si>
    <t>0502</t>
  </si>
  <si>
    <t>Коммунальное хозяйство</t>
  </si>
  <si>
    <t>0200024</t>
  </si>
  <si>
    <t>Взнос в уставный капитал открытого акционерного общества "Краснокамская районная теплоэнергетическая компания"</t>
  </si>
  <si>
    <t>0200022</t>
  </si>
  <si>
    <t>Исполнение решений судов, вступивших в законную силу, и оплата государственной пошлины</t>
  </si>
  <si>
    <t>0501</t>
  </si>
  <si>
    <t>Жилищное хозяйство</t>
  </si>
  <si>
    <t>1239602</t>
  </si>
  <si>
    <t>Обеспечение мероприятий по переселению граждан из  аварийного жилищного фонда</t>
  </si>
  <si>
    <t>Государственная программа Пермского края «Обеспечение качественным жильем и услугами ЖКХ населения Пермского края»</t>
  </si>
  <si>
    <t>1230000</t>
  </si>
  <si>
    <t>Подпрограмма «Развитие жилищного строительства в Пермском крае» государственной программы Пермского края «Обеспечение качественным жильем и услугами ЖКХ населения Пермского края»</t>
  </si>
  <si>
    <t>0200014</t>
  </si>
  <si>
    <t>Проведение физкультурных и спортивных мероприятий</t>
  </si>
  <si>
    <t>4000000</t>
  </si>
  <si>
    <t>Ведомственные целевые программы</t>
  </si>
  <si>
    <t>4000001</t>
  </si>
  <si>
    <t>Ведомственная целевая программа "Энергосбережение и энергетическая эффективность администрации Краснокамского муниципального района"</t>
  </si>
  <si>
    <t>4000002</t>
  </si>
  <si>
    <t>Ведомственная целевая программа "Развитие сельского хозяйства в малых формах хозяйствования на территории Краснокамского муниципального района на 2014 год и плановые 2015-2016 годы"</t>
  </si>
  <si>
    <t>4000003</t>
  </si>
  <si>
    <t>Ведомственная целевая программа "Развитие и поддержка субъектов малого и среднего предпринимательства Краснокамского муниципального района на 2014-2016 годы"</t>
  </si>
  <si>
    <t xml:space="preserve">01 06 04 01 05 0000 810 
</t>
  </si>
  <si>
    <t>Исполнение муниципальных гарантий Краснокамского муниципального района в валюте Российской Федерации в случае, если исполнение гарантом муниципальных гарантий Краснокамского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</si>
  <si>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Средства, получаемые в порядке регресса сумм, уплаченных гарантом во исполнение (частичное исполнение) обязательств по муниципальным гарантиям Краснокамского муниципального района</t>
  </si>
  <si>
    <t>Изменение прочих остатков денежных средств бюджета Краснокамского муниципального района</t>
  </si>
  <si>
    <t>01 05 02 01 05 0000 000</t>
  </si>
  <si>
    <t>01 05 02 01 05 0000 610</t>
  </si>
  <si>
    <t>Уменьшение прочих остатков денежных средств бюджета Краснокамского муниципального района</t>
  </si>
  <si>
    <t>1200003</t>
  </si>
  <si>
    <t>1300003</t>
  </si>
  <si>
    <t>0300008</t>
  </si>
  <si>
    <t>3000004</t>
  </si>
  <si>
    <t>Строительство детского сада на 190 мест по ул.Чапаева, 40  в  г.Краснокамске Пермского края</t>
  </si>
  <si>
    <t>3000005</t>
  </si>
  <si>
    <t>Строительство детского сада в микрорайоне "Звездный" в г.Краснокамске Пермского края</t>
  </si>
  <si>
    <t>3000006</t>
  </si>
  <si>
    <t>Строительство детского сада на 60 мест в микрорайоне Матросово, ул. М.Рыбалко, 19 в г.Краснокамске Пермского края</t>
  </si>
  <si>
    <t>3000007</t>
  </si>
  <si>
    <t>Реконструкция здания под детский сад   пер. Банковский ,4а  в г.Краснокамске Пермского края</t>
  </si>
  <si>
    <t>3000008</t>
  </si>
  <si>
    <t>Строительство пристроя в МБОУ СОШ № 8 г.Краснокамска</t>
  </si>
  <si>
    <t>Реализация мероприятий в рамках регионального проекта  "Приведение в нормативное состояние муниципальных образовательных учреждений (организаций)"   (дошкольные образовательные учреждения (организации)</t>
  </si>
  <si>
    <t>Реализация мероприятий в рамках регионального проекта  "Приведение в нормативное состояние муниципальных образовательных учреждений (организаций)"   (общеобразовательные учреждения (организации)</t>
  </si>
  <si>
    <t>Реализация мероприятий в рамках регионального проекта "Приведение в нормативное состояние объектов дорожного хозяйства"</t>
  </si>
  <si>
    <t>4000004</t>
  </si>
  <si>
    <t>Ведомственная целевая программа "Охрана окружающей среды Краснокамского муниципального района на 2014-2016 годы"</t>
  </si>
  <si>
    <t>Уточненный план на год</t>
  </si>
  <si>
    <t>Исполнено</t>
  </si>
  <si>
    <t>Отклонение</t>
  </si>
  <si>
    <t>8</t>
  </si>
  <si>
    <t>9</t>
  </si>
  <si>
    <t>Оказание социальной помощи гражданам</t>
  </si>
  <si>
    <t>2100004</t>
  </si>
  <si>
    <t>2108308</t>
  </si>
  <si>
    <t>Обеспечение жильем молодых семей в Пермском крае на 2011-2015 годы в части участия в подпрограмме "Обеспечени жильем молодых семей "ФЦП "Жилище"</t>
  </si>
  <si>
    <t>0108101</t>
  </si>
  <si>
    <t>Обслуживание лицевых счетов органов местного самоуправления Краснокамского городского поселения, муниципальных учреждений</t>
  </si>
  <si>
    <t>0108201</t>
  </si>
  <si>
    <t>0108301</t>
  </si>
  <si>
    <t>Обслуживание лицевых счетов Майского сельского поселения, муниципальных учреждений</t>
  </si>
  <si>
    <t>Обслуживание лицевых счетов органов местного самоуправления Оверятского городского поселения, муниципальных учреждений</t>
  </si>
  <si>
    <t>0108401</t>
  </si>
  <si>
    <t>Обслуживание лицевых счетов органов местного самоуправления Стряпунинского сельского поселения, муниципальных учреждений</t>
  </si>
  <si>
    <t>0200020</t>
  </si>
  <si>
    <t>Единовременное денежное вознаграждение лицам, награжденным Почетной грамотой главы Краснокамского муниципального района</t>
  </si>
  <si>
    <t>0310</t>
  </si>
  <si>
    <t>Обеспечение пожарной безопасности</t>
  </si>
  <si>
    <t>9200000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</si>
  <si>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</si>
  <si>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9202101</t>
  </si>
  <si>
    <t>Мероприятия,   осуществляемые органами государственной власти Пермского края, в рамках непрограммных направлений расходов</t>
  </si>
  <si>
    <t>0200013</t>
  </si>
  <si>
    <t>Проведение культурных мероприятий</t>
  </si>
  <si>
    <t>9202139</t>
  </si>
  <si>
    <t>Субсидии на формирование земельных участков для предоставления многодетным семьям</t>
  </si>
  <si>
    <t>0108204</t>
  </si>
  <si>
    <t>Выдача разрешений на строительство, разрешений на ввод объектов в эксплуатацию, подготовка и выдача градостроительных планов земельных участков Оверятского городского поселения</t>
  </si>
  <si>
    <t>0108404</t>
  </si>
  <si>
    <t>Осуществление полномочий в части выдачи разрешений на строительство, на ввод объектов в эксплуатацию</t>
  </si>
  <si>
    <t>0108209</t>
  </si>
  <si>
    <t>В части исполнения бюд.полномочий фин.органа поеления в случае возникновения расх.обяз-тв при заключении заказчиками поселения мун.контрактов и договоров в рамках ФЗ РФ от 05.04.2013 № 44-ФЗ "О контрактной системе в сфере закупок товаров, работ и услуг для обеспечения гос. и мун. нужд"</t>
  </si>
  <si>
    <t>0108409</t>
  </si>
  <si>
    <t>Осуществление полномочий в части исполнения функций уполномоченного органа поселения в сфере осуществления закупок при заключении заказчиками Стряпунинского сельского поселения муниципальных контрактов и договоров в рамках ФЗ РФ №44-ФЗ</t>
  </si>
  <si>
    <t>0316403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</si>
  <si>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</si>
  <si>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2108106</t>
  </si>
  <si>
    <t>Обеспечение жильем молодых семей</t>
  </si>
  <si>
    <t>2108206</t>
  </si>
  <si>
    <t>Обеспечение жильем молодых семей Оверятского городского поселения</t>
  </si>
  <si>
    <t>2108306</t>
  </si>
  <si>
    <t>2108406</t>
  </si>
  <si>
    <t>Обеспечение жильем молодых семей Стряпунинского сельского поселения</t>
  </si>
  <si>
    <t>0108102</t>
  </si>
  <si>
    <t>Осуществление внешнего муниципального финансового контроля Краснокамского городского поселения</t>
  </si>
  <si>
    <t>0108202</t>
  </si>
  <si>
    <t>Осуществление внешнего муниципального финансового контроля Оверятского городского поселения</t>
  </si>
  <si>
    <t>0108302</t>
  </si>
  <si>
    <t>0108402</t>
  </si>
  <si>
    <t>Осуществление внешнего муниципального финансового контроля Майского сельского поселения</t>
  </si>
  <si>
    <t>Осуществление внешнего муниципального финансового контроля Стряпунинского сельского поселения</t>
  </si>
  <si>
    <t>0620000</t>
  </si>
  <si>
    <t>0626206</t>
  </si>
  <si>
    <t>Приобретение музыкальных инструментов и оборудования для муниципальных образовательных учреждений (организаций) дополнительного образования детей сферы искусства и культуры Пермского края</t>
  </si>
  <si>
    <t>Подпрограмма «Развитие системы художественного образования Пермского края» государственной программы Пермского края «Культура Пермского края»</t>
  </si>
  <si>
    <t>1808103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</si>
  <si>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Краснокамского городского поселения</t>
  </si>
  <si>
    <t>1808203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</si>
  <si>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Оверятского городского поселения</t>
  </si>
  <si>
    <t>1808303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</si>
  <si>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Майского сельского поселения</t>
  </si>
  <si>
    <t>1808403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</si>
  <si>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Стряпунинского сельского поселения</t>
  </si>
  <si>
    <t>% исполнения</t>
  </si>
  <si>
    <t>Приложение 3</t>
  </si>
  <si>
    <t>к постановлению администрации</t>
  </si>
  <si>
    <t>Обеспечение жильем отдельных категорий граждан, установленных Федеральным законом от 12 января 
1995 г. № 5-ФЗ «О ветеранах», в соответствии с Указом Президента Российской  Федерации от 7 мая 2008г. 
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</si>
  <si>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</si>
  <si>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Приложение 2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</si>
  <si>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 Федерации от 7 мая 2008 г. № 714 «Об обеспечении жильем ветеранов Великой Отечественной войны 1941-1945 годов»</t>
  </si>
  <si>
    <t>Приложение 4</t>
  </si>
  <si>
    <t>Приложение 1</t>
  </si>
  <si>
    <t>Краснокамского муниципального района</t>
  </si>
  <si>
    <t>к Постановлению администрации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</si>
  <si>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</si>
  <si>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</si>
  <si>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Ассигнования 2010 год тыс.руб.</t>
  </si>
  <si>
    <t>Утверждено решением о бюджете</t>
  </si>
  <si>
    <t>000</t>
  </si>
  <si>
    <t>10000000000000000</t>
  </si>
  <si>
    <t>НАЛОГОВЫЕ И НЕНАЛОГОВЫЕ ДОХОДЫ</t>
  </si>
  <si>
    <t>10100000000000100</t>
  </si>
  <si>
    <t>Налоги на прибыль, доходы</t>
  </si>
  <si>
    <t>182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</si>
  <si>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</si>
  <si>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</si>
  <si>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</si>
  <si>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227' и 228 Налогового кодекса Российской Федерации</t>
  </si>
  <si>
    <t>10102020010000110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</si>
  <si>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</si>
  <si>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</si>
  <si>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НК РФ</t>
  </si>
  <si>
    <t>10102040010000110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</si>
  <si>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227' НК РФ</t>
  </si>
  <si>
    <t>10300000000000000</t>
  </si>
  <si>
    <t>10302000010000110</t>
  </si>
  <si>
    <t>Акцизы по подакцизным товарам (продукции), производимым на территории РФ</t>
  </si>
  <si>
    <t>10302230010000110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</si>
  <si>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</si>
  <si>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>10302240010000110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</si>
  <si>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</si>
  <si>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10302250010000110</t>
  </si>
  <si>
    <t xml:space="preserve"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 </t>
  </si>
  <si>
    <t>10302260010000110</t>
  </si>
  <si>
    <t xml:space="preserve"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 </t>
  </si>
  <si>
    <t>10500000000000000</t>
  </si>
  <si>
    <t>Налоги на совокупный доход</t>
  </si>
  <si>
    <t>10502010020000110</t>
  </si>
  <si>
    <t>Единый налог на вмененный доход для отдельных видов деятельности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</si>
  <si>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</si>
  <si>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</si>
  <si>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10503000010000110</t>
  </si>
  <si>
    <t xml:space="preserve">Единый сельскохозяйственный налог </t>
  </si>
  <si>
    <t>Налог, взимаемый в связи с применением патентной системы налогообложения, зачисляемый в бюджеты муниципальных районов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</si>
  <si>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</si>
  <si>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</si>
  <si>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</si>
  <si>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</si>
  <si>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</si>
  <si>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</si>
  <si>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</si>
  <si>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</si>
  <si>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10606000000000110</t>
  </si>
  <si>
    <t>Земельный налог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</si>
  <si>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</si>
  <si>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</si>
  <si>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</si>
  <si>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</si>
  <si>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</si>
  <si>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</si>
  <si>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</si>
  <si>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</si>
  <si>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10807140010000110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</si>
  <si>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</t>
  </si>
  <si>
    <t>10807150010000110</t>
  </si>
  <si>
    <t>Государственная пошлина за выдачу разрешения на установку рекламной конструкции</t>
  </si>
  <si>
    <t>10900000000000110</t>
  </si>
  <si>
    <t>Задолженность и перерасчёты по отменённым налогам, сборам и иным обязательным платежам</t>
  </si>
  <si>
    <t>10907030000000110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</si>
  <si>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</si>
  <si>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t>10907033050000110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</si>
  <si>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мобилизируемые на территориях муниципальных районов</t>
  </si>
  <si>
    <t>10907050000000110</t>
  </si>
  <si>
    <t>Прочие местные налоги и сборы</t>
  </si>
  <si>
    <t>10907053050000110</t>
  </si>
  <si>
    <t>Прочие местные налоги и сборы, мобилизируемые на территориях муниципальных районов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</si>
  <si>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</si>
  <si>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</si>
  <si>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</si>
  <si>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</si>
  <si>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</si>
  <si>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</si>
  <si>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</si>
  <si>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</si>
  <si>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</si>
  <si>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</si>
  <si>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</si>
  <si>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11105030000000120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</si>
  <si>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</si>
  <si>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</si>
  <si>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</si>
  <si>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</si>
  <si>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</si>
  <si>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</si>
  <si>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</si>
  <si>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</si>
  <si>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</si>
  <si>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</si>
  <si>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</si>
  <si>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</si>
  <si>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</si>
  <si>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</si>
  <si>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</si>
  <si>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</si>
  <si>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</si>
  <si>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</si>
  <si>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</si>
  <si>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</si>
  <si>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048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</si>
  <si>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</si>
  <si>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</si>
  <si>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</si>
  <si>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</si>
  <si>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</si>
  <si>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выбросы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</si>
  <si>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</si>
  <si>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</si>
  <si>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11201050010000120</t>
  </si>
  <si>
    <t>Плата за иные виды негативного воздействия на окружающую среду</t>
  </si>
  <si>
    <t>11201070010000120</t>
  </si>
  <si>
    <t>Плата за выбросы загрязняющих вещесттв, образующихся при сжигании на факульных установках и (или) рассеивании попутного нефтяного газ</t>
  </si>
  <si>
    <t>11300000000000000</t>
  </si>
  <si>
    <t>Доходы от оказания платных услуг (работ) и компенсации затрат государства</t>
  </si>
  <si>
    <t>11301000000000130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</si>
  <si>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</si>
  <si>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</si>
  <si>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</si>
  <si>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государтсва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</si>
  <si>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</si>
  <si>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</si>
  <si>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</si>
  <si>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</si>
  <si>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</si>
  <si>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</si>
  <si>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</si>
  <si>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</si>
  <si>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</si>
  <si>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</si>
  <si>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</si>
  <si>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</si>
  <si>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11402050050000440</t>
  </si>
  <si>
    <t xml:space="preserve">Доходы от реализации имущества, находящегося в собственности муниципальных районов(за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</si>
  <si>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11402052050000440</t>
  </si>
  <si>
    <t>Доходы от реализации имущества, находящегося в оперативном управлении учреждений, находящихся в ведении органов управлений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</si>
  <si>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</si>
  <si>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</si>
  <si>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</si>
  <si>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</si>
  <si>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11406013100000430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</si>
  <si>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</si>
  <si>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</si>
  <si>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</si>
  <si>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</si>
  <si>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</si>
  <si>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</si>
  <si>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</si>
  <si>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Денежные взыскания, (штрафы) за нарушения законодательства о налогах и сборах</t>
  </si>
  <si>
    <t>11603010010000140</t>
  </si>
  <si>
    <t>11603030010000140</t>
  </si>
  <si>
    <t>Денежные взыскания (штрафы) за административные правонарушения в области налогов и сборов, предусмотренных Кодексом РФ об административных правонарушениях</t>
  </si>
  <si>
    <t>11606000010000140</t>
  </si>
  <si>
    <t>Денежные взыскания,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</si>
  <si>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</si>
  <si>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</si>
  <si>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11623051050000140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</si>
  <si>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</si>
  <si>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нарушения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законодательства,водного законодательства</t>
  </si>
  <si>
    <t>076</t>
  </si>
  <si>
    <t>11625030010000140</t>
  </si>
  <si>
    <t xml:space="preserve">Денежные взыскания (штрафы) за нарушение законодательства Российской Федерации об охране и использовании животного мира </t>
  </si>
  <si>
    <t>321</t>
  </si>
  <si>
    <t>11625060010000140</t>
  </si>
  <si>
    <t>Денежные взыскания (штрафы) за нарушение земельного законодательства</t>
  </si>
  <si>
    <t>141</t>
  </si>
  <si>
    <t>11628000010000140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</si>
  <si>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</si>
  <si>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</si>
  <si>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административные правонарушения в области дорожного движения</t>
  </si>
  <si>
    <t>11630030000000140</t>
  </si>
  <si>
    <t>Прочие денежные взыскания (штрафы) за правонарушения в области дорожного движения</t>
  </si>
  <si>
    <t>11633000000000140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</si>
  <si>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</si>
  <si>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161</t>
  </si>
  <si>
    <t>11633050050000140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</si>
  <si>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</si>
  <si>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192</t>
  </si>
  <si>
    <t>11643000010000140</t>
  </si>
  <si>
    <t>Денежные взыскания (штрафы) за нарушение законодательства РФ об административных правонарушениях, предусмотренные ст. 20.25 Кодекса РФ от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</si>
  <si>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</si>
  <si>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</si>
  <si>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</si>
  <si>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</si>
  <si>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</si>
  <si>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</si>
  <si>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11701050050000180</t>
  </si>
  <si>
    <t>Невыясненные поступления, зачисляемые в бюджеты муниципальных районов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</si>
  <si>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</si>
  <si>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</si>
  <si>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</si>
  <si>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</si>
  <si>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</si>
  <si>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</si>
  <si>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</si>
  <si>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 субъектов Российской Федерации и муниципальных образований</t>
  </si>
  <si>
    <t>20201001000000151</t>
  </si>
  <si>
    <t>Дотации на выравнивание бюджетной обеспеченности</t>
  </si>
  <si>
    <t>20201001050000151</t>
  </si>
  <si>
    <t>Дотации бюджетам муниципальных районов на выравнивание бюджетной обеспеченности</t>
  </si>
  <si>
    <t>20201003050000151</t>
  </si>
  <si>
    <t>Дотации бюджетам муниципальных районов на поддержку мер по обеспечению сбалансированности бюджетов</t>
  </si>
  <si>
    <t>20201999050000151</t>
  </si>
  <si>
    <t xml:space="preserve">Прочие дотации бюджетам муниципальных районов </t>
  </si>
  <si>
    <t>20202000000000151</t>
  </si>
  <si>
    <t>Субсидии бюджетам субъектов РФ и муниципальных образований (межбюджетные субсидии)</t>
  </si>
  <si>
    <t>20202008000000151</t>
  </si>
  <si>
    <t>Субсидии бюджетам на обеспечение жильем молодых семей</t>
  </si>
  <si>
    <t>20202008050000151</t>
  </si>
  <si>
    <t>Субсидии бюджетам муниципальных районов на обеспечение жильем молодых семей</t>
  </si>
  <si>
    <t>20202051000000151</t>
  </si>
  <si>
    <t>Субсидии бюджетам на реализацию федеральных целевых программ</t>
  </si>
  <si>
    <t>20202051050000151</t>
  </si>
  <si>
    <t>Субсидии бюджетам муниципальных районов на реализацию федеральных целевых программ</t>
  </si>
  <si>
    <t>20202077000000151</t>
  </si>
  <si>
    <t>Субсидии бюджетам на бюджетные инвестиции в объекты капитального строительства государственной собственности(объекты капитального строительства собственности муниципальных образований)</t>
  </si>
  <si>
    <t>20202077050000151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</si>
  <si>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</si>
  <si>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20202085000000151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</si>
  <si>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</si>
  <si>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20202085050000151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</si>
  <si>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</si>
  <si>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</si>
  <si>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</si>
  <si>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20202089050001151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</si>
  <si>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</si>
  <si>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20202089050002151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</si>
  <si>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</si>
  <si>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20202204050000151</t>
  </si>
  <si>
    <t>Иные межбюджетные трансферты на модернизацию региональных систем дошкольного  образования</t>
  </si>
  <si>
    <t>Субсидии бюджетам муниципальных районов на обеспечение мероприятий по переселению граждан из аварийонго жилищного фонда за счет средств бюджетов</t>
  </si>
  <si>
    <t>20202089050004151</t>
  </si>
  <si>
    <t>20202153000000151</t>
  </si>
  <si>
    <t>Субсидии бюджетам на поддержку начинающих фермеров</t>
  </si>
  <si>
    <t>20202153050000151</t>
  </si>
  <si>
    <t>Субсидии бюджетам муниципальных районов на поддержку начинающих фермеров</t>
  </si>
  <si>
    <t>20202999050000151</t>
  </si>
  <si>
    <t>Прочие субсидии бюджетам муниципальных районов</t>
  </si>
  <si>
    <t>20203000000000151</t>
  </si>
  <si>
    <t>Субвенции бюджетам субъектов РФ и муниципальных образований</t>
  </si>
  <si>
    <t>20203002050000151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</si>
  <si>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</si>
  <si>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20203003050000151</t>
  </si>
  <si>
    <t>Субвенции бюджетам муниципальных районов на государственную регистрацию актов гражданского состояния</t>
  </si>
  <si>
    <t>20203007050000151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</si>
  <si>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</si>
  <si>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20203021050000151</t>
  </si>
  <si>
    <t>Субвенции бюджетам муниципальных районов на ежемесячное денежное вознаграждение за классное руководство</t>
  </si>
  <si>
    <t>20203024050000151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</si>
  <si>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</si>
  <si>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</si>
  <si>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Субвенции местным бюдетам на обеспечение обслуживания лицевых счетов органов государственной власти Пермского края, государственных казенных учреждений</t>
  </si>
  <si>
    <t>Субвенции на организацию оказания медицинской помощи на территории Пермского края муниципальным учреждениям (расходы на совершенствование оказания медицинской помощи по социально-значимым и прочим заболеваниям)</t>
  </si>
  <si>
    <t>Организация оказания медицинской помощи на территории Пермского края муниципальным учреждениям (расходы на администрирование финансового обеспечения и на выполнение переданных полномочий)</t>
  </si>
  <si>
    <t>Составление протоколов об административных 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</si>
  <si>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международного сообщения</t>
  </si>
  <si>
    <t>Образование комиссий по делам несовершеннолетних и защите их прав и организацию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</si>
  <si>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семей(администрирование)</t>
  </si>
  <si>
    <t>Субвенции на осуществление государственных полномочий по постановке на учет граждан, имеющих право на получение жилищных субсидий  в связи с переселением из районов Крайнего Севера и приравненных к ним местностей</t>
  </si>
  <si>
    <t>Обеспечение жилыми помещениями детей -сирот, детей, оставшихся без попечения родителей, а также детей, находящихся под опекой (попечительством), не имеющих закрепленного жилого помещения (администрирование)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</si>
  <si>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ПК</t>
  </si>
  <si>
    <t>Субвенция на обеспечение донорской кровью и ее компонентами муниципальных учреждений здравоохранения (ФОТ)</t>
  </si>
  <si>
    <t>Субвенция на обеспечение донорской кровью и ее компонентами муниципальных учреждений здравоохранения (Прочие расходы)</t>
  </si>
  <si>
    <t>Субвенция на обеспечение государственных гарантий  на получение общедоступного бесплатного дошкольного, начального общего, основного общего,  среднего (полного) общего образования, а также дополнительного образования в общеобразовательных учреждениях</t>
  </si>
  <si>
    <t>Субвенции на 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</si>
  <si>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Субвенции на предоставление мер социальной поддержки учащимся из многодетных малоимущих семей (Бесплатное питание)</t>
  </si>
  <si>
    <t>Предоставление мер социальной поддержки учащимся из многодетных малоимущих семей (Обеспечение одеждой)</t>
  </si>
  <si>
    <t>Субвенции бюджетам на предоставление мер соц.поддержки учащимся из многодетных малоимущих семей (Одежда -многодетные)</t>
  </si>
  <si>
    <t>Обеспечение воспитания и обучение детей-инвалидов в дошкольных образовательных учреждениях на дому</t>
  </si>
  <si>
    <t xml:space="preserve">Обеспечение воспитания и обучение детей-инвалидов в дошкольных образовательных учреждениях </t>
  </si>
  <si>
    <t>Субвенции на предоставление мер социальной поддержки учащимся из малоимущих семей</t>
  </si>
  <si>
    <t>Субвенции на предоставление государственных гарантий на получение общедоступного бесплатного дошкольного образования по основным общеобразовательным программам в дошкольных образовательных учреждениях</t>
  </si>
  <si>
    <t xml:space="preserve">Субвенция на предоставление выплаты компенсации части родительской платы за содержание ребенка (присмотр и уход за ребенком) Администрирование выплат </t>
  </si>
  <si>
    <t xml:space="preserve">Субвенция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специализированных (коррекционных) образовательных учреждениях </t>
  </si>
  <si>
    <t>Предоставление дополнительных социальных гарантий и льгот педагогическим работникам дошкольных и общеобразовательных организаций (в части ежемесячных надбавок педагогическим работникам общеобразовательных учреждений)</t>
  </si>
  <si>
    <t>Субвенция на предоставление социальных гарантий и льгот педагогическим работникам дошкольных и общеобразовательных организаций (в части единовременных пособий педагогическим работникам)</t>
  </si>
  <si>
    <t>Предоставление социальных гарантий и льгот педагогическим работникам дошкольных и общеобразовательных организаций (Администрирование полномочий в части единовременных пособий педагогическим работникам)</t>
  </si>
  <si>
    <t>Предоставление социальных гарантий и льгот педагогическим работникам дошкольных и общеобразовательных организаций (в части еежемесячных надбавок педагогическим работникам дошкольных учреждений)</t>
  </si>
  <si>
    <t>Предоставление дополнительных социальных гарантий и льгот педагогическим работникам дошкольных и общеобразовательных организаций (Администрирование полномлчий в части ежемесячных надбавок педагогическим работникам дошкольных учреждений)</t>
  </si>
  <si>
    <t>Субвенция на обеспечение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</si>
  <si>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Стипендиальное обеспечение обучающихся в 10-х и 11 классах общеобразовательных организаций (Обеспечение)</t>
  </si>
  <si>
    <t>Стипендиальное обеспечение обучающихся в 10-х и 11 классах общеобразовательных организаций (Администрирование полномочий)</t>
  </si>
  <si>
    <t xml:space="preserve">Субвенции на организацию оздоровления и отдыха детей 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</si>
  <si>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</si>
  <si>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</si>
  <si>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затрат на уплату процентов по долгосрочным, среднесрочным и краткосрочным кредитам( займам), взятым малыми формами хозяйствования (создание условий для развития малого и среднего бизнеса)</t>
  </si>
  <si>
    <t>20203026050000151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</si>
  <si>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</si>
  <si>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лицам из их числа по договорам найма специализированных жилых помещений</t>
  </si>
  <si>
    <t>20203029050000151</t>
  </si>
  <si>
    <t>Субвенции бюджетам муниципальных районов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</si>
  <si>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20203046050000151</t>
  </si>
  <si>
    <t>Субсидии на возмещ. части затрат на уплату % по кредитам полученным в РКО, и займам получ. в с/х кредит.потреб. кооперативах в 2005-2011 годах личных подсоб.хозяйства с/х потреб. кооперативам КФХ на сролк до 8 лет.</t>
  </si>
  <si>
    <t>20203055050000151</t>
  </si>
  <si>
    <t>Организация оказания медицинской помощи на территории Пермского края (снижение смертности в трудоспособном возрасте от болезней системы кровообращения)</t>
  </si>
  <si>
    <t>Организация оказания медицинской помощи на территории Пермского края ( расходы на администрирование финансового обеспечения и на выполнение переданных полномочий по организации оказания медицинской помощи)</t>
  </si>
  <si>
    <t>20203069050000151</t>
  </si>
  <si>
    <t>Субвенции бюджетам муниципальных районов на 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  обеспечении жильем  ветеранов  ВОВ 1941-1945 годов"</t>
  </si>
  <si>
    <t>20203070050000151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</si>
  <si>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</si>
  <si>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20203078050000151</t>
  </si>
  <si>
    <t>Субвенции бюджетам муниципальных районов на модернизацию региональных систем общего образования</t>
  </si>
  <si>
    <t>20203115050000151</t>
  </si>
  <si>
    <t>Возмещение части процентной ставки по долгосрочным, среднесрочным и краткосрочным кредитам,взятым малыми формами хозяйствования</t>
  </si>
  <si>
    <t>20203999050000151</t>
  </si>
  <si>
    <t>Прочие субвенции бюджетам муниципальных районов</t>
  </si>
  <si>
    <t>Прочие субвенции бюджетам муниципальных районов (Обеспечение жилыми помещениями реабилитационных лиц, имеющих инвалидность или являющихся пенсионерами, и проживающих совместно с членами их семей)</t>
  </si>
  <si>
    <t>Закон Пермского края от 01.06.2010 №628-ПК"О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типа(рабочих поселках),по оплате жилого помещения и коммунальных услуг</t>
  </si>
  <si>
    <t>20204000000000151</t>
  </si>
  <si>
    <t>Иные межбюджетные трансферты</t>
  </si>
  <si>
    <t>2020405000000151</t>
  </si>
  <si>
    <t>Межбюджетные трансферты, передаваемые бюджетам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</si>
  <si>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20204012050000151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</si>
  <si>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</si>
  <si>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</si>
  <si>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</si>
  <si>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Обслуживание лицевых счетов</t>
  </si>
  <si>
    <t>Библиотечное обслуживание, комплектование библиотечных фондов</t>
  </si>
  <si>
    <t>Внешний муниципальный финансовый контроль</t>
  </si>
  <si>
    <t>ДЦП "Обеспечение жильем молодых семей в ПК на 2011-2015 годы"</t>
  </si>
  <si>
    <t>Выдача разрешений на строительство, разрешений на ввод объектов в эксплуатацию, подготовка и выдача градостроительных планов земельных участков</t>
  </si>
  <si>
    <t>Разработка генерального плана Майского сельского поселения</t>
  </si>
  <si>
    <t>Возникновение расходных обязательств поселения при заключении заказчиками поселения муниципальных контрактов и договоров в рамках ФЗ РФ от 05.04.2013 № 44-ФЗ "О контрактной системе в сфере закупок товаров, работ и услуг для обеспечения государственных и муниципальных нужд"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</si>
  <si>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 по оплате жилого помещения и коммунальных услуг</t>
  </si>
  <si>
    <t>Региональный проект "Устойчивое развитие сельских территорий"</t>
  </si>
  <si>
    <t>Газификация жилого фонда с. Черная-2 очередь (ПИР)</t>
  </si>
  <si>
    <t>Газификация жилого фонда д. Фадеята (ПИР)</t>
  </si>
  <si>
    <t>Региональный проект "Сельское жилье"</t>
  </si>
  <si>
    <t>Водоснабжение г. Краснокамска из подземных источников (экспертиза)</t>
  </si>
  <si>
    <t xml:space="preserve">Газификация частных домов д. Конец - Бор </t>
  </si>
  <si>
    <t xml:space="preserve">Газификация частных домов д. Нижние Симонята </t>
  </si>
  <si>
    <t>Газификация частных домов с. Усть - Сыны (ул. Речная)</t>
  </si>
  <si>
    <t>Распределительный газопровод д. Хухрята Краснокамского района Пермского края</t>
  </si>
  <si>
    <t>Разработка проектно-сметной документации капитального ремонта участков дорог по ул. Молодежная, пер. Вокзальный и ул. Строителей п. Оверята</t>
  </si>
  <si>
    <t>МБУ Мысовский дом культуры "Восход"</t>
  </si>
  <si>
    <t>МБУК МЦБС Ласьвинская библиотека - филиал № 10</t>
  </si>
  <si>
    <t>МБУК Черновской дом культуры</t>
  </si>
  <si>
    <t>МБУК МЦБС Оверятская поселковая библиотека - филиал № 3</t>
  </si>
  <si>
    <t>МБУК Оверятский дом культуры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</si>
  <si>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</si>
  <si>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</si>
  <si>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20204034050002151</t>
  </si>
  <si>
    <t>Межбюджетные трансферты, передаваемые бюджетам муниципальных районов на реализацию Программы модернизации здравоохранения Пермского края в части внедрения современных информационных систем в здравоохранении</t>
  </si>
  <si>
    <t>20204041050000151</t>
  </si>
  <si>
    <t>Подключение общедоступных библиотек к сети Интернет</t>
  </si>
  <si>
    <t>20204052050000151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</si>
  <si>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поселений. Создание новых и модернизация существующих институций сферы культуры</t>
  </si>
  <si>
    <t>20204053050000151</t>
  </si>
  <si>
    <t>20204999050000151</t>
  </si>
  <si>
    <t>Прочие межбюджетные трансферты, передаваемые бюджетам муниципальных районов</t>
  </si>
  <si>
    <t>ДЦП "Развитие физической культуры, спорта и здорового образа жизни в ПК на 2011-2015г. - реализация проекта "Спортивный клуб+Спортивный сертификат"</t>
  </si>
  <si>
    <t>Организация спортивных и досуговых мероприятий для молодежи и подростков на территории Краснокамского муниципального района</t>
  </si>
  <si>
    <t>Организация мероприятий по информированию населения Краснокамского муниципального района о последствиях потребления ПАВ, обучению специалистов работе в антинаркотической среде</t>
  </si>
  <si>
    <t>ДЦП "Развитие сельского хозяйства ри регулирование рынков сельскохозяйственной продукции, сырья и продовольствия в Пермском крае на 2013-2020 годы" за исключением противоэкзотических мероприятий</t>
  </si>
  <si>
    <t>Капитальный ремонт и ремонт автомобильных дорог общего пользования населенных пунктов Пермского края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</si>
  <si>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</si>
  <si>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Приобретение учебного, развивающего, мультимедийного, музыкального, физкультурно-оздоровительного оборудования и инвентаря в дошкольные учреждения в соответствии с федеральными государственными требованиями - иные задачи по направлению" Социальная порлитика"</t>
  </si>
  <si>
    <t>Мероприятия по стимулированию педагогических работников по результатам обучения школьников (повышение качества общего образования)</t>
  </si>
  <si>
    <t>Субвенция на реализацию долгосрочной целевой программы улучшения жилищных условий молодых учителей (компенсационная выплата)</t>
  </si>
  <si>
    <t>Субвенция на реализацию долгосрочной целевой программы улучшения жилищных условий молодых учителей (социальная выплата)</t>
  </si>
  <si>
    <t>ДЦП "Привлечение и закрепление медицинских кадров в государственных и муниципальных учреждениях здравоохранения Пермского края на 2013 -2015годы" частичная компенсация затрат на приобретение (строительство) жилья</t>
  </si>
  <si>
    <t>ВЦП "Выявление, мониторинг лечения, профилактика ВИЧ-инфекции в Пермском крае (Админ.)</t>
  </si>
  <si>
    <t>Софинансирование отдельных мероприятий муниципальных целевых программ развития малого и среднего предпринимательства (иные межбюджетные трансферты)</t>
  </si>
  <si>
    <t>Конкурс муниципальных районов и городских округов ПК по достижению наиболее результативных значений показателей социально-экономического развития муниципальных районов и город.округов ПК.</t>
  </si>
  <si>
    <t>Активизация института самообложения граждан</t>
  </si>
  <si>
    <t>Возмещение хозяйствующим субъектам недополученных доходов от перевозки на территории Пермского края отдельных категорий граждан с использованием  социальных проездных документов (Федеральное СПД)</t>
  </si>
  <si>
    <t>Возмещение хозяйствующим субъектам недополученных доходов от перевозки на территории Пермского края отдельных категорий граждан с использованием  социальных проездных документов (Региональное СПД)</t>
  </si>
  <si>
    <t>Субвенции на предоставление учителям общеобразовательных учреждений ипотечного кредита</t>
  </si>
  <si>
    <t>Стимулирование ОМС по сельхозналогу</t>
  </si>
  <si>
    <t>Обеспечение вовлечения органами местного самоуправления  земельных участков, государственная собственность на которые не разграничена и находящихся в муниципальной собственности, под жилищное строительство</t>
  </si>
  <si>
    <t>Мероприятия направленные на снижение уровня преступности</t>
  </si>
  <si>
    <t>Проведение эксперимента "Стимулирование педагогических работников по результатам обучения школьников"</t>
  </si>
  <si>
    <t>20700000000000180</t>
  </si>
  <si>
    <t>Прочие безвозмездные поступления</t>
  </si>
  <si>
    <t>20705030050000180</t>
  </si>
  <si>
    <t>Прочие безвозмездные поступления в бюджеты муниципальных районов (ОАО "Российская инновационная топливно-энергетическая компания")</t>
  </si>
  <si>
    <t>20705000050000180</t>
  </si>
  <si>
    <t>Прочие безвозмездные поступления в бюджеты муниципальных районов (ООО "ЛУКОЙЛ-ПЕРМЬ")</t>
  </si>
  <si>
    <t>Прочие безвозмездные поступления в бюджеты муниципальных районов (ИП Киракосян М. В.)</t>
  </si>
  <si>
    <t>21800000000000000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</si>
  <si>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</si>
  <si>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21805010050000151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</si>
  <si>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</si>
  <si>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</si>
  <si>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</si>
  <si>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21805020050000180</t>
  </si>
  <si>
    <t>Доходы бюджетов муниципальных районов от возврата автономными учреждениями остатков субсидий прошлых лет</t>
  </si>
  <si>
    <t>21805030050000180</t>
  </si>
  <si>
    <t>Доходы бюджетов муниципальных районов от возврата иными организациями остатков субсидий прошлых лет</t>
  </si>
  <si>
    <t>001</t>
  </si>
  <si>
    <t>21805030100000180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</si>
  <si>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</si>
  <si>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</si>
  <si>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</si>
  <si>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</si>
  <si>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</si>
  <si>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</si>
  <si>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</si>
  <si>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</si>
  <si>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</si>
  <si>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 xml:space="preserve">Обеспечение деятельности финансовых, налоговых и таможенных  органов и органов финансового (финансово-бюджетного) надзора </t>
  </si>
  <si>
    <t>0107</t>
  </si>
  <si>
    <t>Обеспечение проведения выборов и референдумов</t>
  </si>
  <si>
    <t>Обслуживание государственного и муниципального долга</t>
  </si>
  <si>
    <t>0112</t>
  </si>
  <si>
    <t>0114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</si>
  <si>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</si>
  <si>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</si>
  <si>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</si>
  <si>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</si>
  <si>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</si>
  <si>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0302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</si>
  <si>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</si>
  <si>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</si>
  <si>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</si>
  <si>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0401</t>
  </si>
  <si>
    <t>Общеэкономические вопросы</t>
  </si>
  <si>
    <t>0407</t>
  </si>
  <si>
    <t>Лесное хозяйство</t>
  </si>
  <si>
    <t>Другие вопрсоы в области национальной экономики</t>
  </si>
  <si>
    <t>Жилищно-коммунальное хозяйство</t>
  </si>
  <si>
    <t>0505</t>
  </si>
  <si>
    <t>Другие вопросы в области жилищно-коммунального хозяйства</t>
  </si>
  <si>
    <t>Образование</t>
  </si>
  <si>
    <t>Культура, кинематография, средства массовой информации</t>
  </si>
  <si>
    <t>0806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</si>
  <si>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</si>
  <si>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</si>
  <si>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0901</t>
  </si>
  <si>
    <t>Стационарная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</si>
  <si>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</si>
  <si>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</si>
  <si>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</si>
  <si>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</si>
  <si>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</si>
  <si>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</si>
  <si>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Другие вопрсоы в области социальной политики</t>
  </si>
  <si>
    <t/>
  </si>
  <si>
    <t>ВСЕГО:</t>
  </si>
  <si>
    <t>ДЕФИЦИТ</t>
  </si>
  <si>
    <t>01 05 02 01 05 0000 510</t>
  </si>
  <si>
    <t>Увеличение прочих остатков денежных средств бюджета Краснокамского муниципального района</t>
  </si>
  <si>
    <t>Приложение 5</t>
  </si>
  <si>
    <t>Код классификации</t>
  </si>
  <si>
    <t>Расходы бюджета</t>
  </si>
  <si>
    <t>211</t>
  </si>
  <si>
    <t>Заработная плата</t>
  </si>
  <si>
    <t>212</t>
  </si>
  <si>
    <t>Прочие выплаты</t>
  </si>
  <si>
    <t>221</t>
  </si>
  <si>
    <t>Услуги связи</t>
  </si>
  <si>
    <t>222</t>
  </si>
  <si>
    <t>Транспортные услуги</t>
  </si>
  <si>
    <t>Услуги по содержанию имущества</t>
  </si>
  <si>
    <t>226</t>
  </si>
  <si>
    <t>Прочие услуги</t>
  </si>
  <si>
    <t>241</t>
  </si>
  <si>
    <t>Безвозмездные перечисления государственным и муниципальным организациям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</si>
  <si>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</si>
  <si>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</si>
  <si>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</si>
  <si>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</si>
  <si>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</si>
  <si>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</si>
  <si>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</si>
  <si>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</si>
  <si>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225</t>
  </si>
  <si>
    <t>242</t>
  </si>
  <si>
    <t>Безвозмездные и безвовратные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</si>
  <si>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</si>
  <si>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</si>
  <si>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Безвозмездные и безвовратные перечисления государственным организациям</t>
  </si>
  <si>
    <t>213</t>
  </si>
  <si>
    <t>Начисление на оплату труда</t>
  </si>
  <si>
    <t>Культура, кинематография</t>
  </si>
  <si>
    <t>Здравоохранение</t>
  </si>
  <si>
    <t>Средства массовой информации</t>
  </si>
  <si>
    <t>6</t>
  </si>
  <si>
    <t>Сумма  (тыс. рублей)</t>
  </si>
  <si>
    <t>Безвозмездные перечисления организациям, за исключением государственных и муниципальных организаций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</si>
  <si>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</si>
  <si>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В части исполнения бюджетных полномочий финансового органа поселения в случае возникновения расходных обязательств при заключении заказчиками поселения муниципальных контрактов и договоров в рамках ФЗ РФ от 05.04.2013 № 44-ФЗ "О контрактной системе в сфере закупок товаров, работ и услуг для обеспечения государственных и муниципальных нужд"</t>
  </si>
  <si>
    <t>от 25.04.2014 № 588</t>
  </si>
  <si>
    <t>1036209</t>
  </si>
  <si>
    <t>0508008</t>
  </si>
  <si>
    <t>0308008</t>
  </si>
  <si>
    <t>3008104</t>
  </si>
  <si>
    <t>0610000</t>
  </si>
  <si>
    <t>0615147</t>
  </si>
  <si>
    <t>0615148</t>
  </si>
  <si>
    <t>0650000</t>
  </si>
  <si>
    <t>0656207</t>
  </si>
  <si>
    <t>1710000</t>
  </si>
  <si>
    <t>1716419</t>
  </si>
  <si>
    <t>0400004</t>
  </si>
  <si>
    <t>0400006</t>
  </si>
  <si>
    <t>0316328</t>
  </si>
  <si>
    <t>0500001</t>
  </si>
  <si>
    <t>0186414</t>
  </si>
  <si>
    <t>0180000</t>
  </si>
  <si>
    <t>0515020</t>
  </si>
  <si>
    <t>0516210</t>
  </si>
  <si>
    <t>0200015</t>
  </si>
  <si>
    <t>0266404</t>
  </si>
  <si>
    <t>0710000</t>
  </si>
  <si>
    <t>0716410</t>
  </si>
  <si>
    <t>0300210</t>
  </si>
  <si>
    <t>3000009</t>
  </si>
  <si>
    <t>3000201</t>
  </si>
  <si>
    <t>3000301</t>
  </si>
  <si>
    <t>3000302</t>
  </si>
  <si>
    <t>0716411</t>
  </si>
  <si>
    <t>Отчет об исполнении бюджета Краснокамского муниципального района за 1 полугодие 2014 года по бюджетополучателям (ведомственная структура расходов)</t>
  </si>
  <si>
    <t>Отчет об использовании средств резервного фонда администрации Краснокамского муниципального района за 1 полугодие 2014 года</t>
  </si>
  <si>
    <t>Развитие семейных животноводческих ферм, поддержка начинающих фермеров, поддержка иных мероприятий по развитию малых форм хозяйствования, реализуемых в рамках софинансирования муниципальных программ</t>
  </si>
  <si>
    <t>Реализация мероприятий в рамках регионального проекта "Первичные меры пожарной безопасности и благоустройство территорий"</t>
  </si>
  <si>
    <t>Инвестиционный проект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</si>
  <si>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Подпрограмма «Развитие искусства  и  культуры Пермского края» государственной программы Пермского края «Культура Пермского края»</t>
  </si>
  <si>
    <t>Подпрограмма «Развитие инфраструктуры и приведение в нормативное состояние учреждений отрасли культуры Пермского края» государственной программы Пермского края  «Культура  Пермского края»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</si>
  <si>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</si>
  <si>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</si>
  <si>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Модернизация материально-технической базы и информатизация общедоступных библиотек муниципальных образований Пермского края</t>
  </si>
  <si>
    <t>Государственная программа Пермского края «Региональная политика и развитие территорий»</t>
  </si>
  <si>
    <t>Подпрограмма «Развитие  и  поддержка местного самоуправления» государственной программы Пермского края «Региональная политика и развитие территорий»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</si>
  <si>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</si>
  <si>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Мероприятия по формированию и постановке на государственный кадастровый учет земельных участков для предоставления многодетным семьям</t>
  </si>
  <si>
    <t>Разработка архитектурно-планировочного решения территории бывшего пионерского лагеря "Рассвет" с целью дальнейшего предоставления многодетным семьям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</si>
  <si>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</si>
  <si>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Осуществление мероприятий в области предупреждения и ликвидации последствий чрезвычайных ситуаций</t>
  </si>
  <si>
    <t>Подпрограмма «Кадровое обеспечение системы здравоохранения Пермского края» государственной программы Пермского края «Развитие здравоохранения»</t>
  </si>
  <si>
    <t>Привлечение и закрепление медицинских кадров</t>
  </si>
  <si>
    <t>Обеспечение жильем молодых семей 2011-2015годы ФЦП "Жилище"</t>
  </si>
  <si>
    <t>Проведение мероприятий для детей и молодежи</t>
  </si>
  <si>
    <t>Улучшение жилищных условий молодых учителей</t>
  </si>
  <si>
    <t>Государственная программа Пермского края «Развитие физической культуры и спорта»</t>
  </si>
  <si>
    <t>Подпрограмма «Развитие физической культуры и массового спорта» государственной программы Пермского края «Развитие физической культуры и спорта»</t>
  </si>
  <si>
    <t>Реализация проекта "Спортивный клуб+Спортивный сертификат" в образовательных учреждениях по месту жительства</t>
  </si>
  <si>
    <t>Капитальный ремонт ул.Молодежной п.Оверята (ПИР)</t>
  </si>
  <si>
    <t>Реконструкция общежития по ул. Энтузиастов, 5 (ПИР)</t>
  </si>
  <si>
    <t>Газификация жилого фонда пос. Ласьва Краснокамского района Пермского края (ПИР)</t>
  </si>
  <si>
    <t>Газификация частных домов с. Усть-Сыны</t>
  </si>
  <si>
    <t>Газификация частных домов д.Конец-Бор</t>
  </si>
  <si>
    <t>Строительство межшкольных стадионов и площадок</t>
  </si>
  <si>
    <t xml:space="preserve">Отчет об исполнении бюджета Краснокамского муниципального района по расходам за 1 полугодие 2014 года </t>
  </si>
  <si>
    <t>0108309</t>
  </si>
  <si>
    <t>Межбюджетные трансферты на осуществление полномочий в части исполнения функций уполномоченного органа в фсере осуществления закупок в рамках ФЗ от 05.04.2013 №44-ФЗ"О контрактной системе в сфере закупок товаров, работ, услуг для обеспечения государственныхи муниципальных нужд"</t>
  </si>
  <si>
    <t>Реализация программы в рамках ФЦП "Устойчивое развитие сельских территорий на 2014-2017 годы и на плановый период до 2020 года"</t>
  </si>
  <si>
    <t>Приложение 6</t>
  </si>
  <si>
    <t>№  п/п</t>
  </si>
  <si>
    <t>Направление расходов по мероприятиям</t>
  </si>
  <si>
    <t>1.</t>
  </si>
  <si>
    <t>2.</t>
  </si>
  <si>
    <t>Всего:</t>
  </si>
  <si>
    <t>Отчет об использовании средств дорожного фонда Краснокамского муниципального района за 1 полугодие 2014 года</t>
  </si>
  <si>
    <t>11603000000000140</t>
  </si>
  <si>
    <t>Поддержка лучших работников муниципальных учреждений культуры, находящихся на территории сельских поселений</t>
  </si>
  <si>
    <t>Межбюджетные трансферты на реализацию мероприятий в рамках подпроекта "Кадровое обеспечение системы здравоохранения ПК"</t>
  </si>
  <si>
    <t>Обеспечение жильем молодых семей в Пермском красе (социальные выплаты молодым семьям в размере 10% расчетной (средней) стоимости жилья)</t>
  </si>
  <si>
    <t>Софинансирование ФЦП "Жилище" на 2011-2015г(35%)</t>
  </si>
  <si>
    <t>Модернизация материально-технической базы и информации общедоступных библиотек муниципальных образований Пермского края</t>
  </si>
  <si>
    <t>Отчет об исполнении бюджета Краснокамского муниципального района по источникам финансирования дефицита бюджета за 1 полугодие 2014 года</t>
  </si>
  <si>
    <t xml:space="preserve"> 01 06 05 01 05 0000 640</t>
  </si>
  <si>
    <t xml:space="preserve">Отчет об исполнении бюджета Краснокамского муниципального района по доходам за 1 полугодие 2014 года </t>
  </si>
  <si>
    <t>Налоги на товары (работы, услуги), реализуемые на территории РФ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</si>
  <si>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</t>
  </si>
  <si>
    <t>11625000000000140</t>
  </si>
  <si>
    <t>ул. Молодежная п. Оверята</t>
  </si>
  <si>
    <t>х</t>
  </si>
  <si>
    <t>Денежные взыскания (штрафы) за нарушения законодательства о налогах и сборах, предусмотренные статьями 116, 117, 118, пунктами 1 и 2 статьи 120, статьями 125, 126, 128, 129, 129.1, 132,133,134,135,135.1 Налогового кодекса РФ, а также штрафы, взыскание которых осуществляется на основании ранее действовавшей статьи 117 НК РФ</t>
  </si>
  <si>
    <t>Предоставление дополнительных социальных гарантий и льгот педагогическим работникам дошкольных и общеобразовательных организаций (Администрирование полномочий в части ежемесячных надбавок педагогическим работникам общеобразовательных учреждений)</t>
  </si>
  <si>
    <t>от 21.07.2014 № 955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</si>
</sst>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_(* #,##0.00_);_(* \(#,##0.00\);_(* &quot;-&quot;??_);_(@_)"/>
    <numFmt numFmtId="166" formatCode="_-* #,##0.00\ _D_M_-;\-* #,##0.00\ _D_M_-;_-* &quot;-&quot;??\ _D_M_-;_-@_-"/>
    <numFmt numFmtId="167" formatCode="#,##0.0"/>
    <numFmt numFmtId="168" formatCode="0.0000%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"/>
    <numFmt numFmtId="176" formatCode="0.00000"/>
    <numFmt numFmtId="177" formatCode="0.0%"/>
    <numFmt numFmtId="178" formatCode="000000"/>
  </numFmts>
  <fonts count="82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63" fillId="8" borderId="0" applyNumberFormat="0" applyBorder="0" applyAlignment="0" applyProtection="0"/>
    <xf numFmtId="0" fontId="0" fillId="9" borderId="0" applyNumberFormat="0" applyBorder="0" applyAlignment="0" applyProtection="0"/>
    <xf numFmtId="0" fontId="63" fillId="10" borderId="0" applyNumberFormat="0" applyBorder="0" applyAlignment="0" applyProtection="0"/>
    <xf numFmtId="0" fontId="0" fillId="7" borderId="0" applyNumberFormat="0" applyBorder="0" applyAlignment="0" applyProtection="0"/>
    <xf numFmtId="0" fontId="63" fillId="11" borderId="0" applyNumberFormat="0" applyBorder="0" applyAlignment="0" applyProtection="0"/>
    <xf numFmtId="0" fontId="0" fillId="12" borderId="0" applyNumberFormat="0" applyBorder="0" applyAlignment="0" applyProtection="0"/>
    <xf numFmtId="0" fontId="63" fillId="13" borderId="0" applyNumberFormat="0" applyBorder="0" applyAlignment="0" applyProtection="0"/>
    <xf numFmtId="0" fontId="0" fillId="14" borderId="0" applyNumberFormat="0" applyBorder="0" applyAlignment="0" applyProtection="0"/>
    <xf numFmtId="0" fontId="63" fillId="15" borderId="0" applyNumberFormat="0" applyBorder="0" applyAlignment="0" applyProtection="0"/>
    <xf numFmtId="0" fontId="0" fillId="16" borderId="0" applyNumberFormat="0" applyBorder="0" applyAlignment="0" applyProtection="0"/>
    <xf numFmtId="0" fontId="63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63" fillId="22" borderId="0" applyNumberFormat="0" applyBorder="0" applyAlignment="0" applyProtection="0"/>
    <xf numFmtId="0" fontId="0" fillId="6" borderId="0" applyNumberFormat="0" applyBorder="0" applyAlignment="0" applyProtection="0"/>
    <xf numFmtId="0" fontId="63" fillId="23" borderId="0" applyNumberFormat="0" applyBorder="0" applyAlignment="0" applyProtection="0"/>
    <xf numFmtId="0" fontId="0" fillId="3" borderId="0" applyNumberFormat="0" applyBorder="0" applyAlignment="0" applyProtection="0"/>
    <xf numFmtId="0" fontId="63" fillId="24" borderId="0" applyNumberFormat="0" applyBorder="0" applyAlignment="0" applyProtection="0"/>
    <xf numFmtId="0" fontId="0" fillId="25" borderId="0" applyNumberFormat="0" applyBorder="0" applyAlignment="0" applyProtection="0"/>
    <xf numFmtId="0" fontId="63" fillId="26" borderId="0" applyNumberFormat="0" applyBorder="0" applyAlignment="0" applyProtection="0"/>
    <xf numFmtId="0" fontId="0" fillId="14" borderId="0" applyNumberFormat="0" applyBorder="0" applyAlignment="0" applyProtection="0"/>
    <xf numFmtId="0" fontId="63" fillId="27" borderId="0" applyNumberFormat="0" applyBorder="0" applyAlignment="0" applyProtection="0"/>
    <xf numFmtId="0" fontId="0" fillId="6" borderId="0" applyNumberFormat="0" applyBorder="0" applyAlignment="0" applyProtection="0"/>
    <xf numFmtId="0" fontId="63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64" fillId="30" borderId="0" applyNumberFormat="0" applyBorder="0" applyAlignment="0" applyProtection="0"/>
    <xf numFmtId="0" fontId="5" fillId="31" borderId="0" applyNumberFormat="0" applyBorder="0" applyAlignment="0" applyProtection="0"/>
    <xf numFmtId="0" fontId="64" fillId="32" borderId="0" applyNumberFormat="0" applyBorder="0" applyAlignment="0" applyProtection="0"/>
    <xf numFmtId="0" fontId="5" fillId="3" borderId="0" applyNumberFormat="0" applyBorder="0" applyAlignment="0" applyProtection="0"/>
    <xf numFmtId="0" fontId="64" fillId="33" borderId="0" applyNumberFormat="0" applyBorder="0" applyAlignment="0" applyProtection="0"/>
    <xf numFmtId="0" fontId="5" fillId="25" borderId="0" applyNumberFormat="0" applyBorder="0" applyAlignment="0" applyProtection="0"/>
    <xf numFmtId="0" fontId="64" fillId="34" borderId="0" applyNumberFormat="0" applyBorder="0" applyAlignment="0" applyProtection="0"/>
    <xf numFmtId="0" fontId="5" fillId="35" borderId="0" applyNumberFormat="0" applyBorder="0" applyAlignment="0" applyProtection="0"/>
    <xf numFmtId="0" fontId="64" fillId="36" borderId="0" applyNumberFormat="0" applyBorder="0" applyAlignment="0" applyProtection="0"/>
    <xf numFmtId="0" fontId="5" fillId="37" borderId="0" applyNumberFormat="0" applyBorder="0" applyAlignment="0" applyProtection="0"/>
    <xf numFmtId="0" fontId="6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0" fillId="45" borderId="0" applyNumberFormat="0" applyBorder="0" applyAlignment="0" applyProtection="0"/>
    <xf numFmtId="0" fontId="0" fillId="48" borderId="0" applyNumberFormat="0" applyBorder="0" applyAlignment="0" applyProtection="0"/>
    <xf numFmtId="0" fontId="5" fillId="46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0" fillId="56" borderId="0" applyNumberFormat="0" applyBorder="0" applyAlignment="0" applyProtection="0"/>
    <xf numFmtId="0" fontId="0" fillId="5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18" fillId="47" borderId="0" applyNumberFormat="0" applyBorder="0" applyAlignment="0" applyProtection="0"/>
    <xf numFmtId="0" fontId="19" fillId="63" borderId="1" applyNumberFormat="0" applyAlignment="0" applyProtection="0"/>
    <xf numFmtId="0" fontId="20" fillId="48" borderId="2" applyNumberFormat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60" borderId="1" applyNumberFormat="0" applyAlignment="0" applyProtection="0"/>
    <xf numFmtId="0" fontId="27" fillId="0" borderId="6" applyNumberFormat="0" applyFill="0" applyAlignment="0" applyProtection="0"/>
    <xf numFmtId="0" fontId="28" fillId="60" borderId="0" applyNumberFormat="0" applyBorder="0" applyAlignment="0" applyProtection="0"/>
    <xf numFmtId="0" fontId="16" fillId="0" borderId="0">
      <alignment/>
      <protection/>
    </xf>
    <xf numFmtId="0" fontId="1" fillId="59" borderId="7" applyNumberFormat="0" applyFont="0" applyAlignment="0" applyProtection="0"/>
    <xf numFmtId="0" fontId="29" fillId="63" borderId="8" applyNumberFormat="0" applyAlignment="0" applyProtection="0"/>
    <xf numFmtId="4" fontId="7" fillId="68" borderId="9" applyNumberFormat="0" applyProtection="0">
      <alignment vertical="center"/>
    </xf>
    <xf numFmtId="4" fontId="30" fillId="68" borderId="10" applyNumberFormat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4" fontId="8" fillId="68" borderId="9" applyNumberFormat="0" applyProtection="0">
      <alignment vertical="center"/>
    </xf>
    <xf numFmtId="4" fontId="31" fillId="68" borderId="10" applyNumberFormat="0" applyProtection="0">
      <alignment vertical="center"/>
    </xf>
    <xf numFmtId="0" fontId="1" fillId="0" borderId="0">
      <alignment/>
      <protection/>
    </xf>
    <xf numFmtId="4" fontId="7" fillId="68" borderId="9" applyNumberFormat="0" applyProtection="0">
      <alignment horizontal="left" vertical="center" indent="1"/>
    </xf>
    <xf numFmtId="4" fontId="30" fillId="68" borderId="10" applyNumberFormat="0" applyProtection="0">
      <alignment horizontal="left" vertical="center" indent="1"/>
    </xf>
    <xf numFmtId="0" fontId="1" fillId="0" borderId="0">
      <alignment/>
      <protection/>
    </xf>
    <xf numFmtId="4" fontId="7" fillId="68" borderId="9" applyNumberFormat="0" applyProtection="0">
      <alignment horizontal="left" vertical="center" indent="1"/>
    </xf>
    <xf numFmtId="0" fontId="9" fillId="68" borderId="10" applyNumberFormat="0" applyProtection="0">
      <alignment horizontal="left" vertical="top" indent="1"/>
    </xf>
    <xf numFmtId="0" fontId="30" fillId="68" borderId="10" applyNumberFormat="0" applyProtection="0">
      <alignment horizontal="left" vertical="top" indent="1"/>
    </xf>
    <xf numFmtId="0" fontId="1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7" borderId="9" applyNumberFormat="0" applyProtection="0">
      <alignment horizontal="right" vertical="center"/>
    </xf>
    <xf numFmtId="4" fontId="12" fillId="7" borderId="10" applyNumberFormat="0" applyProtection="0">
      <alignment horizontal="right" vertical="center"/>
    </xf>
    <xf numFmtId="0" fontId="1" fillId="0" borderId="0">
      <alignment/>
      <protection/>
    </xf>
    <xf numFmtId="4" fontId="7" fillId="69" borderId="9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0" fontId="1" fillId="0" borderId="0">
      <alignment/>
      <protection/>
    </xf>
    <xf numFmtId="4" fontId="7" fillId="70" borderId="11" applyNumberFormat="0" applyProtection="0">
      <alignment horizontal="right" vertical="center"/>
    </xf>
    <xf numFmtId="4" fontId="12" fillId="70" borderId="10" applyNumberFormat="0" applyProtection="0">
      <alignment horizontal="right" vertical="center"/>
    </xf>
    <xf numFmtId="0" fontId="1" fillId="0" borderId="0">
      <alignment/>
      <protection/>
    </xf>
    <xf numFmtId="4" fontId="7" fillId="29" borderId="9" applyNumberFormat="0" applyProtection="0">
      <alignment horizontal="right" vertical="center"/>
    </xf>
    <xf numFmtId="4" fontId="12" fillId="29" borderId="10" applyNumberFormat="0" applyProtection="0">
      <alignment horizontal="right" vertical="center"/>
    </xf>
    <xf numFmtId="0" fontId="1" fillId="0" borderId="0">
      <alignment/>
      <protection/>
    </xf>
    <xf numFmtId="4" fontId="7" fillId="39" borderId="9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0" fontId="1" fillId="0" borderId="0">
      <alignment/>
      <protection/>
    </xf>
    <xf numFmtId="4" fontId="7" fillId="71" borderId="9" applyNumberFormat="0" applyProtection="0">
      <alignment horizontal="right" vertical="center"/>
    </xf>
    <xf numFmtId="4" fontId="12" fillId="71" borderId="10" applyNumberFormat="0" applyProtection="0">
      <alignment horizontal="right" vertical="center"/>
    </xf>
    <xf numFmtId="0" fontId="1" fillId="0" borderId="0">
      <alignment/>
      <protection/>
    </xf>
    <xf numFmtId="4" fontId="7" fillId="20" borderId="9" applyNumberFormat="0" applyProtection="0">
      <alignment horizontal="right" vertical="center"/>
    </xf>
    <xf numFmtId="4" fontId="12" fillId="20" borderId="10" applyNumberFormat="0" applyProtection="0">
      <alignment horizontal="right" vertical="center"/>
    </xf>
    <xf numFmtId="0" fontId="1" fillId="0" borderId="0">
      <alignment/>
      <protection/>
    </xf>
    <xf numFmtId="4" fontId="7" fillId="72" borderId="9" applyNumberFormat="0" applyProtection="0">
      <alignment horizontal="right" vertical="center"/>
    </xf>
    <xf numFmtId="4" fontId="12" fillId="72" borderId="10" applyNumberFormat="0" applyProtection="0">
      <alignment horizontal="right" vertical="center"/>
    </xf>
    <xf numFmtId="0" fontId="1" fillId="0" borderId="0">
      <alignment/>
      <protection/>
    </xf>
    <xf numFmtId="4" fontId="7" fillId="25" borderId="9" applyNumberFormat="0" applyProtection="0">
      <alignment horizontal="right" vertical="center"/>
    </xf>
    <xf numFmtId="4" fontId="12" fillId="25" borderId="10" applyNumberFormat="0" applyProtection="0">
      <alignment horizontal="right" vertical="center"/>
    </xf>
    <xf numFmtId="0" fontId="1" fillId="0" borderId="0">
      <alignment/>
      <protection/>
    </xf>
    <xf numFmtId="4" fontId="7" fillId="73" borderId="11" applyNumberFormat="0" applyProtection="0">
      <alignment horizontal="left" vertical="center" indent="1"/>
    </xf>
    <xf numFmtId="4" fontId="30" fillId="73" borderId="12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32" fillId="19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2" borderId="9" applyNumberFormat="0" applyProtection="0">
      <alignment horizontal="right" vertical="center"/>
    </xf>
    <xf numFmtId="4" fontId="12" fillId="2" borderId="10" applyNumberFormat="0" applyProtection="0">
      <alignment horizontal="right" vertical="center"/>
    </xf>
    <xf numFmtId="0" fontId="1" fillId="0" borderId="0">
      <alignment/>
      <protection/>
    </xf>
    <xf numFmtId="4" fontId="7" fillId="74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2" borderId="11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>
      <alignment/>
      <protection/>
    </xf>
    <xf numFmtId="0" fontId="1" fillId="19" borderId="10" applyNumberFormat="0" applyProtection="0">
      <alignment horizontal="left" vertical="center" indent="1"/>
    </xf>
    <xf numFmtId="0" fontId="7" fillId="21" borderId="9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7" fillId="19" borderId="10" applyNumberFormat="0" applyProtection="0">
      <alignment horizontal="left" vertical="top" indent="1"/>
    </xf>
    <xf numFmtId="0" fontId="1" fillId="19" borderId="10" applyNumberFormat="0" applyProtection="0">
      <alignment horizontal="left" vertical="top" indent="1"/>
    </xf>
    <xf numFmtId="0" fontId="1" fillId="0" borderId="0">
      <alignment/>
      <protection/>
    </xf>
    <xf numFmtId="0" fontId="1" fillId="2" borderId="10" applyNumberFormat="0" applyProtection="0">
      <alignment horizontal="left" vertical="center" indent="1"/>
    </xf>
    <xf numFmtId="0" fontId="7" fillId="75" borderId="9" applyNumberFormat="0" applyProtection="0">
      <alignment horizontal="left" vertical="center" indent="1"/>
    </xf>
    <xf numFmtId="0" fontId="7" fillId="2" borderId="10" applyNumberFormat="0" applyProtection="0">
      <alignment horizontal="left" vertical="top" indent="1"/>
    </xf>
    <xf numFmtId="0" fontId="1" fillId="2" borderId="10" applyNumberFormat="0" applyProtection="0">
      <alignment horizontal="left" vertical="top" indent="1"/>
    </xf>
    <xf numFmtId="0" fontId="1" fillId="0" borderId="0">
      <alignment/>
      <protection/>
    </xf>
    <xf numFmtId="0" fontId="1" fillId="6" borderId="10" applyNumberFormat="0" applyProtection="0">
      <alignment horizontal="left" vertical="center" indent="1"/>
    </xf>
    <xf numFmtId="0" fontId="7" fillId="6" borderId="9" applyNumberFormat="0" applyProtection="0">
      <alignment horizontal="left" vertical="center" indent="1"/>
    </xf>
    <xf numFmtId="0" fontId="7" fillId="6" borderId="10" applyNumberFormat="0" applyProtection="0">
      <alignment horizontal="left" vertical="top" indent="1"/>
    </xf>
    <xf numFmtId="0" fontId="1" fillId="6" borderId="10" applyNumberFormat="0" applyProtection="0">
      <alignment horizontal="left" vertical="top" indent="1"/>
    </xf>
    <xf numFmtId="0" fontId="1" fillId="0" borderId="0">
      <alignment/>
      <protection/>
    </xf>
    <xf numFmtId="0" fontId="7" fillId="74" borderId="9" applyNumberFormat="0" applyProtection="0">
      <alignment horizontal="left" vertical="center" indent="1"/>
    </xf>
    <xf numFmtId="0" fontId="1" fillId="74" borderId="10" applyNumberFormat="0" applyProtection="0">
      <alignment horizontal="left" vertical="center" indent="1"/>
    </xf>
    <xf numFmtId="0" fontId="1" fillId="0" borderId="0">
      <alignment/>
      <protection/>
    </xf>
    <xf numFmtId="0" fontId="7" fillId="74" borderId="10" applyNumberFormat="0" applyProtection="0">
      <alignment horizontal="left" vertical="top" indent="1"/>
    </xf>
    <xf numFmtId="0" fontId="1" fillId="74" borderId="10" applyNumberFormat="0" applyProtection="0">
      <alignment horizontal="left" vertical="top" indent="1"/>
    </xf>
    <xf numFmtId="0" fontId="1" fillId="0" borderId="0">
      <alignment/>
      <protection/>
    </xf>
    <xf numFmtId="0" fontId="7" fillId="5" borderId="13" applyNumberFormat="0">
      <alignment/>
      <protection locked="0"/>
    </xf>
    <xf numFmtId="0" fontId="1" fillId="5" borderId="14" applyNumberFormat="0">
      <alignment/>
      <protection locked="0"/>
    </xf>
    <xf numFmtId="0" fontId="1" fillId="0" borderId="0">
      <alignment/>
      <protection/>
    </xf>
    <xf numFmtId="0" fontId="10" fillId="19" borderId="15" applyBorder="0">
      <alignment/>
      <protection/>
    </xf>
    <xf numFmtId="4" fontId="11" fillId="4" borderId="10" applyNumberFormat="0" applyProtection="0">
      <alignment vertical="center"/>
    </xf>
    <xf numFmtId="4" fontId="12" fillId="4" borderId="10" applyNumberFormat="0" applyProtection="0">
      <alignment vertical="center"/>
    </xf>
    <xf numFmtId="0" fontId="1" fillId="0" borderId="0">
      <alignment/>
      <protection/>
    </xf>
    <xf numFmtId="4" fontId="8" fillId="4" borderId="14" applyNumberFormat="0" applyProtection="0">
      <alignment vertical="center"/>
    </xf>
    <xf numFmtId="4" fontId="33" fillId="4" borderId="10" applyNumberFormat="0" applyProtection="0">
      <alignment vertical="center"/>
    </xf>
    <xf numFmtId="0" fontId="1" fillId="0" borderId="0">
      <alignment/>
      <protection/>
    </xf>
    <xf numFmtId="4" fontId="11" fillId="21" borderId="10" applyNumberFormat="0" applyProtection="0">
      <alignment horizontal="left" vertical="center" indent="1"/>
    </xf>
    <xf numFmtId="4" fontId="12" fillId="4" borderId="10" applyNumberFormat="0" applyProtection="0">
      <alignment horizontal="left" vertical="center" indent="1"/>
    </xf>
    <xf numFmtId="0" fontId="1" fillId="0" borderId="0">
      <alignment/>
      <protection/>
    </xf>
    <xf numFmtId="0" fontId="11" fillId="4" borderId="10" applyNumberFormat="0" applyProtection="0">
      <alignment horizontal="left" vertical="top" indent="1"/>
    </xf>
    <xf numFmtId="0" fontId="12" fillId="4" borderId="10" applyNumberFormat="0" applyProtection="0">
      <alignment horizontal="left" vertical="top" indent="1"/>
    </xf>
    <xf numFmtId="0" fontId="1" fillId="0" borderId="0">
      <alignment/>
      <protection/>
    </xf>
    <xf numFmtId="4" fontId="12" fillId="74" borderId="10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8" fillId="5" borderId="9" applyNumberFormat="0" applyProtection="0">
      <alignment horizontal="right" vertical="center"/>
    </xf>
    <xf numFmtId="4" fontId="33" fillId="74" borderId="10" applyNumberFormat="0" applyProtection="0">
      <alignment horizontal="right" vertical="center"/>
    </xf>
    <xf numFmtId="0" fontId="1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12" fillId="2" borderId="10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1" fillId="2" borderId="10" applyNumberFormat="0" applyProtection="0">
      <alignment horizontal="left" vertical="top" indent="1"/>
    </xf>
    <xf numFmtId="0" fontId="12" fillId="2" borderId="10" applyNumberFormat="0" applyProtection="0">
      <alignment horizontal="left" vertical="top" indent="1"/>
    </xf>
    <xf numFmtId="0" fontId="1" fillId="0" borderId="0">
      <alignment/>
      <protection/>
    </xf>
    <xf numFmtId="4" fontId="13" fillId="76" borderId="11" applyNumberFormat="0" applyProtection="0">
      <alignment horizontal="left" vertical="center" indent="1"/>
    </xf>
    <xf numFmtId="4" fontId="34" fillId="76" borderId="0" applyNumberFormat="0" applyProtection="0">
      <alignment horizontal="left" vertical="center" indent="1"/>
    </xf>
    <xf numFmtId="0" fontId="1" fillId="0" borderId="0">
      <alignment/>
      <protection/>
    </xf>
    <xf numFmtId="0" fontId="7" fillId="77" borderId="14">
      <alignment/>
      <protection/>
    </xf>
    <xf numFmtId="4" fontId="14" fillId="5" borderId="9" applyNumberFormat="0" applyProtection="0">
      <alignment horizontal="right" vertical="center"/>
    </xf>
    <xf numFmtId="4" fontId="35" fillId="74" borderId="10" applyNumberFormat="0" applyProtection="0">
      <alignment horizontal="right" vertical="center"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64" fillId="78" borderId="0" applyNumberFormat="0" applyBorder="0" applyAlignment="0" applyProtection="0"/>
    <xf numFmtId="0" fontId="5" fillId="79" borderId="0" applyNumberFormat="0" applyBorder="0" applyAlignment="0" applyProtection="0"/>
    <xf numFmtId="0" fontId="64" fillId="80" borderId="0" applyNumberFormat="0" applyBorder="0" applyAlignment="0" applyProtection="0"/>
    <xf numFmtId="0" fontId="5" fillId="70" borderId="0" applyNumberFormat="0" applyBorder="0" applyAlignment="0" applyProtection="0"/>
    <xf numFmtId="0" fontId="64" fillId="81" borderId="0" applyNumberFormat="0" applyBorder="0" applyAlignment="0" applyProtection="0"/>
    <xf numFmtId="0" fontId="5" fillId="20" borderId="0" applyNumberFormat="0" applyBorder="0" applyAlignment="0" applyProtection="0"/>
    <xf numFmtId="0" fontId="64" fillId="82" borderId="0" applyNumberFormat="0" applyBorder="0" applyAlignment="0" applyProtection="0"/>
    <xf numFmtId="0" fontId="5" fillId="35" borderId="0" applyNumberFormat="0" applyBorder="0" applyAlignment="0" applyProtection="0"/>
    <xf numFmtId="0" fontId="64" fillId="83" borderId="0" applyNumberFormat="0" applyBorder="0" applyAlignment="0" applyProtection="0"/>
    <xf numFmtId="0" fontId="5" fillId="37" borderId="0" applyNumberFormat="0" applyBorder="0" applyAlignment="0" applyProtection="0"/>
    <xf numFmtId="0" fontId="64" fillId="84" borderId="0" applyNumberFormat="0" applyBorder="0" applyAlignment="0" applyProtection="0"/>
    <xf numFmtId="0" fontId="5" fillId="71" borderId="0" applyNumberFormat="0" applyBorder="0" applyAlignment="0" applyProtection="0"/>
    <xf numFmtId="0" fontId="65" fillId="85" borderId="17" applyNumberFormat="0" applyAlignment="0" applyProtection="0"/>
    <xf numFmtId="0" fontId="37" fillId="18" borderId="1" applyNumberFormat="0" applyAlignment="0" applyProtection="0"/>
    <xf numFmtId="0" fontId="66" fillId="86" borderId="18" applyNumberFormat="0" applyAlignment="0" applyProtection="0"/>
    <xf numFmtId="0" fontId="29" fillId="21" borderId="8" applyNumberFormat="0" applyAlignment="0" applyProtection="0"/>
    <xf numFmtId="0" fontId="67" fillId="86" borderId="17" applyNumberFormat="0" applyAlignment="0" applyProtection="0"/>
    <xf numFmtId="0" fontId="38" fillId="21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19" applyNumberFormat="0" applyFill="0" applyAlignment="0" applyProtection="0"/>
    <xf numFmtId="0" fontId="39" fillId="0" borderId="20" applyNumberFormat="0" applyFill="0" applyAlignment="0" applyProtection="0"/>
    <xf numFmtId="0" fontId="70" fillId="0" borderId="21" applyNumberFormat="0" applyFill="0" applyAlignment="0" applyProtection="0"/>
    <xf numFmtId="0" fontId="40" fillId="0" borderId="4" applyNumberFormat="0" applyFill="0" applyAlignment="0" applyProtection="0"/>
    <xf numFmtId="0" fontId="71" fillId="0" borderId="22" applyNumberFormat="0" applyFill="0" applyAlignment="0" applyProtection="0"/>
    <xf numFmtId="0" fontId="4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6" fillId="0" borderId="25" applyNumberFormat="0" applyFill="0" applyAlignment="0" applyProtection="0"/>
    <xf numFmtId="0" fontId="73" fillId="87" borderId="26" applyNumberFormat="0" applyAlignment="0" applyProtection="0"/>
    <xf numFmtId="0" fontId="20" fillId="88" borderId="2" applyNumberFormat="0" applyAlignment="0" applyProtection="0"/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89" borderId="0" applyNumberFormat="0" applyBorder="0" applyAlignment="0" applyProtection="0"/>
    <xf numFmtId="0" fontId="28" fillId="68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90" borderId="0">
      <alignment/>
      <protection/>
    </xf>
    <xf numFmtId="0" fontId="16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7" fillId="90" borderId="0">
      <alignment/>
      <protection/>
    </xf>
    <xf numFmtId="0" fontId="16" fillId="0" borderId="0">
      <alignment/>
      <protection/>
    </xf>
    <xf numFmtId="0" fontId="76" fillId="0" borderId="0" applyNumberFormat="0" applyFill="0" applyBorder="0" applyAlignment="0" applyProtection="0"/>
    <xf numFmtId="0" fontId="77" fillId="91" borderId="0" applyNumberFormat="0" applyBorder="0" applyAlignment="0" applyProtection="0"/>
    <xf numFmtId="0" fontId="43" fillId="7" borderId="0" applyNumberFormat="0" applyBorder="0" applyAlignment="0" applyProtection="0"/>
    <xf numFmtId="0" fontId="7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1" fillId="4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9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0">
      <alignment/>
      <protection/>
    </xf>
    <xf numFmtId="0" fontId="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1" fillId="93" borderId="0" applyNumberFormat="0" applyBorder="0" applyAlignment="0" applyProtection="0"/>
    <xf numFmtId="0" fontId="22" fillId="1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14" xfId="282" applyFont="1" applyBorder="1" applyAlignment="1">
      <alignment vertical="top" wrapText="1"/>
      <protection/>
    </xf>
    <xf numFmtId="0" fontId="2" fillId="0" borderId="14" xfId="282" applyFont="1" applyBorder="1" applyAlignment="1">
      <alignment horizontal="left" vertical="top" wrapText="1"/>
      <protection/>
    </xf>
    <xf numFmtId="0" fontId="1" fillId="0" borderId="0" xfId="282" applyFont="1">
      <alignment/>
      <protection/>
    </xf>
    <xf numFmtId="0" fontId="4" fillId="0" borderId="0" xfId="282" applyFont="1" applyAlignment="1">
      <alignment vertical="top" wrapText="1"/>
      <protection/>
    </xf>
    <xf numFmtId="0" fontId="2" fillId="0" borderId="0" xfId="0" applyFont="1" applyAlignment="1">
      <alignment vertical="top" wrapText="1"/>
    </xf>
    <xf numFmtId="0" fontId="2" fillId="0" borderId="0" xfId="282" applyFont="1" applyAlignment="1">
      <alignment horizontal="right" vertical="top" wrapText="1"/>
      <protection/>
    </xf>
    <xf numFmtId="0" fontId="4" fillId="0" borderId="0" xfId="282" applyFont="1" applyFill="1">
      <alignment/>
      <protection/>
    </xf>
    <xf numFmtId="0" fontId="2" fillId="0" borderId="0" xfId="282" applyFont="1" applyFill="1">
      <alignment/>
      <protection/>
    </xf>
    <xf numFmtId="0" fontId="3" fillId="0" borderId="30" xfId="282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  <xf numFmtId="0" fontId="2" fillId="0" borderId="14" xfId="282" applyFont="1" applyBorder="1" applyAlignment="1">
      <alignment horizontal="center" vertical="center" wrapText="1"/>
      <protection/>
    </xf>
    <xf numFmtId="167" fontId="2" fillId="5" borderId="14" xfId="282" applyNumberFormat="1" applyFont="1" applyFill="1" applyBorder="1" applyAlignment="1">
      <alignment horizontal="right" vertical="center" wrapText="1"/>
      <protection/>
    </xf>
    <xf numFmtId="0" fontId="2" fillId="0" borderId="14" xfId="282" applyFont="1" applyBorder="1" applyAlignment="1">
      <alignment horizontal="center" vertical="center"/>
      <protection/>
    </xf>
    <xf numFmtId="167" fontId="2" fillId="0" borderId="14" xfId="282" applyNumberFormat="1" applyFont="1" applyFill="1" applyBorder="1" applyAlignment="1">
      <alignment horizontal="right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7" fontId="2" fillId="0" borderId="14" xfId="282" applyNumberFormat="1" applyFont="1" applyFill="1" applyBorder="1" applyAlignment="1">
      <alignment vertical="center" wrapText="1"/>
      <protection/>
    </xf>
    <xf numFmtId="0" fontId="2" fillId="0" borderId="14" xfId="281" applyFont="1" applyBorder="1" applyAlignment="1">
      <alignment horizontal="center" vertical="center"/>
      <protection/>
    </xf>
    <xf numFmtId="0" fontId="2" fillId="0" borderId="14" xfId="281" applyFont="1" applyFill="1" applyBorder="1" applyAlignment="1">
      <alignment horizontal="left" vertical="top" wrapText="1"/>
      <protection/>
    </xf>
    <xf numFmtId="49" fontId="2" fillId="0" borderId="0" xfId="0" applyNumberFormat="1" applyFont="1" applyFill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 wrapText="1"/>
    </xf>
    <xf numFmtId="167" fontId="2" fillId="0" borderId="31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0" fontId="4" fillId="0" borderId="0" xfId="282" applyFont="1" applyAlignment="1">
      <alignment vertical="top"/>
      <protection/>
    </xf>
    <xf numFmtId="0" fontId="2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167" fontId="3" fillId="0" borderId="3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167" fontId="3" fillId="0" borderId="31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Alignment="1">
      <alignment/>
    </xf>
    <xf numFmtId="0" fontId="3" fillId="0" borderId="14" xfId="282" applyFont="1" applyBorder="1" applyAlignment="1">
      <alignment horizontal="center" vertical="center" wrapText="1"/>
      <protection/>
    </xf>
    <xf numFmtId="0" fontId="3" fillId="0" borderId="14" xfId="282" applyFont="1" applyBorder="1" applyAlignment="1">
      <alignment horizontal="left" vertical="top" wrapText="1"/>
      <protection/>
    </xf>
    <xf numFmtId="167" fontId="3" fillId="5" borderId="14" xfId="282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14" xfId="282" applyFont="1" applyBorder="1" applyAlignment="1">
      <alignment horizontal="center" vertical="center"/>
      <protection/>
    </xf>
    <xf numFmtId="167" fontId="3" fillId="0" borderId="14" xfId="282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left" vertical="top" wrapText="1"/>
      <protection/>
    </xf>
    <xf numFmtId="167" fontId="2" fillId="0" borderId="33" xfId="0" applyNumberFormat="1" applyFont="1" applyFill="1" applyBorder="1" applyAlignment="1">
      <alignment horizontal="right" vertical="center"/>
    </xf>
    <xf numFmtId="167" fontId="2" fillId="0" borderId="14" xfId="0" applyNumberFormat="1" applyFont="1" applyFill="1" applyBorder="1" applyAlignment="1">
      <alignment horizontal="right" vertical="center"/>
    </xf>
    <xf numFmtId="177" fontId="3" fillId="0" borderId="14" xfId="296" applyNumberFormat="1" applyFont="1" applyFill="1" applyBorder="1" applyAlignment="1">
      <alignment horizontal="right" vertical="center"/>
    </xf>
    <xf numFmtId="177" fontId="2" fillId="0" borderId="14" xfId="296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49" fontId="47" fillId="0" borderId="14" xfId="0" applyNumberFormat="1" applyFont="1" applyFill="1" applyBorder="1" applyAlignment="1">
      <alignment horizontal="center" vertical="center"/>
    </xf>
    <xf numFmtId="177" fontId="2" fillId="0" borderId="31" xfId="296" applyNumberFormat="1" applyFont="1" applyFill="1" applyBorder="1" applyAlignment="1">
      <alignment horizontal="right" vertical="center"/>
    </xf>
    <xf numFmtId="177" fontId="3" fillId="0" borderId="31" xfId="296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indent="5"/>
    </xf>
    <xf numFmtId="0" fontId="49" fillId="0" borderId="0" xfId="288" applyFont="1">
      <alignment/>
      <protection/>
    </xf>
    <xf numFmtId="0" fontId="49" fillId="0" borderId="0" xfId="288" applyFont="1" applyAlignment="1">
      <alignment horizontal="right"/>
      <protection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288" applyNumberFormat="1" applyFont="1" applyAlignment="1">
      <alignment horizontal="center" vertical="center" wrapText="1"/>
      <protection/>
    </xf>
    <xf numFmtId="0" fontId="49" fillId="0" borderId="0" xfId="288" applyNumberFormat="1" applyFont="1" applyAlignment="1">
      <alignment horizontal="center"/>
      <protection/>
    </xf>
    <xf numFmtId="0" fontId="49" fillId="0" borderId="0" xfId="288" applyFont="1" applyAlignment="1">
      <alignment horizontal="center"/>
      <protection/>
    </xf>
    <xf numFmtId="0" fontId="49" fillId="0" borderId="0" xfId="288" applyNumberFormat="1" applyFont="1">
      <alignment/>
      <protection/>
    </xf>
    <xf numFmtId="0" fontId="52" fillId="0" borderId="14" xfId="288" applyNumberFormat="1" applyFont="1" applyBorder="1" applyAlignment="1">
      <alignment horizontal="center" vertical="center" wrapText="1"/>
      <protection/>
    </xf>
    <xf numFmtId="0" fontId="49" fillId="0" borderId="14" xfId="288" applyNumberFormat="1" applyFont="1" applyBorder="1" applyAlignment="1">
      <alignment horizontal="center" vertical="center" wrapText="1"/>
      <protection/>
    </xf>
    <xf numFmtId="0" fontId="52" fillId="0" borderId="14" xfId="0" applyNumberFormat="1" applyFont="1" applyBorder="1" applyAlignment="1">
      <alignment horizontal="center" vertical="center" wrapText="1"/>
    </xf>
    <xf numFmtId="0" fontId="49" fillId="0" borderId="0" xfId="288" applyFont="1" applyAlignment="1">
      <alignment horizontal="center" vertical="center"/>
      <protection/>
    </xf>
    <xf numFmtId="49" fontId="49" fillId="0" borderId="14" xfId="288" applyNumberFormat="1" applyFont="1" applyBorder="1" applyAlignment="1">
      <alignment horizontal="center" vertical="center" wrapText="1"/>
      <protection/>
    </xf>
    <xf numFmtId="0" fontId="49" fillId="0" borderId="34" xfId="288" applyNumberFormat="1" applyFont="1" applyBorder="1" applyAlignment="1">
      <alignment horizontal="center" vertical="center" wrapText="1"/>
      <protection/>
    </xf>
    <xf numFmtId="0" fontId="49" fillId="0" borderId="14" xfId="288" applyNumberFormat="1" applyFont="1" applyBorder="1" applyAlignment="1">
      <alignment horizontal="center" vertical="top" wrapText="1"/>
      <protection/>
    </xf>
    <xf numFmtId="0" fontId="49" fillId="0" borderId="0" xfId="288" applyFont="1" applyAlignment="1">
      <alignment vertical="top"/>
      <protection/>
    </xf>
    <xf numFmtId="49" fontId="49" fillId="0" borderId="14" xfId="288" applyNumberFormat="1" applyFont="1" applyBorder="1" applyAlignment="1">
      <alignment horizontal="center" vertical="top" wrapText="1"/>
      <protection/>
    </xf>
    <xf numFmtId="0" fontId="52" fillId="0" borderId="14" xfId="288" applyNumberFormat="1" applyFont="1" applyBorder="1" applyAlignment="1">
      <alignment horizontal="right" vertical="center"/>
      <protection/>
    </xf>
    <xf numFmtId="0" fontId="52" fillId="0" borderId="14" xfId="288" applyNumberFormat="1" applyFont="1" applyBorder="1" applyAlignment="1">
      <alignment horizontal="center" vertical="center" wrapText="1"/>
      <protection/>
    </xf>
    <xf numFmtId="0" fontId="52" fillId="0" borderId="14" xfId="288" applyNumberFormat="1" applyFont="1" applyBorder="1" applyAlignment="1">
      <alignment horizontal="left" vertical="center" wrapText="1"/>
      <protection/>
    </xf>
    <xf numFmtId="0" fontId="52" fillId="0" borderId="14" xfId="288" applyNumberFormat="1" applyFont="1" applyBorder="1" applyAlignment="1">
      <alignment horizontal="right" vertical="center" wrapText="1"/>
      <protection/>
    </xf>
    <xf numFmtId="0" fontId="52" fillId="0" borderId="14" xfId="296" applyNumberFormat="1" applyFont="1" applyBorder="1" applyAlignment="1">
      <alignment vertical="center"/>
    </xf>
    <xf numFmtId="0" fontId="52" fillId="0" borderId="14" xfId="288" applyNumberFormat="1" applyFont="1" applyBorder="1" applyAlignment="1">
      <alignment vertical="center"/>
      <protection/>
    </xf>
    <xf numFmtId="167" fontId="52" fillId="0" borderId="14" xfId="288" applyNumberFormat="1" applyFont="1" applyBorder="1" applyAlignment="1">
      <alignment horizontal="center" vertical="center" wrapText="1"/>
      <protection/>
    </xf>
    <xf numFmtId="0" fontId="52" fillId="0" borderId="0" xfId="288" applyFont="1" applyAlignment="1">
      <alignment vertical="center"/>
      <protection/>
    </xf>
    <xf numFmtId="167" fontId="52" fillId="0" borderId="14" xfId="288" applyNumberFormat="1" applyFont="1" applyBorder="1" applyAlignment="1">
      <alignment horizontal="right" vertical="center" wrapText="1"/>
      <protection/>
    </xf>
    <xf numFmtId="0" fontId="52" fillId="0" borderId="14" xfId="288" applyNumberFormat="1" applyFont="1" applyFill="1" applyBorder="1" applyAlignment="1">
      <alignment horizontal="right" vertical="center"/>
      <protection/>
    </xf>
    <xf numFmtId="49" fontId="52" fillId="0" borderId="14" xfId="288" applyNumberFormat="1" applyFont="1" applyFill="1" applyBorder="1" applyAlignment="1">
      <alignment horizontal="center" vertical="center" wrapText="1"/>
      <protection/>
    </xf>
    <xf numFmtId="0" fontId="52" fillId="0" borderId="14" xfId="288" applyNumberFormat="1" applyFont="1" applyFill="1" applyBorder="1" applyAlignment="1">
      <alignment horizontal="left" vertical="center" wrapText="1"/>
      <protection/>
    </xf>
    <xf numFmtId="0" fontId="52" fillId="0" borderId="14" xfId="288" applyNumberFormat="1" applyFont="1" applyFill="1" applyBorder="1" applyAlignment="1">
      <alignment horizontal="right" vertical="center" wrapText="1"/>
      <protection/>
    </xf>
    <xf numFmtId="0" fontId="52" fillId="0" borderId="14" xfId="296" applyNumberFormat="1" applyFont="1" applyFill="1" applyBorder="1" applyAlignment="1">
      <alignment vertical="center"/>
    </xf>
    <xf numFmtId="0" fontId="52" fillId="0" borderId="14" xfId="288" applyNumberFormat="1" applyFont="1" applyFill="1" applyBorder="1" applyAlignment="1">
      <alignment vertical="center"/>
      <protection/>
    </xf>
    <xf numFmtId="167" fontId="52" fillId="0" borderId="14" xfId="288" applyNumberFormat="1" applyFont="1" applyFill="1" applyBorder="1" applyAlignment="1">
      <alignment horizontal="center" vertical="center" wrapText="1"/>
      <protection/>
    </xf>
    <xf numFmtId="0" fontId="52" fillId="0" borderId="0" xfId="288" applyFont="1" applyFill="1" applyAlignment="1">
      <alignment vertical="center"/>
      <protection/>
    </xf>
    <xf numFmtId="167" fontId="52" fillId="0" borderId="14" xfId="288" applyNumberFormat="1" applyFont="1" applyFill="1" applyBorder="1" applyAlignment="1">
      <alignment horizontal="right" vertical="center" wrapText="1"/>
      <protection/>
    </xf>
    <xf numFmtId="0" fontId="53" fillId="0" borderId="14" xfId="288" applyNumberFormat="1" applyFont="1" applyFill="1" applyBorder="1" applyAlignment="1">
      <alignment horizontal="right" vertical="center"/>
      <protection/>
    </xf>
    <xf numFmtId="0" fontId="53" fillId="0" borderId="14" xfId="288" applyNumberFormat="1" applyFont="1" applyFill="1" applyBorder="1" applyAlignment="1">
      <alignment horizontal="center" vertical="center" wrapText="1"/>
      <protection/>
    </xf>
    <xf numFmtId="0" fontId="53" fillId="0" borderId="14" xfId="288" applyNumberFormat="1" applyFont="1" applyFill="1" applyBorder="1" applyAlignment="1">
      <alignment horizontal="left" vertical="center" wrapText="1"/>
      <protection/>
    </xf>
    <xf numFmtId="0" fontId="53" fillId="0" borderId="14" xfId="288" applyNumberFormat="1" applyFont="1" applyFill="1" applyBorder="1" applyAlignment="1">
      <alignment horizontal="right" vertical="center" wrapText="1"/>
      <protection/>
    </xf>
    <xf numFmtId="0" fontId="53" fillId="0" borderId="14" xfId="296" applyNumberFormat="1" applyFont="1" applyFill="1" applyBorder="1" applyAlignment="1">
      <alignment vertical="center"/>
    </xf>
    <xf numFmtId="0" fontId="53" fillId="0" borderId="14" xfId="288" applyNumberFormat="1" applyFont="1" applyFill="1" applyBorder="1" applyAlignment="1">
      <alignment vertical="center"/>
      <protection/>
    </xf>
    <xf numFmtId="167" fontId="53" fillId="0" borderId="14" xfId="288" applyNumberFormat="1" applyFont="1" applyFill="1" applyBorder="1" applyAlignment="1">
      <alignment horizontal="center" vertical="center" wrapText="1"/>
      <protection/>
    </xf>
    <xf numFmtId="167" fontId="53" fillId="0" borderId="14" xfId="288" applyNumberFormat="1" applyFont="1" applyBorder="1" applyAlignment="1">
      <alignment horizontal="center" vertical="center" wrapText="1"/>
      <protection/>
    </xf>
    <xf numFmtId="0" fontId="53" fillId="0" borderId="0" xfId="288" applyFont="1" applyFill="1" applyAlignment="1">
      <alignment vertical="center"/>
      <protection/>
    </xf>
    <xf numFmtId="167" fontId="53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88" applyNumberFormat="1" applyFont="1" applyFill="1" applyBorder="1" applyAlignment="1">
      <alignment horizontal="right" vertical="center"/>
      <protection/>
    </xf>
    <xf numFmtId="49" fontId="49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left" vertical="center" wrapText="1"/>
      <protection/>
    </xf>
    <xf numFmtId="0" fontId="49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96" applyNumberFormat="1" applyFont="1" applyFill="1" applyBorder="1" applyAlignment="1">
      <alignment vertical="center"/>
    </xf>
    <xf numFmtId="0" fontId="49" fillId="0" borderId="14" xfId="288" applyNumberFormat="1" applyFont="1" applyFill="1" applyBorder="1" applyAlignment="1">
      <alignment vertical="center"/>
      <protection/>
    </xf>
    <xf numFmtId="167" fontId="49" fillId="0" borderId="14" xfId="288" applyNumberFormat="1" applyFont="1" applyFill="1" applyBorder="1" applyAlignment="1">
      <alignment horizontal="center" vertical="center" wrapText="1"/>
      <protection/>
    </xf>
    <xf numFmtId="167" fontId="49" fillId="0" borderId="14" xfId="288" applyNumberFormat="1" applyFont="1" applyBorder="1" applyAlignment="1">
      <alignment horizontal="center" vertical="center" wrapText="1"/>
      <protection/>
    </xf>
    <xf numFmtId="0" fontId="49" fillId="0" borderId="0" xfId="288" applyFont="1" applyFill="1" applyAlignment="1">
      <alignment vertical="center"/>
      <protection/>
    </xf>
    <xf numFmtId="167" fontId="49" fillId="0" borderId="14" xfId="288" applyNumberFormat="1" applyFont="1" applyFill="1" applyBorder="1" applyAlignment="1">
      <alignment horizontal="right" vertical="center" wrapText="1"/>
      <protection/>
    </xf>
    <xf numFmtId="49" fontId="49" fillId="0" borderId="14" xfId="288" applyNumberFormat="1" applyFont="1" applyFill="1" applyBorder="1" applyAlignment="1">
      <alignment horizontal="right" vertical="center"/>
      <protection/>
    </xf>
    <xf numFmtId="49" fontId="52" fillId="0" borderId="14" xfId="288" applyNumberFormat="1" applyFont="1" applyFill="1" applyBorder="1" applyAlignment="1">
      <alignment horizontal="center" vertical="center" wrapText="1"/>
      <protection/>
    </xf>
    <xf numFmtId="0" fontId="52" fillId="0" borderId="14" xfId="288" applyNumberFormat="1" applyFont="1" applyFill="1" applyBorder="1" applyAlignment="1" applyProtection="1">
      <alignment horizontal="left" vertical="top" wrapText="1"/>
      <protection locked="0"/>
    </xf>
    <xf numFmtId="49" fontId="53" fillId="0" borderId="14" xfId="288" applyNumberFormat="1" applyFont="1" applyFill="1" applyBorder="1" applyAlignment="1">
      <alignment horizontal="right" vertical="center"/>
      <protection/>
    </xf>
    <xf numFmtId="49" fontId="53" fillId="0" borderId="14" xfId="288" applyNumberFormat="1" applyFont="1" applyFill="1" applyBorder="1" applyAlignment="1">
      <alignment horizontal="center" vertical="center" wrapText="1"/>
      <protection/>
    </xf>
    <xf numFmtId="0" fontId="53" fillId="0" borderId="14" xfId="288" applyNumberFormat="1" applyFont="1" applyFill="1" applyBorder="1" applyAlignment="1">
      <alignment horizontal="left" vertical="center" wrapText="1"/>
      <protection/>
    </xf>
    <xf numFmtId="0" fontId="53" fillId="0" borderId="14" xfId="288" applyNumberFormat="1" applyFont="1" applyFill="1" applyBorder="1" applyAlignment="1">
      <alignment horizontal="right" vertical="center" wrapText="1"/>
      <protection/>
    </xf>
    <xf numFmtId="0" fontId="53" fillId="0" borderId="14" xfId="296" applyNumberFormat="1" applyFont="1" applyFill="1" applyBorder="1" applyAlignment="1">
      <alignment vertical="center"/>
    </xf>
    <xf numFmtId="0" fontId="53" fillId="0" borderId="14" xfId="288" applyNumberFormat="1" applyFont="1" applyFill="1" applyBorder="1" applyAlignment="1">
      <alignment vertical="center"/>
      <protection/>
    </xf>
    <xf numFmtId="167" fontId="53" fillId="0" borderId="14" xfId="288" applyNumberFormat="1" applyFont="1" applyFill="1" applyBorder="1" applyAlignment="1">
      <alignment horizontal="center" vertical="center" wrapText="1"/>
      <protection/>
    </xf>
    <xf numFmtId="0" fontId="53" fillId="0" borderId="0" xfId="288" applyFont="1" applyFill="1" applyAlignment="1">
      <alignment vertical="center"/>
      <protection/>
    </xf>
    <xf numFmtId="167" fontId="53" fillId="0" borderId="14" xfId="288" applyNumberFormat="1" applyFont="1" applyFill="1" applyBorder="1" applyAlignment="1">
      <alignment horizontal="right" vertical="center" wrapText="1"/>
      <protection/>
    </xf>
    <xf numFmtId="0" fontId="52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right" vertical="center"/>
      <protection/>
    </xf>
    <xf numFmtId="0" fontId="49" fillId="0" borderId="14" xfId="288" applyNumberFormat="1" applyFont="1" applyFill="1" applyBorder="1" applyAlignment="1">
      <alignment horizontal="center" vertical="center" wrapText="1"/>
      <protection/>
    </xf>
    <xf numFmtId="178" fontId="49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left" vertical="center" wrapText="1"/>
      <protection/>
    </xf>
    <xf numFmtId="0" fontId="49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96" applyNumberFormat="1" applyFont="1" applyFill="1" applyBorder="1" applyAlignment="1">
      <alignment vertical="center"/>
    </xf>
    <xf numFmtId="0" fontId="49" fillId="0" borderId="14" xfId="288" applyNumberFormat="1" applyFont="1" applyFill="1" applyBorder="1" applyAlignment="1">
      <alignment vertical="center"/>
      <protection/>
    </xf>
    <xf numFmtId="0" fontId="49" fillId="0" borderId="0" xfId="288" applyFont="1" applyFill="1" applyAlignment="1">
      <alignment vertical="center"/>
      <protection/>
    </xf>
    <xf numFmtId="167" fontId="49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88" applyNumberFormat="1" applyFont="1" applyFill="1" applyBorder="1" applyAlignment="1" applyProtection="1">
      <alignment horizontal="left" vertical="top" wrapText="1"/>
      <protection locked="0"/>
    </xf>
    <xf numFmtId="49" fontId="49" fillId="0" borderId="14" xfId="288" applyNumberFormat="1" applyFont="1" applyFill="1" applyBorder="1" applyAlignment="1">
      <alignment horizontal="right" vertical="center"/>
      <protection/>
    </xf>
    <xf numFmtId="49" fontId="49" fillId="0" borderId="14" xfId="288" applyNumberFormat="1" applyFont="1" applyFill="1" applyBorder="1" applyAlignment="1">
      <alignment horizontal="center" vertical="center"/>
      <protection/>
    </xf>
    <xf numFmtId="49" fontId="49" fillId="0" borderId="14" xfId="288" applyNumberFormat="1" applyFont="1" applyFill="1" applyBorder="1" applyAlignment="1">
      <alignment horizontal="center" vertical="center" wrapText="1"/>
      <protection/>
    </xf>
    <xf numFmtId="0" fontId="52" fillId="0" borderId="14" xfId="288" applyNumberFormat="1" applyFont="1" applyFill="1" applyBorder="1" applyAlignment="1">
      <alignment horizontal="right" vertical="center"/>
      <protection/>
    </xf>
    <xf numFmtId="0" fontId="52" fillId="0" borderId="14" xfId="288" applyNumberFormat="1" applyFont="1" applyFill="1" applyBorder="1" applyAlignment="1">
      <alignment horizontal="center" vertical="center" wrapText="1"/>
      <protection/>
    </xf>
    <xf numFmtId="0" fontId="52" fillId="0" borderId="14" xfId="288" applyNumberFormat="1" applyFont="1" applyFill="1" applyBorder="1" applyAlignment="1">
      <alignment horizontal="left" vertical="center" wrapText="1"/>
      <protection/>
    </xf>
    <xf numFmtId="0" fontId="52" fillId="0" borderId="14" xfId="288" applyNumberFormat="1" applyFont="1" applyFill="1" applyBorder="1" applyAlignment="1">
      <alignment horizontal="right" vertical="center" wrapText="1"/>
      <protection/>
    </xf>
    <xf numFmtId="0" fontId="52" fillId="0" borderId="14" xfId="296" applyNumberFormat="1" applyFont="1" applyFill="1" applyBorder="1" applyAlignment="1">
      <alignment vertical="center"/>
    </xf>
    <xf numFmtId="0" fontId="52" fillId="0" borderId="14" xfId="288" applyNumberFormat="1" applyFont="1" applyFill="1" applyBorder="1" applyAlignment="1">
      <alignment vertical="center"/>
      <protection/>
    </xf>
    <xf numFmtId="0" fontId="52" fillId="0" borderId="0" xfId="288" applyFont="1" applyFill="1" applyAlignment="1">
      <alignment vertical="center"/>
      <protection/>
    </xf>
    <xf numFmtId="167" fontId="52" fillId="0" borderId="14" xfId="288" applyNumberFormat="1" applyFont="1" applyFill="1" applyBorder="1" applyAlignment="1">
      <alignment horizontal="right" vertical="center" wrapText="1"/>
      <protection/>
    </xf>
    <xf numFmtId="49" fontId="52" fillId="0" borderId="14" xfId="288" applyNumberFormat="1" applyFont="1" applyFill="1" applyBorder="1" applyAlignment="1">
      <alignment horizontal="right" vertical="center"/>
      <protection/>
    </xf>
    <xf numFmtId="49" fontId="52" fillId="0" borderId="14" xfId="288" applyNumberFormat="1" applyFont="1" applyFill="1" applyBorder="1" applyAlignment="1">
      <alignment horizontal="right" vertical="center"/>
      <protection/>
    </xf>
    <xf numFmtId="49" fontId="54" fillId="0" borderId="14" xfId="288" applyNumberFormat="1" applyFont="1" applyFill="1" applyBorder="1" applyAlignment="1">
      <alignment horizontal="right" vertical="center"/>
      <protection/>
    </xf>
    <xf numFmtId="49" fontId="54" fillId="0" borderId="14" xfId="288" applyNumberFormat="1" applyFont="1" applyFill="1" applyBorder="1" applyAlignment="1">
      <alignment horizontal="center" vertical="center" wrapText="1"/>
      <protection/>
    </xf>
    <xf numFmtId="0" fontId="54" fillId="0" borderId="14" xfId="288" applyNumberFormat="1" applyFont="1" applyFill="1" applyBorder="1" applyAlignment="1">
      <alignment horizontal="left" vertical="center" wrapText="1"/>
      <protection/>
    </xf>
    <xf numFmtId="167" fontId="54" fillId="0" borderId="14" xfId="288" applyNumberFormat="1" applyFont="1" applyFill="1" applyBorder="1" applyAlignment="1">
      <alignment horizontal="center" vertical="center" wrapText="1"/>
      <protection/>
    </xf>
    <xf numFmtId="167" fontId="54" fillId="0" borderId="14" xfId="288" applyNumberFormat="1" applyFont="1" applyBorder="1" applyAlignment="1">
      <alignment horizontal="center" vertical="center" wrapText="1"/>
      <protection/>
    </xf>
    <xf numFmtId="0" fontId="54" fillId="0" borderId="14" xfId="288" applyNumberFormat="1" applyFont="1" applyFill="1" applyBorder="1" applyAlignment="1">
      <alignment horizontal="right" vertical="center" wrapText="1"/>
      <protection/>
    </xf>
    <xf numFmtId="0" fontId="54" fillId="0" borderId="14" xfId="296" applyNumberFormat="1" applyFont="1" applyFill="1" applyBorder="1" applyAlignment="1">
      <alignment vertical="center"/>
    </xf>
    <xf numFmtId="0" fontId="54" fillId="0" borderId="14" xfId="288" applyNumberFormat="1" applyFont="1" applyFill="1" applyBorder="1" applyAlignment="1">
      <alignment vertical="center"/>
      <protection/>
    </xf>
    <xf numFmtId="0" fontId="54" fillId="0" borderId="0" xfId="288" applyFont="1" applyFill="1" applyAlignment="1">
      <alignment vertical="center"/>
      <protection/>
    </xf>
    <xf numFmtId="167" fontId="54" fillId="0" borderId="14" xfId="288" applyNumberFormat="1" applyFont="1" applyFill="1" applyBorder="1" applyAlignment="1">
      <alignment horizontal="right" vertical="center" wrapText="1"/>
      <protection/>
    </xf>
    <xf numFmtId="49" fontId="54" fillId="0" borderId="14" xfId="288" applyNumberFormat="1" applyFont="1" applyFill="1" applyBorder="1" applyAlignment="1">
      <alignment horizontal="right" vertical="center"/>
      <protection/>
    </xf>
    <xf numFmtId="49" fontId="54" fillId="0" borderId="14" xfId="288" applyNumberFormat="1" applyFont="1" applyFill="1" applyBorder="1" applyAlignment="1">
      <alignment horizontal="center" vertical="center" wrapText="1"/>
      <protection/>
    </xf>
    <xf numFmtId="0" fontId="54" fillId="0" borderId="14" xfId="288" applyNumberFormat="1" applyFont="1" applyFill="1" applyBorder="1" applyAlignment="1">
      <alignment horizontal="left" vertical="center" wrapText="1"/>
      <protection/>
    </xf>
    <xf numFmtId="0" fontId="54" fillId="0" borderId="14" xfId="288" applyNumberFormat="1" applyFont="1" applyFill="1" applyBorder="1" applyAlignment="1">
      <alignment horizontal="right" vertical="center" wrapText="1"/>
      <protection/>
    </xf>
    <xf numFmtId="0" fontId="54" fillId="0" borderId="14" xfId="296" applyNumberFormat="1" applyFont="1" applyFill="1" applyBorder="1" applyAlignment="1">
      <alignment vertical="center"/>
    </xf>
    <xf numFmtId="0" fontId="54" fillId="0" borderId="14" xfId="288" applyNumberFormat="1" applyFont="1" applyFill="1" applyBorder="1" applyAlignment="1">
      <alignment vertical="center"/>
      <protection/>
    </xf>
    <xf numFmtId="0" fontId="54" fillId="0" borderId="0" xfId="288" applyFont="1" applyFill="1" applyAlignment="1">
      <alignment vertical="center"/>
      <protection/>
    </xf>
    <xf numFmtId="167" fontId="54" fillId="0" borderId="14" xfId="288" applyNumberFormat="1" applyFont="1" applyFill="1" applyBorder="1" applyAlignment="1">
      <alignment horizontal="right" vertical="center" wrapText="1"/>
      <protection/>
    </xf>
    <xf numFmtId="49" fontId="49" fillId="0" borderId="14" xfId="288" applyNumberFormat="1" applyFont="1" applyFill="1" applyBorder="1" applyAlignment="1">
      <alignment horizontal="left" vertical="center" wrapText="1"/>
      <protection/>
    </xf>
    <xf numFmtId="49" fontId="49" fillId="0" borderId="14" xfId="288" applyNumberFormat="1" applyFont="1" applyFill="1" applyBorder="1" applyAlignment="1">
      <alignment horizontal="right" vertical="center" wrapText="1"/>
      <protection/>
    </xf>
    <xf numFmtId="49" fontId="49" fillId="0" borderId="14" xfId="296" applyNumberFormat="1" applyFont="1" applyFill="1" applyBorder="1" applyAlignment="1">
      <alignment vertical="center"/>
    </xf>
    <xf numFmtId="49" fontId="49" fillId="0" borderId="14" xfId="288" applyNumberFormat="1" applyFont="1" applyFill="1" applyBorder="1" applyAlignment="1">
      <alignment vertical="center"/>
      <protection/>
    </xf>
    <xf numFmtId="49" fontId="49" fillId="0" borderId="0" xfId="288" applyNumberFormat="1" applyFont="1" applyFill="1" applyAlignment="1">
      <alignment vertical="center"/>
      <protection/>
    </xf>
    <xf numFmtId="167" fontId="52" fillId="0" borderId="0" xfId="288" applyNumberFormat="1" applyFont="1" applyAlignment="1">
      <alignment vertical="center"/>
      <protection/>
    </xf>
    <xf numFmtId="0" fontId="52" fillId="0" borderId="14" xfId="288" applyNumberFormat="1" applyFont="1" applyBorder="1" applyAlignment="1">
      <alignment horizontal="left" vertical="top" wrapText="1"/>
      <protection/>
    </xf>
    <xf numFmtId="0" fontId="52" fillId="0" borderId="14" xfId="288" applyNumberFormat="1" applyFont="1" applyFill="1" applyBorder="1">
      <alignment/>
      <protection/>
    </xf>
    <xf numFmtId="0" fontId="52" fillId="0" borderId="0" xfId="288" applyFont="1" applyFill="1">
      <alignment/>
      <protection/>
    </xf>
    <xf numFmtId="167" fontId="52" fillId="0" borderId="14" xfId="288" applyNumberFormat="1" applyFont="1" applyFill="1" applyBorder="1">
      <alignment/>
      <protection/>
    </xf>
    <xf numFmtId="0" fontId="49" fillId="0" borderId="14" xfId="288" applyNumberFormat="1" applyFont="1" applyBorder="1" applyAlignment="1">
      <alignment horizontal="right" vertical="center" wrapText="1"/>
      <protection/>
    </xf>
    <xf numFmtId="0" fontId="49" fillId="0" borderId="14" xfId="296" applyNumberFormat="1" applyFont="1" applyBorder="1" applyAlignment="1">
      <alignment vertical="center"/>
    </xf>
    <xf numFmtId="0" fontId="49" fillId="0" borderId="14" xfId="288" applyNumberFormat="1" applyFont="1" applyBorder="1" applyAlignment="1">
      <alignment vertical="center"/>
      <protection/>
    </xf>
    <xf numFmtId="0" fontId="49" fillId="5" borderId="14" xfId="288" applyNumberFormat="1" applyFont="1" applyFill="1" applyBorder="1" applyAlignment="1">
      <alignment horizontal="right" vertical="center" wrapText="1"/>
      <protection/>
    </xf>
    <xf numFmtId="0" fontId="49" fillId="0" borderId="0" xfId="288" applyNumberFormat="1" applyFont="1" applyBorder="1" applyAlignment="1">
      <alignment horizontal="right" vertical="center" wrapText="1"/>
      <protection/>
    </xf>
    <xf numFmtId="0" fontId="52" fillId="5" borderId="14" xfId="288" applyNumberFormat="1" applyFont="1" applyFill="1" applyBorder="1" applyAlignment="1">
      <alignment horizontal="right" vertical="center" wrapText="1"/>
      <protection/>
    </xf>
    <xf numFmtId="0" fontId="52" fillId="0" borderId="14" xfId="288" applyNumberFormat="1" applyFont="1" applyBorder="1" applyAlignment="1">
      <alignment horizontal="center" vertical="center"/>
      <protection/>
    </xf>
    <xf numFmtId="0" fontId="49" fillId="0" borderId="0" xfId="288" applyFont="1" applyAlignment="1">
      <alignment vertical="center"/>
      <protection/>
    </xf>
    <xf numFmtId="167" fontId="52" fillId="0" borderId="14" xfId="288" applyNumberFormat="1" applyFont="1" applyBorder="1" applyAlignment="1">
      <alignment horizontal="right" vertical="center"/>
      <protection/>
    </xf>
    <xf numFmtId="0" fontId="52" fillId="5" borderId="14" xfId="288" applyNumberFormat="1" applyFont="1" applyFill="1" applyBorder="1" applyAlignment="1">
      <alignment horizontal="right" vertical="center"/>
      <protection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56" fillId="0" borderId="14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left"/>
    </xf>
    <xf numFmtId="0" fontId="56" fillId="0" borderId="14" xfId="0" applyFont="1" applyFill="1" applyBorder="1" applyAlignment="1">
      <alignment/>
    </xf>
    <xf numFmtId="169" fontId="56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16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wrapText="1"/>
    </xf>
    <xf numFmtId="0" fontId="57" fillId="0" borderId="0" xfId="0" applyFont="1" applyFill="1" applyAlignment="1">
      <alignment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wrapText="1"/>
    </xf>
    <xf numFmtId="169" fontId="56" fillId="0" borderId="14" xfId="0" applyNumberFormat="1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169" fontId="2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2" fillId="0" borderId="36" xfId="282" applyFont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177" fontId="52" fillId="0" borderId="14" xfId="296" applyNumberFormat="1" applyFont="1" applyBorder="1" applyAlignment="1">
      <alignment horizontal="center" vertical="center" wrapText="1"/>
    </xf>
    <xf numFmtId="177" fontId="49" fillId="0" borderId="14" xfId="296" applyNumberFormat="1" applyFont="1" applyBorder="1" applyAlignment="1">
      <alignment horizontal="center" vertical="center" wrapText="1"/>
    </xf>
    <xf numFmtId="177" fontId="53" fillId="0" borderId="14" xfId="296" applyNumberFormat="1" applyFont="1" applyBorder="1" applyAlignment="1">
      <alignment horizontal="center" vertical="center" wrapText="1"/>
    </xf>
    <xf numFmtId="0" fontId="49" fillId="0" borderId="14" xfId="288" applyNumberFormat="1" applyFont="1" applyBorder="1">
      <alignment/>
      <protection/>
    </xf>
    <xf numFmtId="177" fontId="54" fillId="0" borderId="14" xfId="296" applyNumberFormat="1" applyFont="1" applyBorder="1" applyAlignment="1">
      <alignment horizontal="center" vertical="center" wrapText="1"/>
    </xf>
    <xf numFmtId="0" fontId="2" fillId="0" borderId="14" xfId="282" applyFont="1" applyBorder="1" applyAlignment="1">
      <alignment horizontal="center" vertical="top" wrapText="1"/>
      <protection/>
    </xf>
    <xf numFmtId="49" fontId="2" fillId="0" borderId="0" xfId="0" applyNumberFormat="1" applyFont="1" applyFill="1" applyAlignment="1">
      <alignment horizontal="left" indent="1"/>
    </xf>
    <xf numFmtId="49" fontId="2" fillId="0" borderId="31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indent="27"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31"/>
    </xf>
    <xf numFmtId="0" fontId="48" fillId="0" borderId="0" xfId="0" applyFont="1" applyAlignment="1">
      <alignment horizontal="right"/>
    </xf>
    <xf numFmtId="0" fontId="48" fillId="0" borderId="14" xfId="0" applyFont="1" applyBorder="1" applyAlignment="1">
      <alignment horizontal="center" vertical="top"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>
      <alignment horizontal="center" vertical="center"/>
    </xf>
    <xf numFmtId="177" fontId="48" fillId="0" borderId="14" xfId="296" applyNumberFormat="1" applyFont="1" applyBorder="1" applyAlignment="1">
      <alignment horizontal="center" vertical="center"/>
    </xf>
    <xf numFmtId="169" fontId="4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77" fontId="58" fillId="0" borderId="14" xfId="296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59" fillId="0" borderId="0" xfId="0" applyFont="1" applyAlignment="1">
      <alignment/>
    </xf>
    <xf numFmtId="49" fontId="2" fillId="0" borderId="0" xfId="0" applyNumberFormat="1" applyFont="1" applyFill="1" applyAlignment="1">
      <alignment horizontal="left"/>
    </xf>
    <xf numFmtId="169" fontId="2" fillId="0" borderId="14" xfId="0" applyNumberFormat="1" applyFont="1" applyBorder="1" applyAlignment="1">
      <alignment vertical="top" wrapText="1"/>
    </xf>
    <xf numFmtId="49" fontId="2" fillId="0" borderId="0" xfId="0" applyNumberFormat="1" applyFont="1" applyFill="1" applyAlignment="1">
      <alignment horizontal="left" indent="23"/>
    </xf>
    <xf numFmtId="0" fontId="52" fillId="0" borderId="0" xfId="288" applyNumberFormat="1" applyFont="1">
      <alignment/>
      <protection/>
    </xf>
    <xf numFmtId="0" fontId="49" fillId="0" borderId="0" xfId="288" applyNumberFormat="1" applyFont="1" applyAlignment="1">
      <alignment horizontal="right"/>
      <protection/>
    </xf>
    <xf numFmtId="167" fontId="52" fillId="0" borderId="14" xfId="288" applyNumberFormat="1" applyFont="1" applyFill="1" applyBorder="1" applyAlignment="1">
      <alignment horizontal="center" vertical="center" wrapText="1"/>
      <protection/>
    </xf>
    <xf numFmtId="167" fontId="52" fillId="0" borderId="14" xfId="288" applyNumberFormat="1" applyFont="1" applyBorder="1" applyAlignment="1">
      <alignment horizontal="center" vertical="center" wrapText="1"/>
      <protection/>
    </xf>
    <xf numFmtId="177" fontId="52" fillId="0" borderId="14" xfId="296" applyNumberFormat="1" applyFont="1" applyBorder="1" applyAlignment="1">
      <alignment horizontal="center" vertical="center" wrapText="1"/>
    </xf>
    <xf numFmtId="177" fontId="49" fillId="0" borderId="14" xfId="296" applyNumberFormat="1" applyFont="1" applyFill="1" applyBorder="1" applyAlignment="1">
      <alignment horizontal="center" vertical="center" wrapText="1"/>
    </xf>
    <xf numFmtId="0" fontId="52" fillId="0" borderId="37" xfId="288" applyNumberFormat="1" applyFont="1" applyBorder="1" applyAlignment="1">
      <alignment horizontal="center" vertical="center" wrapText="1"/>
      <protection/>
    </xf>
    <xf numFmtId="0" fontId="52" fillId="0" borderId="38" xfId="288" applyNumberFormat="1" applyFont="1" applyBorder="1" applyAlignment="1">
      <alignment horizontal="center" vertical="center" wrapText="1"/>
      <protection/>
    </xf>
    <xf numFmtId="0" fontId="52" fillId="0" borderId="34" xfId="288" applyNumberFormat="1" applyFont="1" applyBorder="1" applyAlignment="1">
      <alignment horizontal="center" vertical="center" wrapText="1"/>
      <protection/>
    </xf>
    <xf numFmtId="0" fontId="52" fillId="0" borderId="37" xfId="288" applyNumberFormat="1" applyFont="1" applyBorder="1" applyAlignment="1">
      <alignment horizontal="center" vertical="center"/>
      <protection/>
    </xf>
    <xf numFmtId="0" fontId="52" fillId="0" borderId="38" xfId="288" applyNumberFormat="1" applyFont="1" applyBorder="1" applyAlignment="1">
      <alignment horizontal="center" vertical="center"/>
      <protection/>
    </xf>
    <xf numFmtId="0" fontId="52" fillId="0" borderId="34" xfId="288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right"/>
    </xf>
    <xf numFmtId="0" fontId="51" fillId="0" borderId="0" xfId="288" applyNumberFormat="1" applyFont="1" applyAlignment="1">
      <alignment horizontal="center" vertical="center" wrapText="1"/>
      <protection/>
    </xf>
    <xf numFmtId="0" fontId="52" fillId="0" borderId="14" xfId="288" applyNumberFormat="1" applyFont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3" fontId="52" fillId="0" borderId="14" xfId="310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282" applyFont="1" applyBorder="1" applyAlignment="1">
      <alignment horizontal="center" vertical="top" wrapText="1"/>
      <protection/>
    </xf>
    <xf numFmtId="0" fontId="3" fillId="0" borderId="36" xfId="282" applyFont="1" applyBorder="1" applyAlignment="1">
      <alignment horizontal="center" vertical="top" wrapText="1"/>
      <protection/>
    </xf>
    <xf numFmtId="0" fontId="3" fillId="0" borderId="14" xfId="282" applyFont="1" applyBorder="1" applyAlignment="1">
      <alignment horizontal="center" vertical="top" wrapText="1"/>
      <protection/>
    </xf>
    <xf numFmtId="0" fontId="3" fillId="0" borderId="0" xfId="282" applyFont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48" fillId="0" borderId="31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top"/>
    </xf>
    <xf numFmtId="0" fontId="58" fillId="0" borderId="34" xfId="0" applyFont="1" applyBorder="1" applyAlignment="1">
      <alignment horizontal="center" vertical="top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2" xfId="278"/>
    <cellStyle name="Обычный 2" xfId="279"/>
    <cellStyle name="Обычный 2 2" xfId="280"/>
    <cellStyle name="Обычный 3" xfId="281"/>
    <cellStyle name="Обычный 4" xfId="282"/>
    <cellStyle name="Обычный 5" xfId="283"/>
    <cellStyle name="Обычный 6" xfId="284"/>
    <cellStyle name="Обычный 7" xfId="285"/>
    <cellStyle name="Обычный 8" xfId="286"/>
    <cellStyle name="Обычный 9" xfId="287"/>
    <cellStyle name="Обычный_Книга1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17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.421875" style="67" customWidth="1"/>
    <col min="2" max="2" width="17.140625" style="67" customWidth="1"/>
    <col min="3" max="3" width="25.8515625" style="67" customWidth="1"/>
    <col min="4" max="4" width="11.7109375" style="67" hidden="1" customWidth="1"/>
    <col min="5" max="5" width="10.7109375" style="67" hidden="1" customWidth="1"/>
    <col min="6" max="6" width="10.28125" style="67" hidden="1" customWidth="1"/>
    <col min="7" max="7" width="0.85546875" style="67" hidden="1" customWidth="1"/>
    <col min="8" max="8" width="10.7109375" style="67" customWidth="1"/>
    <col min="9" max="9" width="10.7109375" style="67" hidden="1" customWidth="1"/>
    <col min="10" max="11" width="10.7109375" style="67" customWidth="1"/>
    <col min="12" max="12" width="8.8515625" style="67" customWidth="1"/>
    <col min="13" max="13" width="0.13671875" style="67" hidden="1" customWidth="1"/>
    <col min="14" max="14" width="11.7109375" style="67" hidden="1" customWidth="1"/>
    <col min="15" max="17" width="10.7109375" style="67" hidden="1" customWidth="1"/>
    <col min="18" max="18" width="11.7109375" style="67" hidden="1" customWidth="1"/>
    <col min="19" max="19" width="10.7109375" style="67" hidden="1" customWidth="1"/>
    <col min="20" max="20" width="0.13671875" style="67" hidden="1" customWidth="1"/>
    <col min="21" max="21" width="10.7109375" style="67" hidden="1" customWidth="1"/>
    <col min="22" max="35" width="0.13671875" style="67" hidden="1" customWidth="1"/>
    <col min="36" max="16384" width="9.140625" style="67" customWidth="1"/>
  </cols>
  <sheetData>
    <row r="1" spans="5:17" ht="12.75" customHeight="1">
      <c r="E1" s="68"/>
      <c r="F1" s="272" t="s">
        <v>528</v>
      </c>
      <c r="G1" s="272"/>
      <c r="H1" s="257" t="s">
        <v>528</v>
      </c>
      <c r="I1" s="70"/>
      <c r="J1" s="70"/>
      <c r="K1" s="272"/>
      <c r="L1" s="272"/>
      <c r="M1" s="70"/>
      <c r="N1" s="70"/>
      <c r="O1" s="70"/>
      <c r="P1" s="70"/>
      <c r="Q1" s="69" t="s">
        <v>528</v>
      </c>
    </row>
    <row r="2" spans="5:17" ht="12.75" customHeight="1">
      <c r="E2" s="68"/>
      <c r="F2" s="68"/>
      <c r="G2" s="69" t="s">
        <v>530</v>
      </c>
      <c r="H2" s="257" t="s">
        <v>522</v>
      </c>
      <c r="I2" s="70"/>
      <c r="J2" s="70"/>
      <c r="K2" s="68"/>
      <c r="L2" s="69"/>
      <c r="M2" s="71" t="s">
        <v>530</v>
      </c>
      <c r="N2" s="70"/>
      <c r="O2" s="70"/>
      <c r="P2" s="70"/>
      <c r="Q2" s="70"/>
    </row>
    <row r="3" spans="5:17" ht="12.75">
      <c r="E3" s="68"/>
      <c r="F3" s="68"/>
      <c r="G3" s="69" t="s">
        <v>529</v>
      </c>
      <c r="H3" s="257" t="s">
        <v>529</v>
      </c>
      <c r="I3" s="70"/>
      <c r="J3" s="70"/>
      <c r="K3" s="68"/>
      <c r="L3" s="69"/>
      <c r="M3" s="71" t="s">
        <v>529</v>
      </c>
      <c r="N3" s="70"/>
      <c r="O3" s="70"/>
      <c r="P3" s="70"/>
      <c r="Q3" s="70"/>
    </row>
    <row r="4" spans="5:12" ht="12.75" customHeight="1">
      <c r="E4" s="68"/>
      <c r="F4" s="68"/>
      <c r="G4" s="69"/>
      <c r="H4" s="257" t="s">
        <v>1105</v>
      </c>
      <c r="K4" s="272"/>
      <c r="L4" s="272"/>
    </row>
    <row r="5" spans="5:12" ht="12.75" customHeight="1">
      <c r="E5" s="68"/>
      <c r="F5" s="68"/>
      <c r="G5" s="69"/>
      <c r="H5" s="66"/>
      <c r="K5" s="69"/>
      <c r="L5" s="69"/>
    </row>
    <row r="6" spans="1:27" s="74" customFormat="1" ht="24.75" customHeight="1">
      <c r="A6" s="273" t="s">
        <v>1097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72"/>
      <c r="Q6" s="72"/>
      <c r="R6" s="72"/>
      <c r="S6" s="72"/>
      <c r="T6" s="73"/>
      <c r="U6" s="73"/>
      <c r="V6" s="73"/>
      <c r="W6" s="73"/>
      <c r="X6" s="73"/>
      <c r="Y6" s="73"/>
      <c r="Z6" s="73"/>
      <c r="AA6" s="73"/>
    </row>
    <row r="7" spans="1:33" ht="12">
      <c r="A7" s="75"/>
      <c r="B7" s="260"/>
      <c r="C7" s="260"/>
      <c r="D7" s="75"/>
      <c r="E7" s="75"/>
      <c r="F7" s="75"/>
      <c r="G7" s="75"/>
      <c r="H7" s="75"/>
      <c r="I7" s="75"/>
      <c r="J7" s="75"/>
      <c r="K7" s="75"/>
      <c r="L7" s="261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spans="1:33" ht="12.75" customHeight="1">
      <c r="A8" s="274" t="s">
        <v>531</v>
      </c>
      <c r="B8" s="274"/>
      <c r="C8" s="274" t="s">
        <v>532</v>
      </c>
      <c r="D8" s="238"/>
      <c r="E8" s="238"/>
      <c r="F8" s="238"/>
      <c r="G8" s="238"/>
      <c r="H8" s="275" t="s">
        <v>0</v>
      </c>
      <c r="I8" s="275"/>
      <c r="J8" s="275"/>
      <c r="K8" s="275"/>
      <c r="L8" s="276" t="s">
        <v>520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35" s="79" customFormat="1" ht="54" customHeight="1">
      <c r="A9" s="274"/>
      <c r="B9" s="274"/>
      <c r="C9" s="274"/>
      <c r="D9" s="77" t="s">
        <v>533</v>
      </c>
      <c r="E9" s="77" t="s">
        <v>455</v>
      </c>
      <c r="F9" s="77" t="s">
        <v>520</v>
      </c>
      <c r="G9" s="77" t="s">
        <v>456</v>
      </c>
      <c r="H9" s="76" t="s">
        <v>534</v>
      </c>
      <c r="I9" s="76" t="s">
        <v>455</v>
      </c>
      <c r="J9" s="76" t="s">
        <v>455</v>
      </c>
      <c r="K9" s="78" t="s">
        <v>456</v>
      </c>
      <c r="L9" s="276"/>
      <c r="N9" s="77" t="s">
        <v>533</v>
      </c>
      <c r="O9" s="77" t="s">
        <v>455</v>
      </c>
      <c r="P9" s="77" t="s">
        <v>520</v>
      </c>
      <c r="Q9" s="77" t="s">
        <v>456</v>
      </c>
      <c r="R9" s="77" t="s">
        <v>533</v>
      </c>
      <c r="S9" s="77" t="s">
        <v>455</v>
      </c>
      <c r="T9" s="77" t="s">
        <v>520</v>
      </c>
      <c r="U9" s="77" t="s">
        <v>456</v>
      </c>
      <c r="V9" s="77" t="s">
        <v>533</v>
      </c>
      <c r="W9" s="77" t="s">
        <v>455</v>
      </c>
      <c r="X9" s="77" t="s">
        <v>520</v>
      </c>
      <c r="Y9" s="77" t="s">
        <v>456</v>
      </c>
      <c r="Z9" s="77" t="s">
        <v>533</v>
      </c>
      <c r="AA9" s="77" t="s">
        <v>455</v>
      </c>
      <c r="AB9" s="77" t="s">
        <v>520</v>
      </c>
      <c r="AC9" s="77" t="s">
        <v>456</v>
      </c>
      <c r="AD9" s="77" t="s">
        <v>533</v>
      </c>
      <c r="AE9" s="77" t="s">
        <v>455</v>
      </c>
      <c r="AF9" s="77" t="s">
        <v>520</v>
      </c>
      <c r="AG9" s="77" t="s">
        <v>456</v>
      </c>
      <c r="AH9" s="80"/>
      <c r="AI9" s="80"/>
    </row>
    <row r="10" spans="1:35" s="83" customFormat="1" ht="12" customHeight="1">
      <c r="A10" s="77">
        <v>1</v>
      </c>
      <c r="B10" s="81">
        <v>2</v>
      </c>
      <c r="C10" s="82">
        <v>3</v>
      </c>
      <c r="D10" s="82"/>
      <c r="E10" s="82"/>
      <c r="F10" s="82"/>
      <c r="G10" s="82"/>
      <c r="H10" s="77">
        <v>4</v>
      </c>
      <c r="I10" s="77">
        <v>5</v>
      </c>
      <c r="J10" s="77">
        <v>5</v>
      </c>
      <c r="K10" s="77">
        <v>6</v>
      </c>
      <c r="L10" s="77">
        <v>7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4"/>
      <c r="AI10" s="84"/>
    </row>
    <row r="11" spans="1:35" s="92" customFormat="1" ht="24">
      <c r="A11" s="85" t="s">
        <v>535</v>
      </c>
      <c r="B11" s="86" t="s">
        <v>536</v>
      </c>
      <c r="C11" s="87" t="s">
        <v>537</v>
      </c>
      <c r="D11" s="88">
        <f>SUM(H11,N11)</f>
        <v>428097.60000000003</v>
      </c>
      <c r="E11" s="88">
        <f>SUM(J11,O11)</f>
        <v>173049.90000000002</v>
      </c>
      <c r="F11" s="89">
        <f>E11/D11</f>
        <v>0.4042300167064707</v>
      </c>
      <c r="G11" s="90">
        <f>E11-D11</f>
        <v>-255047.7</v>
      </c>
      <c r="H11" s="91">
        <f>H12+H24+H29+H34+H40+H45+H60+H68+H73+H85+H103+H18</f>
        <v>271912.9</v>
      </c>
      <c r="I11" s="91">
        <f>I12+I24+I29+I34+I40+I45+I60+I68+I73+I85+I103+I18</f>
        <v>257732.8</v>
      </c>
      <c r="J11" s="91">
        <f>J12+J24+J29+J34+J40+J45+J60+J68+J73+J85+J103+J18</f>
        <v>136742.00000000003</v>
      </c>
      <c r="K11" s="91">
        <f>H11-J11</f>
        <v>135170.9</v>
      </c>
      <c r="L11" s="235">
        <f>J11/H11</f>
        <v>0.5028889765803682</v>
      </c>
      <c r="N11" s="88">
        <f>SUM(R11,V11,Z11,AD11)</f>
        <v>156184.7</v>
      </c>
      <c r="O11" s="88">
        <f>SUM(S11,W11,AA11,AE11)</f>
        <v>36307.899999999994</v>
      </c>
      <c r="P11" s="89">
        <f>O11/N11</f>
        <v>0.23246771290657786</v>
      </c>
      <c r="Q11" s="90">
        <f>O11-N11</f>
        <v>-119876.80000000002</v>
      </c>
      <c r="R11" s="88">
        <v>136027.4</v>
      </c>
      <c r="S11" s="88">
        <v>33969.2</v>
      </c>
      <c r="T11" s="89">
        <f>S11/R11</f>
        <v>0.24972321752823326</v>
      </c>
      <c r="U11" s="90">
        <f>S11-R11</f>
        <v>-102058.2</v>
      </c>
      <c r="V11" s="88">
        <v>9698.2</v>
      </c>
      <c r="W11" s="88">
        <v>1248.7</v>
      </c>
      <c r="X11" s="89">
        <f>W11/V11</f>
        <v>0.12875585160132808</v>
      </c>
      <c r="Y11" s="90">
        <f>W11-V11</f>
        <v>-8449.5</v>
      </c>
      <c r="Z11" s="88">
        <v>7447.6</v>
      </c>
      <c r="AA11" s="88">
        <v>880.9</v>
      </c>
      <c r="AB11" s="89">
        <f>AA11/Z11</f>
        <v>0.11827971427036897</v>
      </c>
      <c r="AC11" s="90">
        <f>AA11-Z11</f>
        <v>-6566.700000000001</v>
      </c>
      <c r="AD11" s="88">
        <v>3011.5</v>
      </c>
      <c r="AE11" s="88">
        <v>209.1</v>
      </c>
      <c r="AF11" s="89">
        <f>AE11/AD11</f>
        <v>0.06943383695832642</v>
      </c>
      <c r="AG11" s="90">
        <f>AE11-AD11</f>
        <v>-2802.4</v>
      </c>
      <c r="AH11" s="93">
        <f>SUM(R11,V11,Z11,AD11)</f>
        <v>156184.7</v>
      </c>
      <c r="AI11" s="93">
        <f>SUM(S11,W11,AA11,AE11)</f>
        <v>36307.899999999994</v>
      </c>
    </row>
    <row r="12" spans="1:35" s="101" customFormat="1" ht="12">
      <c r="A12" s="94" t="s">
        <v>535</v>
      </c>
      <c r="B12" s="95" t="s">
        <v>538</v>
      </c>
      <c r="C12" s="96" t="s">
        <v>539</v>
      </c>
      <c r="D12" s="97">
        <f>SUM(H12,N12)</f>
        <v>220616.5</v>
      </c>
      <c r="E12" s="97">
        <f>SUM(J12,O12)</f>
        <v>90222.5</v>
      </c>
      <c r="F12" s="98">
        <f>E12/D12</f>
        <v>0.4089562657371502</v>
      </c>
      <c r="G12" s="99">
        <f>E12-D12</f>
        <v>-130394</v>
      </c>
      <c r="H12" s="100">
        <f>H13</f>
        <v>179866.5</v>
      </c>
      <c r="I12" s="100">
        <f>I13</f>
        <v>188937</v>
      </c>
      <c r="J12" s="100">
        <f>J13</f>
        <v>81388.3</v>
      </c>
      <c r="K12" s="91">
        <f aca="true" t="shared" si="0" ref="K12:K75">H12-J12</f>
        <v>98478.2</v>
      </c>
      <c r="L12" s="235">
        <f aca="true" t="shared" si="1" ref="L12:L75">J12/H12</f>
        <v>0.4524928210645118</v>
      </c>
      <c r="N12" s="97">
        <f>SUM(R12,V12,Z12,AD12)</f>
        <v>40750</v>
      </c>
      <c r="O12" s="97">
        <f>SUM(S12,W12,AA12,AE12)</f>
        <v>8834.2</v>
      </c>
      <c r="P12" s="98">
        <f>O12/N12</f>
        <v>0.21679018404907976</v>
      </c>
      <c r="Q12" s="99">
        <f>O12-N12</f>
        <v>-31915.8</v>
      </c>
      <c r="R12" s="97">
        <v>32819</v>
      </c>
      <c r="S12" s="97">
        <v>7867.7</v>
      </c>
      <c r="T12" s="98">
        <f>S12/R12</f>
        <v>0.23973003443127455</v>
      </c>
      <c r="U12" s="99">
        <f>S12-R12</f>
        <v>-24951.3</v>
      </c>
      <c r="V12" s="97">
        <v>2640</v>
      </c>
      <c r="W12" s="97">
        <v>234.7</v>
      </c>
      <c r="X12" s="98">
        <f>W12/V12</f>
        <v>0.08890151515151515</v>
      </c>
      <c r="Y12" s="99">
        <f>W12-V12</f>
        <v>-2405.3</v>
      </c>
      <c r="Z12" s="97">
        <v>4815</v>
      </c>
      <c r="AA12" s="97">
        <v>614.6</v>
      </c>
      <c r="AB12" s="98">
        <f>AA12/Z12</f>
        <v>0.12764278296988577</v>
      </c>
      <c r="AC12" s="99">
        <f>AA12-Z12</f>
        <v>-4200.4</v>
      </c>
      <c r="AD12" s="97">
        <v>476</v>
      </c>
      <c r="AE12" s="97">
        <v>117.2</v>
      </c>
      <c r="AF12" s="98">
        <f>AE12/AD12</f>
        <v>0.246218487394958</v>
      </c>
      <c r="AG12" s="99">
        <f>AE12-AD12</f>
        <v>-358.8</v>
      </c>
      <c r="AH12" s="102"/>
      <c r="AI12" s="102"/>
    </row>
    <row r="13" spans="1:35" s="111" customFormat="1" ht="24">
      <c r="A13" s="103" t="s">
        <v>540</v>
      </c>
      <c r="B13" s="104" t="s">
        <v>541</v>
      </c>
      <c r="C13" s="105" t="s">
        <v>542</v>
      </c>
      <c r="D13" s="106"/>
      <c r="E13" s="106"/>
      <c r="F13" s="107"/>
      <c r="G13" s="108"/>
      <c r="H13" s="109">
        <f>SUM(H14:H17)</f>
        <v>179866.5</v>
      </c>
      <c r="I13" s="109">
        <f>SUM(I14:I17)</f>
        <v>188937</v>
      </c>
      <c r="J13" s="109">
        <f>SUM(J14:J17)</f>
        <v>81388.3</v>
      </c>
      <c r="K13" s="110">
        <f t="shared" si="0"/>
        <v>98478.2</v>
      </c>
      <c r="L13" s="237">
        <f t="shared" si="1"/>
        <v>0.4524928210645118</v>
      </c>
      <c r="N13" s="106"/>
      <c r="O13" s="106"/>
      <c r="P13" s="107"/>
      <c r="Q13" s="108"/>
      <c r="R13" s="106"/>
      <c r="S13" s="106"/>
      <c r="T13" s="107"/>
      <c r="U13" s="108"/>
      <c r="V13" s="106"/>
      <c r="W13" s="106"/>
      <c r="X13" s="107"/>
      <c r="Y13" s="108"/>
      <c r="Z13" s="106"/>
      <c r="AA13" s="106"/>
      <c r="AB13" s="107"/>
      <c r="AC13" s="108"/>
      <c r="AD13" s="106"/>
      <c r="AE13" s="106"/>
      <c r="AF13" s="107"/>
      <c r="AG13" s="108"/>
      <c r="AH13" s="112"/>
      <c r="AI13" s="112"/>
    </row>
    <row r="14" spans="1:35" s="121" customFormat="1" ht="108">
      <c r="A14" s="113" t="s">
        <v>540</v>
      </c>
      <c r="B14" s="114" t="s">
        <v>543</v>
      </c>
      <c r="C14" s="115" t="s">
        <v>544</v>
      </c>
      <c r="D14" s="116"/>
      <c r="E14" s="116"/>
      <c r="F14" s="117"/>
      <c r="G14" s="118"/>
      <c r="H14" s="119">
        <v>179147</v>
      </c>
      <c r="I14" s="119">
        <v>188127</v>
      </c>
      <c r="J14" s="119">
        <v>79770.3</v>
      </c>
      <c r="K14" s="120">
        <f t="shared" si="0"/>
        <v>99376.7</v>
      </c>
      <c r="L14" s="236">
        <f t="shared" si="1"/>
        <v>0.44527845847265096</v>
      </c>
      <c r="N14" s="116"/>
      <c r="O14" s="116"/>
      <c r="P14" s="117"/>
      <c r="Q14" s="118"/>
      <c r="R14" s="116"/>
      <c r="S14" s="116"/>
      <c r="T14" s="117"/>
      <c r="U14" s="118"/>
      <c r="V14" s="116"/>
      <c r="W14" s="116"/>
      <c r="X14" s="117"/>
      <c r="Y14" s="118"/>
      <c r="Z14" s="116"/>
      <c r="AA14" s="116"/>
      <c r="AB14" s="117"/>
      <c r="AC14" s="118"/>
      <c r="AD14" s="116"/>
      <c r="AE14" s="116"/>
      <c r="AF14" s="117"/>
      <c r="AG14" s="118"/>
      <c r="AH14" s="122"/>
      <c r="AI14" s="122"/>
    </row>
    <row r="15" spans="1:35" s="121" customFormat="1" ht="172.5" customHeight="1">
      <c r="A15" s="123" t="s">
        <v>540</v>
      </c>
      <c r="B15" s="114" t="s">
        <v>545</v>
      </c>
      <c r="C15" s="115" t="s">
        <v>546</v>
      </c>
      <c r="D15" s="116"/>
      <c r="E15" s="116"/>
      <c r="F15" s="117"/>
      <c r="G15" s="118"/>
      <c r="H15" s="119">
        <v>719.5</v>
      </c>
      <c r="I15" s="119">
        <v>810</v>
      </c>
      <c r="J15" s="119">
        <v>419</v>
      </c>
      <c r="K15" s="120">
        <f t="shared" si="0"/>
        <v>300.5</v>
      </c>
      <c r="L15" s="236">
        <f t="shared" si="1"/>
        <v>0.5823488533703961</v>
      </c>
      <c r="N15" s="116"/>
      <c r="O15" s="116"/>
      <c r="P15" s="117"/>
      <c r="Q15" s="118"/>
      <c r="R15" s="116"/>
      <c r="S15" s="116"/>
      <c r="T15" s="117"/>
      <c r="U15" s="118"/>
      <c r="V15" s="116"/>
      <c r="W15" s="116"/>
      <c r="X15" s="117"/>
      <c r="Y15" s="118"/>
      <c r="Z15" s="116"/>
      <c r="AA15" s="116"/>
      <c r="AB15" s="117"/>
      <c r="AC15" s="118"/>
      <c r="AD15" s="116"/>
      <c r="AE15" s="116"/>
      <c r="AF15" s="117"/>
      <c r="AG15" s="118"/>
      <c r="AH15" s="122"/>
      <c r="AI15" s="122"/>
    </row>
    <row r="16" spans="1:35" s="121" customFormat="1" ht="60">
      <c r="A16" s="123" t="s">
        <v>540</v>
      </c>
      <c r="B16" s="114" t="s">
        <v>547</v>
      </c>
      <c r="C16" s="115" t="s">
        <v>548</v>
      </c>
      <c r="D16" s="116"/>
      <c r="E16" s="116"/>
      <c r="F16" s="117"/>
      <c r="G16" s="118"/>
      <c r="H16" s="119">
        <v>0</v>
      </c>
      <c r="I16" s="119">
        <v>0</v>
      </c>
      <c r="J16" s="119">
        <v>344.1</v>
      </c>
      <c r="K16" s="120">
        <f t="shared" si="0"/>
        <v>-344.1</v>
      </c>
      <c r="L16" s="236" t="e">
        <f t="shared" si="1"/>
        <v>#DIV/0!</v>
      </c>
      <c r="N16" s="116"/>
      <c r="O16" s="116"/>
      <c r="P16" s="117"/>
      <c r="Q16" s="118"/>
      <c r="R16" s="116"/>
      <c r="S16" s="116"/>
      <c r="T16" s="117"/>
      <c r="U16" s="118"/>
      <c r="V16" s="116"/>
      <c r="W16" s="116"/>
      <c r="X16" s="117"/>
      <c r="Y16" s="118"/>
      <c r="Z16" s="116"/>
      <c r="AA16" s="116"/>
      <c r="AB16" s="117"/>
      <c r="AC16" s="118"/>
      <c r="AD16" s="116"/>
      <c r="AE16" s="116"/>
      <c r="AF16" s="117"/>
      <c r="AG16" s="118"/>
      <c r="AH16" s="122"/>
      <c r="AI16" s="122"/>
    </row>
    <row r="17" spans="1:35" s="121" customFormat="1" ht="132">
      <c r="A17" s="123" t="s">
        <v>540</v>
      </c>
      <c r="B17" s="114" t="s">
        <v>549</v>
      </c>
      <c r="C17" s="115" t="s">
        <v>550</v>
      </c>
      <c r="D17" s="116"/>
      <c r="E17" s="116"/>
      <c r="F17" s="117"/>
      <c r="G17" s="118"/>
      <c r="H17" s="119">
        <v>0</v>
      </c>
      <c r="I17" s="119">
        <v>0</v>
      </c>
      <c r="J17" s="119">
        <v>854.9</v>
      </c>
      <c r="K17" s="120">
        <f t="shared" si="0"/>
        <v>-854.9</v>
      </c>
      <c r="L17" s="236" t="e">
        <f t="shared" si="1"/>
        <v>#DIV/0!</v>
      </c>
      <c r="N17" s="116"/>
      <c r="O17" s="116"/>
      <c r="P17" s="117"/>
      <c r="Q17" s="118"/>
      <c r="R17" s="116"/>
      <c r="S17" s="116"/>
      <c r="T17" s="117"/>
      <c r="U17" s="118"/>
      <c r="V17" s="116"/>
      <c r="W17" s="116"/>
      <c r="X17" s="117"/>
      <c r="Y17" s="118"/>
      <c r="Z17" s="116"/>
      <c r="AA17" s="116"/>
      <c r="AB17" s="117"/>
      <c r="AC17" s="118"/>
      <c r="AD17" s="116"/>
      <c r="AE17" s="116"/>
      <c r="AF17" s="117"/>
      <c r="AG17" s="118"/>
      <c r="AH17" s="122"/>
      <c r="AI17" s="122"/>
    </row>
    <row r="18" spans="1:35" s="121" customFormat="1" ht="36">
      <c r="A18" s="94" t="s">
        <v>535</v>
      </c>
      <c r="B18" s="124" t="s">
        <v>551</v>
      </c>
      <c r="C18" s="125" t="s">
        <v>1098</v>
      </c>
      <c r="D18" s="116"/>
      <c r="E18" s="116"/>
      <c r="F18" s="117"/>
      <c r="G18" s="118"/>
      <c r="H18" s="100">
        <f>SUM(H19)</f>
        <v>3869.8</v>
      </c>
      <c r="I18" s="100">
        <f>SUM(I19)</f>
        <v>0</v>
      </c>
      <c r="J18" s="100">
        <f>SUM(J19)</f>
        <v>1371.6</v>
      </c>
      <c r="K18" s="91">
        <f t="shared" si="0"/>
        <v>2498.2000000000003</v>
      </c>
      <c r="L18" s="235">
        <f t="shared" si="1"/>
        <v>0.3544369218047444</v>
      </c>
      <c r="N18" s="116"/>
      <c r="O18" s="116"/>
      <c r="P18" s="117"/>
      <c r="Q18" s="118"/>
      <c r="R18" s="116"/>
      <c r="S18" s="116"/>
      <c r="T18" s="117"/>
      <c r="U18" s="118"/>
      <c r="V18" s="116"/>
      <c r="W18" s="116"/>
      <c r="X18" s="117"/>
      <c r="Y18" s="118"/>
      <c r="Z18" s="116"/>
      <c r="AA18" s="116"/>
      <c r="AB18" s="117"/>
      <c r="AC18" s="118"/>
      <c r="AD18" s="116"/>
      <c r="AE18" s="116"/>
      <c r="AF18" s="117"/>
      <c r="AG18" s="118"/>
      <c r="AH18" s="122"/>
      <c r="AI18" s="122"/>
    </row>
    <row r="19" spans="1:35" s="133" customFormat="1" ht="48">
      <c r="A19" s="126" t="s">
        <v>535</v>
      </c>
      <c r="B19" s="127" t="s">
        <v>552</v>
      </c>
      <c r="C19" s="128" t="s">
        <v>553</v>
      </c>
      <c r="D19" s="129"/>
      <c r="E19" s="129"/>
      <c r="F19" s="130"/>
      <c r="G19" s="131"/>
      <c r="H19" s="132">
        <f>SUM(H20:H23)</f>
        <v>3869.8</v>
      </c>
      <c r="I19" s="132">
        <f>SUM(I20:I23)</f>
        <v>0</v>
      </c>
      <c r="J19" s="132">
        <f>SUM(J20:J23)</f>
        <v>1371.6</v>
      </c>
      <c r="K19" s="110">
        <f t="shared" si="0"/>
        <v>2498.2000000000003</v>
      </c>
      <c r="L19" s="237">
        <f t="shared" si="1"/>
        <v>0.3544369218047444</v>
      </c>
      <c r="N19" s="129"/>
      <c r="O19" s="129"/>
      <c r="P19" s="130"/>
      <c r="Q19" s="131"/>
      <c r="R19" s="129"/>
      <c r="S19" s="129"/>
      <c r="T19" s="130"/>
      <c r="U19" s="131"/>
      <c r="V19" s="129"/>
      <c r="W19" s="129"/>
      <c r="X19" s="130"/>
      <c r="Y19" s="131"/>
      <c r="Z19" s="129"/>
      <c r="AA19" s="129"/>
      <c r="AB19" s="130"/>
      <c r="AC19" s="131"/>
      <c r="AD19" s="129"/>
      <c r="AE19" s="129"/>
      <c r="AF19" s="130"/>
      <c r="AG19" s="131"/>
      <c r="AH19" s="134"/>
      <c r="AI19" s="134"/>
    </row>
    <row r="20" spans="1:35" s="121" customFormat="1" ht="51" customHeight="1">
      <c r="A20" s="123" t="s">
        <v>42</v>
      </c>
      <c r="B20" s="114" t="s">
        <v>554</v>
      </c>
      <c r="C20" s="115" t="s">
        <v>555</v>
      </c>
      <c r="D20" s="116"/>
      <c r="E20" s="116"/>
      <c r="F20" s="117"/>
      <c r="G20" s="118"/>
      <c r="H20" s="119">
        <v>1615.4</v>
      </c>
      <c r="I20" s="119"/>
      <c r="J20" s="119">
        <v>541.7</v>
      </c>
      <c r="K20" s="120">
        <f t="shared" si="0"/>
        <v>1073.7</v>
      </c>
      <c r="L20" s="236">
        <f t="shared" si="1"/>
        <v>0.335334901572366</v>
      </c>
      <c r="N20" s="116"/>
      <c r="O20" s="116"/>
      <c r="P20" s="117"/>
      <c r="Q20" s="118"/>
      <c r="R20" s="116"/>
      <c r="S20" s="116"/>
      <c r="T20" s="117"/>
      <c r="U20" s="118"/>
      <c r="V20" s="116"/>
      <c r="W20" s="116"/>
      <c r="X20" s="117"/>
      <c r="Y20" s="118"/>
      <c r="Z20" s="116"/>
      <c r="AA20" s="116"/>
      <c r="AB20" s="117"/>
      <c r="AC20" s="118"/>
      <c r="AD20" s="116"/>
      <c r="AE20" s="116"/>
      <c r="AF20" s="117"/>
      <c r="AG20" s="118"/>
      <c r="AH20" s="122"/>
      <c r="AI20" s="122"/>
    </row>
    <row r="21" spans="1:35" s="121" customFormat="1" ht="87.75" customHeight="1">
      <c r="A21" s="123" t="s">
        <v>42</v>
      </c>
      <c r="B21" s="114" t="s">
        <v>556</v>
      </c>
      <c r="C21" s="115" t="s">
        <v>557</v>
      </c>
      <c r="D21" s="116"/>
      <c r="E21" s="116"/>
      <c r="F21" s="117"/>
      <c r="G21" s="118"/>
      <c r="H21" s="119">
        <v>32</v>
      </c>
      <c r="I21" s="119"/>
      <c r="J21" s="119">
        <v>10.9</v>
      </c>
      <c r="K21" s="120">
        <f t="shared" si="0"/>
        <v>21.1</v>
      </c>
      <c r="L21" s="236">
        <f t="shared" si="1"/>
        <v>0.340625</v>
      </c>
      <c r="N21" s="116"/>
      <c r="O21" s="116"/>
      <c r="P21" s="117"/>
      <c r="Q21" s="118"/>
      <c r="R21" s="116"/>
      <c r="S21" s="116"/>
      <c r="T21" s="117"/>
      <c r="U21" s="118"/>
      <c r="V21" s="116"/>
      <c r="W21" s="116"/>
      <c r="X21" s="117"/>
      <c r="Y21" s="118"/>
      <c r="Z21" s="116"/>
      <c r="AA21" s="116"/>
      <c r="AB21" s="117"/>
      <c r="AC21" s="118"/>
      <c r="AD21" s="116"/>
      <c r="AE21" s="116"/>
      <c r="AF21" s="117"/>
      <c r="AG21" s="118"/>
      <c r="AH21" s="122"/>
      <c r="AI21" s="122"/>
    </row>
    <row r="22" spans="1:35" s="121" customFormat="1" ht="75.75" customHeight="1">
      <c r="A22" s="123" t="s">
        <v>42</v>
      </c>
      <c r="B22" s="114" t="s">
        <v>558</v>
      </c>
      <c r="C22" s="115" t="s">
        <v>559</v>
      </c>
      <c r="D22" s="116"/>
      <c r="E22" s="116"/>
      <c r="F22" s="117"/>
      <c r="G22" s="118"/>
      <c r="H22" s="119">
        <v>2077.4</v>
      </c>
      <c r="I22" s="119"/>
      <c r="J22" s="119">
        <v>819</v>
      </c>
      <c r="K22" s="120">
        <f t="shared" si="0"/>
        <v>1258.4</v>
      </c>
      <c r="L22" s="236">
        <f t="shared" si="1"/>
        <v>0.39424280350438046</v>
      </c>
      <c r="N22" s="116"/>
      <c r="O22" s="116"/>
      <c r="P22" s="117"/>
      <c r="Q22" s="118"/>
      <c r="R22" s="116"/>
      <c r="S22" s="116"/>
      <c r="T22" s="117"/>
      <c r="U22" s="118"/>
      <c r="V22" s="116"/>
      <c r="W22" s="116"/>
      <c r="X22" s="117"/>
      <c r="Y22" s="118"/>
      <c r="Z22" s="116"/>
      <c r="AA22" s="116"/>
      <c r="AB22" s="117"/>
      <c r="AC22" s="118"/>
      <c r="AD22" s="116"/>
      <c r="AE22" s="116"/>
      <c r="AF22" s="117"/>
      <c r="AG22" s="118"/>
      <c r="AH22" s="122"/>
      <c r="AI22" s="122"/>
    </row>
    <row r="23" spans="1:35" s="121" customFormat="1" ht="75.75" customHeight="1">
      <c r="A23" s="123" t="s">
        <v>42</v>
      </c>
      <c r="B23" s="114" t="s">
        <v>560</v>
      </c>
      <c r="C23" s="115" t="s">
        <v>561</v>
      </c>
      <c r="D23" s="116"/>
      <c r="E23" s="116"/>
      <c r="F23" s="117"/>
      <c r="G23" s="118"/>
      <c r="H23" s="119">
        <v>145</v>
      </c>
      <c r="I23" s="119"/>
      <c r="J23" s="119">
        <v>0</v>
      </c>
      <c r="K23" s="120">
        <f t="shared" si="0"/>
        <v>145</v>
      </c>
      <c r="L23" s="236">
        <f t="shared" si="1"/>
        <v>0</v>
      </c>
      <c r="N23" s="116"/>
      <c r="O23" s="116"/>
      <c r="P23" s="117"/>
      <c r="Q23" s="118"/>
      <c r="R23" s="116"/>
      <c r="S23" s="116"/>
      <c r="T23" s="117"/>
      <c r="U23" s="118"/>
      <c r="V23" s="116"/>
      <c r="W23" s="116"/>
      <c r="X23" s="117"/>
      <c r="Y23" s="118"/>
      <c r="Z23" s="116"/>
      <c r="AA23" s="116"/>
      <c r="AB23" s="117"/>
      <c r="AC23" s="118"/>
      <c r="AD23" s="116"/>
      <c r="AE23" s="116"/>
      <c r="AF23" s="117"/>
      <c r="AG23" s="118"/>
      <c r="AH23" s="122"/>
      <c r="AI23" s="122"/>
    </row>
    <row r="24" spans="1:35" s="101" customFormat="1" ht="12">
      <c r="A24" s="94" t="s">
        <v>535</v>
      </c>
      <c r="B24" s="135" t="s">
        <v>562</v>
      </c>
      <c r="C24" s="125" t="s">
        <v>563</v>
      </c>
      <c r="D24" s="97"/>
      <c r="E24" s="97"/>
      <c r="F24" s="98"/>
      <c r="G24" s="99"/>
      <c r="H24" s="100">
        <f>SUM(H25:H28)</f>
        <v>28640.6</v>
      </c>
      <c r="I24" s="100">
        <f>SUM(I25:I28)</f>
        <v>21522.3</v>
      </c>
      <c r="J24" s="100">
        <f>SUM(J25:J28)</f>
        <v>14631.4</v>
      </c>
      <c r="K24" s="91">
        <f t="shared" si="0"/>
        <v>14009.199999999999</v>
      </c>
      <c r="L24" s="235">
        <f t="shared" si="1"/>
        <v>0.5108622026074873</v>
      </c>
      <c r="N24" s="97"/>
      <c r="O24" s="97"/>
      <c r="P24" s="98"/>
      <c r="Q24" s="99"/>
      <c r="R24" s="97"/>
      <c r="S24" s="97"/>
      <c r="T24" s="98"/>
      <c r="U24" s="99"/>
      <c r="V24" s="97"/>
      <c r="W24" s="97"/>
      <c r="X24" s="98"/>
      <c r="Y24" s="99"/>
      <c r="Z24" s="97"/>
      <c r="AA24" s="97"/>
      <c r="AB24" s="98"/>
      <c r="AC24" s="99"/>
      <c r="AD24" s="97"/>
      <c r="AE24" s="97"/>
      <c r="AF24" s="98"/>
      <c r="AG24" s="99"/>
      <c r="AH24" s="102"/>
      <c r="AI24" s="102"/>
    </row>
    <row r="25" spans="1:35" s="121" customFormat="1" ht="36">
      <c r="A25" s="136" t="s">
        <v>540</v>
      </c>
      <c r="B25" s="114" t="s">
        <v>564</v>
      </c>
      <c r="C25" s="115" t="s">
        <v>565</v>
      </c>
      <c r="D25" s="116">
        <f>SUM(H25,N25)</f>
        <v>28456.6</v>
      </c>
      <c r="E25" s="116">
        <f>SUM(J25,O25)</f>
        <v>14391.4</v>
      </c>
      <c r="F25" s="117">
        <f>E25/D25</f>
        <v>0.505731535039323</v>
      </c>
      <c r="G25" s="118">
        <f>E25-D25</f>
        <v>-14065.199999999999</v>
      </c>
      <c r="H25" s="119">
        <v>28456.6</v>
      </c>
      <c r="I25" s="119">
        <v>21370</v>
      </c>
      <c r="J25" s="119">
        <v>14391.4</v>
      </c>
      <c r="K25" s="120">
        <f t="shared" si="0"/>
        <v>14065.199999999999</v>
      </c>
      <c r="L25" s="236">
        <f t="shared" si="1"/>
        <v>0.505731535039323</v>
      </c>
      <c r="N25" s="116">
        <f aca="true" t="shared" si="2" ref="N25:O27">SUM(R25,V25,Z25,AD25)</f>
        <v>0</v>
      </c>
      <c r="O25" s="116">
        <f t="shared" si="2"/>
        <v>0</v>
      </c>
      <c r="P25" s="117" t="e">
        <f>O25/N25</f>
        <v>#DIV/0!</v>
      </c>
      <c r="Q25" s="118">
        <f>O25-N25</f>
        <v>0</v>
      </c>
      <c r="R25" s="116"/>
      <c r="S25" s="116"/>
      <c r="T25" s="117" t="e">
        <f>S25/R25</f>
        <v>#DIV/0!</v>
      </c>
      <c r="U25" s="118">
        <f>S25-R25</f>
        <v>0</v>
      </c>
      <c r="V25" s="116"/>
      <c r="W25" s="116"/>
      <c r="X25" s="117" t="e">
        <f>W25/V25</f>
        <v>#DIV/0!</v>
      </c>
      <c r="Y25" s="118">
        <f>W25-V25</f>
        <v>0</v>
      </c>
      <c r="Z25" s="116"/>
      <c r="AA25" s="116"/>
      <c r="AB25" s="117" t="e">
        <f>AA25/Z25</f>
        <v>#DIV/0!</v>
      </c>
      <c r="AC25" s="118">
        <f>AA25-Z25</f>
        <v>0</v>
      </c>
      <c r="AD25" s="116"/>
      <c r="AE25" s="116"/>
      <c r="AF25" s="117" t="e">
        <f>AE25/AD25</f>
        <v>#DIV/0!</v>
      </c>
      <c r="AG25" s="118">
        <f>AE25-AD25</f>
        <v>0</v>
      </c>
      <c r="AH25" s="122"/>
      <c r="AI25" s="122"/>
    </row>
    <row r="26" spans="1:35" s="121" customFormat="1" ht="60">
      <c r="A26" s="136" t="s">
        <v>540</v>
      </c>
      <c r="B26" s="114" t="s">
        <v>566</v>
      </c>
      <c r="C26" s="115" t="s">
        <v>567</v>
      </c>
      <c r="D26" s="116">
        <f>SUM(H26,N26)</f>
        <v>0</v>
      </c>
      <c r="E26" s="116">
        <f>SUM(J26,O26)</f>
        <v>40.8</v>
      </c>
      <c r="F26" s="117" t="e">
        <f>E26/D26</f>
        <v>#DIV/0!</v>
      </c>
      <c r="G26" s="118">
        <f>E26-D26</f>
        <v>40.8</v>
      </c>
      <c r="H26" s="119">
        <v>0</v>
      </c>
      <c r="I26" s="119">
        <v>0</v>
      </c>
      <c r="J26" s="119">
        <v>40.8</v>
      </c>
      <c r="K26" s="120">
        <f t="shared" si="0"/>
        <v>-40.8</v>
      </c>
      <c r="L26" s="236" t="e">
        <f t="shared" si="1"/>
        <v>#DIV/0!</v>
      </c>
      <c r="N26" s="116">
        <f t="shared" si="2"/>
        <v>0</v>
      </c>
      <c r="O26" s="116">
        <f t="shared" si="2"/>
        <v>0</v>
      </c>
      <c r="P26" s="117" t="e">
        <f>O26/N26</f>
        <v>#DIV/0!</v>
      </c>
      <c r="Q26" s="118">
        <f>O26-N26</f>
        <v>0</v>
      </c>
      <c r="R26" s="116"/>
      <c r="S26" s="116"/>
      <c r="T26" s="117" t="e">
        <f>S26/R26</f>
        <v>#DIV/0!</v>
      </c>
      <c r="U26" s="118">
        <f>S26-R26</f>
        <v>0</v>
      </c>
      <c r="V26" s="116"/>
      <c r="W26" s="116"/>
      <c r="X26" s="117" t="e">
        <f>W26/V26</f>
        <v>#DIV/0!</v>
      </c>
      <c r="Y26" s="118">
        <f>W26-V26</f>
        <v>0</v>
      </c>
      <c r="Z26" s="116"/>
      <c r="AA26" s="116"/>
      <c r="AB26" s="117" t="e">
        <f>AA26/Z26</f>
        <v>#DIV/0!</v>
      </c>
      <c r="AC26" s="118">
        <f>AA26-Z26</f>
        <v>0</v>
      </c>
      <c r="AD26" s="116"/>
      <c r="AE26" s="116"/>
      <c r="AF26" s="117" t="e">
        <f>AE26/AD26</f>
        <v>#DIV/0!</v>
      </c>
      <c r="AG26" s="118">
        <f>AE26-AD26</f>
        <v>0</v>
      </c>
      <c r="AH26" s="122"/>
      <c r="AI26" s="122"/>
    </row>
    <row r="27" spans="1:35" s="121" customFormat="1" ht="24" hidden="1">
      <c r="A27" s="136" t="s">
        <v>535</v>
      </c>
      <c r="B27" s="137" t="s">
        <v>568</v>
      </c>
      <c r="C27" s="115" t="s">
        <v>569</v>
      </c>
      <c r="D27" s="116">
        <f>SUM(H27,N27)</f>
        <v>51</v>
      </c>
      <c r="E27" s="116">
        <f>SUM(J27,O27)</f>
        <v>-32.8</v>
      </c>
      <c r="F27" s="117">
        <f>E27/D27</f>
        <v>-0.6431372549019607</v>
      </c>
      <c r="G27" s="118">
        <f>E27-D27</f>
        <v>-83.8</v>
      </c>
      <c r="H27" s="119">
        <v>0</v>
      </c>
      <c r="I27" s="119">
        <v>0</v>
      </c>
      <c r="J27" s="119">
        <v>0</v>
      </c>
      <c r="K27" s="120">
        <f t="shared" si="0"/>
        <v>0</v>
      </c>
      <c r="L27" s="236" t="e">
        <f t="shared" si="1"/>
        <v>#DIV/0!</v>
      </c>
      <c r="N27" s="116">
        <f t="shared" si="2"/>
        <v>51</v>
      </c>
      <c r="O27" s="116">
        <f t="shared" si="2"/>
        <v>-32.8</v>
      </c>
      <c r="P27" s="117">
        <f>O27/N27</f>
        <v>-0.6431372549019607</v>
      </c>
      <c r="Q27" s="118">
        <f>O27-N27</f>
        <v>-83.8</v>
      </c>
      <c r="R27" s="116">
        <v>39</v>
      </c>
      <c r="S27" s="116">
        <v>-32.8</v>
      </c>
      <c r="T27" s="117">
        <f>S27/R27</f>
        <v>-0.8410256410256409</v>
      </c>
      <c r="U27" s="118">
        <f>S27-R27</f>
        <v>-71.8</v>
      </c>
      <c r="V27" s="116">
        <v>12</v>
      </c>
      <c r="W27" s="116"/>
      <c r="X27" s="117">
        <f>W27/V27</f>
        <v>0</v>
      </c>
      <c r="Y27" s="118">
        <f>W27-V27</f>
        <v>-12</v>
      </c>
      <c r="Z27" s="116"/>
      <c r="AA27" s="116"/>
      <c r="AB27" s="117" t="e">
        <f>AA27/Z27</f>
        <v>#DIV/0!</v>
      </c>
      <c r="AC27" s="118">
        <f>AA27-Z27</f>
        <v>0</v>
      </c>
      <c r="AD27" s="116"/>
      <c r="AE27" s="116"/>
      <c r="AF27" s="117" t="e">
        <f>AE27/AD27</f>
        <v>#DIV/0!</v>
      </c>
      <c r="AG27" s="118">
        <f>AE27-AD27</f>
        <v>0</v>
      </c>
      <c r="AH27" s="122"/>
      <c r="AI27" s="122"/>
    </row>
    <row r="28" spans="1:35" s="121" customFormat="1" ht="50.25" customHeight="1">
      <c r="A28" s="136">
        <v>182</v>
      </c>
      <c r="B28" s="138">
        <v>10504020020000100</v>
      </c>
      <c r="C28" s="115" t="s">
        <v>570</v>
      </c>
      <c r="D28" s="116"/>
      <c r="E28" s="116"/>
      <c r="F28" s="117"/>
      <c r="G28" s="118"/>
      <c r="H28" s="119">
        <v>184</v>
      </c>
      <c r="I28" s="119">
        <v>152.3</v>
      </c>
      <c r="J28" s="119">
        <v>199.2</v>
      </c>
      <c r="K28" s="120">
        <f t="shared" si="0"/>
        <v>-15.199999999999989</v>
      </c>
      <c r="L28" s="236">
        <f t="shared" si="1"/>
        <v>1.0826086956521739</v>
      </c>
      <c r="N28" s="116"/>
      <c r="O28" s="116"/>
      <c r="P28" s="117"/>
      <c r="Q28" s="118"/>
      <c r="R28" s="116"/>
      <c r="S28" s="116"/>
      <c r="T28" s="117"/>
      <c r="U28" s="118"/>
      <c r="V28" s="116"/>
      <c r="W28" s="116"/>
      <c r="X28" s="117"/>
      <c r="Y28" s="118"/>
      <c r="Z28" s="116"/>
      <c r="AA28" s="116"/>
      <c r="AB28" s="117"/>
      <c r="AC28" s="118"/>
      <c r="AD28" s="116"/>
      <c r="AE28" s="116"/>
      <c r="AF28" s="117"/>
      <c r="AG28" s="118"/>
      <c r="AH28" s="122"/>
      <c r="AI28" s="122"/>
    </row>
    <row r="29" spans="1:35" s="101" customFormat="1" ht="12">
      <c r="A29" s="94" t="s">
        <v>535</v>
      </c>
      <c r="B29" s="135" t="s">
        <v>571</v>
      </c>
      <c r="C29" s="96" t="s">
        <v>572</v>
      </c>
      <c r="D29" s="97"/>
      <c r="E29" s="97"/>
      <c r="F29" s="98"/>
      <c r="G29" s="99"/>
      <c r="H29" s="100">
        <f>H30</f>
        <v>20739.6</v>
      </c>
      <c r="I29" s="100">
        <f>I30</f>
        <v>8689.3</v>
      </c>
      <c r="J29" s="100">
        <f>J30</f>
        <v>5307.1</v>
      </c>
      <c r="K29" s="91">
        <f t="shared" si="0"/>
        <v>15432.499999999998</v>
      </c>
      <c r="L29" s="235">
        <f t="shared" si="1"/>
        <v>0.2558921097803237</v>
      </c>
      <c r="N29" s="97"/>
      <c r="O29" s="97"/>
      <c r="P29" s="98"/>
      <c r="Q29" s="99"/>
      <c r="R29" s="97"/>
      <c r="S29" s="97"/>
      <c r="T29" s="98"/>
      <c r="U29" s="99"/>
      <c r="V29" s="97"/>
      <c r="W29" s="97"/>
      <c r="X29" s="98"/>
      <c r="Y29" s="99"/>
      <c r="Z29" s="97"/>
      <c r="AA29" s="97"/>
      <c r="AB29" s="98"/>
      <c r="AC29" s="99"/>
      <c r="AD29" s="97"/>
      <c r="AE29" s="97"/>
      <c r="AF29" s="98"/>
      <c r="AG29" s="99"/>
      <c r="AH29" s="102"/>
      <c r="AI29" s="102"/>
    </row>
    <row r="30" spans="1:35" s="111" customFormat="1" ht="12">
      <c r="A30" s="103" t="s">
        <v>535</v>
      </c>
      <c r="B30" s="104" t="s">
        <v>573</v>
      </c>
      <c r="C30" s="105" t="s">
        <v>574</v>
      </c>
      <c r="D30" s="106"/>
      <c r="E30" s="106"/>
      <c r="F30" s="107"/>
      <c r="G30" s="108"/>
      <c r="H30" s="109">
        <f>SUM(H31:H32)</f>
        <v>20739.6</v>
      </c>
      <c r="I30" s="109">
        <f>SUM(I31:I32)</f>
        <v>8689.3</v>
      </c>
      <c r="J30" s="109">
        <f>SUM(J31:J32)</f>
        <v>5307.1</v>
      </c>
      <c r="K30" s="110">
        <f t="shared" si="0"/>
        <v>15432.499999999998</v>
      </c>
      <c r="L30" s="237">
        <f t="shared" si="1"/>
        <v>0.2558921097803237</v>
      </c>
      <c r="N30" s="106"/>
      <c r="O30" s="106"/>
      <c r="P30" s="107"/>
      <c r="Q30" s="108"/>
      <c r="R30" s="106"/>
      <c r="S30" s="106"/>
      <c r="T30" s="107"/>
      <c r="U30" s="108"/>
      <c r="V30" s="106"/>
      <c r="W30" s="106"/>
      <c r="X30" s="107"/>
      <c r="Y30" s="108"/>
      <c r="Z30" s="106"/>
      <c r="AA30" s="106"/>
      <c r="AB30" s="107"/>
      <c r="AC30" s="108"/>
      <c r="AD30" s="106"/>
      <c r="AE30" s="106"/>
      <c r="AF30" s="107"/>
      <c r="AG30" s="108"/>
      <c r="AH30" s="112"/>
      <c r="AI30" s="112"/>
    </row>
    <row r="31" spans="1:35" s="121" customFormat="1" ht="24">
      <c r="A31" s="136" t="s">
        <v>540</v>
      </c>
      <c r="B31" s="137" t="s">
        <v>575</v>
      </c>
      <c r="C31" s="115" t="s">
        <v>576</v>
      </c>
      <c r="D31" s="116">
        <v>8240</v>
      </c>
      <c r="E31" s="116">
        <v>1146.3</v>
      </c>
      <c r="F31" s="117">
        <v>0.14</v>
      </c>
      <c r="G31" s="118">
        <v>-7093.7</v>
      </c>
      <c r="H31" s="119">
        <v>4389</v>
      </c>
      <c r="I31" s="119">
        <v>3585</v>
      </c>
      <c r="J31" s="119">
        <v>2713</v>
      </c>
      <c r="K31" s="120">
        <f t="shared" si="0"/>
        <v>1676</v>
      </c>
      <c r="L31" s="236">
        <f t="shared" si="1"/>
        <v>0.6181362497151971</v>
      </c>
      <c r="N31" s="116"/>
      <c r="O31" s="116"/>
      <c r="P31" s="117"/>
      <c r="Q31" s="118"/>
      <c r="R31" s="116"/>
      <c r="S31" s="116"/>
      <c r="T31" s="117"/>
      <c r="U31" s="118"/>
      <c r="V31" s="116"/>
      <c r="W31" s="116"/>
      <c r="X31" s="117"/>
      <c r="Y31" s="118"/>
      <c r="Z31" s="116"/>
      <c r="AA31" s="116"/>
      <c r="AB31" s="117"/>
      <c r="AC31" s="118"/>
      <c r="AD31" s="116"/>
      <c r="AE31" s="116"/>
      <c r="AF31" s="117"/>
      <c r="AG31" s="118"/>
      <c r="AH31" s="122"/>
      <c r="AI31" s="122"/>
    </row>
    <row r="32" spans="1:35" s="121" customFormat="1" ht="24">
      <c r="A32" s="136" t="s">
        <v>540</v>
      </c>
      <c r="B32" s="137" t="s">
        <v>577</v>
      </c>
      <c r="C32" s="115" t="s">
        <v>578</v>
      </c>
      <c r="D32" s="116">
        <v>18864</v>
      </c>
      <c r="E32" s="116">
        <v>7805.5</v>
      </c>
      <c r="F32" s="117">
        <v>0.41</v>
      </c>
      <c r="G32" s="118"/>
      <c r="H32" s="119">
        <v>16350.6</v>
      </c>
      <c r="I32" s="119">
        <v>5104.3</v>
      </c>
      <c r="J32" s="119">
        <v>2594.1</v>
      </c>
      <c r="K32" s="120">
        <f t="shared" si="0"/>
        <v>13756.5</v>
      </c>
      <c r="L32" s="236">
        <f t="shared" si="1"/>
        <v>0.1586547282668526</v>
      </c>
      <c r="N32" s="116"/>
      <c r="O32" s="116"/>
      <c r="P32" s="117"/>
      <c r="Q32" s="118"/>
      <c r="R32" s="116"/>
      <c r="S32" s="116"/>
      <c r="T32" s="117"/>
      <c r="U32" s="118"/>
      <c r="V32" s="116"/>
      <c r="W32" s="116"/>
      <c r="X32" s="117"/>
      <c r="Y32" s="118"/>
      <c r="Z32" s="116"/>
      <c r="AA32" s="116"/>
      <c r="AB32" s="117"/>
      <c r="AC32" s="118"/>
      <c r="AD32" s="116"/>
      <c r="AE32" s="116"/>
      <c r="AF32" s="117"/>
      <c r="AG32" s="118"/>
      <c r="AH32" s="122"/>
      <c r="AI32" s="122"/>
    </row>
    <row r="33" spans="1:35" s="121" customFormat="1" ht="12" hidden="1">
      <c r="A33" s="136" t="s">
        <v>540</v>
      </c>
      <c r="B33" s="137" t="s">
        <v>579</v>
      </c>
      <c r="C33" s="115" t="s">
        <v>580</v>
      </c>
      <c r="D33" s="116">
        <f>SUM(H33,N33)</f>
        <v>71999.4</v>
      </c>
      <c r="E33" s="116">
        <f>SUM(J33,O33)</f>
        <v>23642.2</v>
      </c>
      <c r="F33" s="117">
        <f>E33/D33</f>
        <v>0.3283666252774329</v>
      </c>
      <c r="G33" s="118">
        <f>E33-D33</f>
        <v>-48357.2</v>
      </c>
      <c r="H33" s="119">
        <v>0</v>
      </c>
      <c r="I33" s="119">
        <v>0</v>
      </c>
      <c r="J33" s="119">
        <v>0</v>
      </c>
      <c r="K33" s="91">
        <f t="shared" si="0"/>
        <v>0</v>
      </c>
      <c r="L33" s="235" t="e">
        <f t="shared" si="1"/>
        <v>#DIV/0!</v>
      </c>
      <c r="N33" s="116">
        <f>SUM(R33,V33,Z33,AD33)</f>
        <v>71999.4</v>
      </c>
      <c r="O33" s="116">
        <f>SUM(S33,W33,AA33,AE33)</f>
        <v>23642.2</v>
      </c>
      <c r="P33" s="117">
        <f>O33/N33</f>
        <v>0.3283666252774329</v>
      </c>
      <c r="Q33" s="118">
        <f>O33-N33</f>
        <v>-48357.2</v>
      </c>
      <c r="R33" s="116">
        <v>68150</v>
      </c>
      <c r="S33" s="116">
        <v>23158.7</v>
      </c>
      <c r="T33" s="117">
        <f>S33/R33</f>
        <v>0.3398195157740279</v>
      </c>
      <c r="U33" s="118">
        <f>S33-R33</f>
        <v>-44991.3</v>
      </c>
      <c r="V33" s="116">
        <v>3024</v>
      </c>
      <c r="W33" s="116">
        <v>292.7</v>
      </c>
      <c r="X33" s="117">
        <f>W33/V33</f>
        <v>0.09679232804232804</v>
      </c>
      <c r="Y33" s="118">
        <f>W33-V33</f>
        <v>-2731.3</v>
      </c>
      <c r="Z33" s="116">
        <v>473.4</v>
      </c>
      <c r="AA33" s="116">
        <v>142</v>
      </c>
      <c r="AB33" s="117">
        <f>AA33/Z33</f>
        <v>0.29995775242923534</v>
      </c>
      <c r="AC33" s="118">
        <f>AA33-Z33</f>
        <v>-331.4</v>
      </c>
      <c r="AD33" s="116">
        <v>352</v>
      </c>
      <c r="AE33" s="116">
        <v>48.8</v>
      </c>
      <c r="AF33" s="117">
        <f>AE33/AD33</f>
        <v>0.13863636363636364</v>
      </c>
      <c r="AG33" s="118">
        <f>AE33-AD33</f>
        <v>-303.2</v>
      </c>
      <c r="AH33" s="122"/>
      <c r="AI33" s="122"/>
    </row>
    <row r="34" spans="1:35" s="101" customFormat="1" ht="12">
      <c r="A34" s="94" t="s">
        <v>535</v>
      </c>
      <c r="B34" s="135" t="s">
        <v>581</v>
      </c>
      <c r="C34" s="96" t="s">
        <v>582</v>
      </c>
      <c r="D34" s="97">
        <f>SUM(H34,N34)</f>
        <v>3774</v>
      </c>
      <c r="E34" s="97">
        <f>SUM(J34,O34)</f>
        <v>2664</v>
      </c>
      <c r="F34" s="98">
        <f>E34/D34</f>
        <v>0.7058823529411765</v>
      </c>
      <c r="G34" s="99">
        <f>E34-D34</f>
        <v>-1110</v>
      </c>
      <c r="H34" s="100">
        <f>H35+H37</f>
        <v>3740</v>
      </c>
      <c r="I34" s="100">
        <f>I35+I37</f>
        <v>2964.5</v>
      </c>
      <c r="J34" s="100">
        <f>J35+J37</f>
        <v>2655.3</v>
      </c>
      <c r="K34" s="91">
        <f t="shared" si="0"/>
        <v>1084.6999999999998</v>
      </c>
      <c r="L34" s="235">
        <f t="shared" si="1"/>
        <v>0.7099732620320857</v>
      </c>
      <c r="N34" s="97">
        <f>SUM(R34,V34,Z34,AD34)</f>
        <v>34</v>
      </c>
      <c r="O34" s="97">
        <f>SUM(S34,W34,AA34,AE34)</f>
        <v>8.7</v>
      </c>
      <c r="P34" s="98">
        <f>O34/N34</f>
        <v>0.25588235294117645</v>
      </c>
      <c r="Q34" s="99">
        <f>O34-N34</f>
        <v>-25.3</v>
      </c>
      <c r="R34" s="97"/>
      <c r="S34" s="97"/>
      <c r="T34" s="98" t="e">
        <f>S34/R34</f>
        <v>#DIV/0!</v>
      </c>
      <c r="U34" s="99">
        <f>S34-R34</f>
        <v>0</v>
      </c>
      <c r="V34" s="97">
        <v>12</v>
      </c>
      <c r="W34" s="97">
        <v>0.6</v>
      </c>
      <c r="X34" s="98">
        <f>W34/V34</f>
        <v>0.049999999999999996</v>
      </c>
      <c r="Y34" s="99">
        <f>W34-V34</f>
        <v>-11.4</v>
      </c>
      <c r="Z34" s="97">
        <v>12</v>
      </c>
      <c r="AA34" s="97">
        <v>6.2</v>
      </c>
      <c r="AB34" s="98">
        <f>AA34/Z34</f>
        <v>0.5166666666666667</v>
      </c>
      <c r="AC34" s="99">
        <f>AA34-Z34</f>
        <v>-5.8</v>
      </c>
      <c r="AD34" s="97">
        <v>10</v>
      </c>
      <c r="AE34" s="97">
        <v>1.9</v>
      </c>
      <c r="AF34" s="98">
        <f>AE34/AD34</f>
        <v>0.19</v>
      </c>
      <c r="AG34" s="99">
        <f>AE34-AD34</f>
        <v>-8.1</v>
      </c>
      <c r="AH34" s="102"/>
      <c r="AI34" s="102"/>
    </row>
    <row r="35" spans="1:35" s="144" customFormat="1" ht="48">
      <c r="A35" s="136" t="s">
        <v>535</v>
      </c>
      <c r="B35" s="139" t="s">
        <v>583</v>
      </c>
      <c r="C35" s="140" t="s">
        <v>584</v>
      </c>
      <c r="D35" s="141"/>
      <c r="E35" s="141"/>
      <c r="F35" s="142"/>
      <c r="G35" s="143"/>
      <c r="H35" s="119">
        <f>H36</f>
        <v>3710</v>
      </c>
      <c r="I35" s="119">
        <f>I36</f>
        <v>2937.5</v>
      </c>
      <c r="J35" s="119">
        <f>J36</f>
        <v>2640.3</v>
      </c>
      <c r="K35" s="120">
        <f t="shared" si="0"/>
        <v>1069.6999999999998</v>
      </c>
      <c r="L35" s="236">
        <f t="shared" si="1"/>
        <v>0.7116711590296496</v>
      </c>
      <c r="N35" s="141"/>
      <c r="O35" s="141"/>
      <c r="P35" s="142"/>
      <c r="Q35" s="143"/>
      <c r="R35" s="141"/>
      <c r="S35" s="141"/>
      <c r="T35" s="142"/>
      <c r="U35" s="143"/>
      <c r="V35" s="141"/>
      <c r="W35" s="141"/>
      <c r="X35" s="142"/>
      <c r="Y35" s="143"/>
      <c r="Z35" s="141"/>
      <c r="AA35" s="141"/>
      <c r="AB35" s="142"/>
      <c r="AC35" s="143"/>
      <c r="AD35" s="141"/>
      <c r="AE35" s="141"/>
      <c r="AF35" s="142"/>
      <c r="AG35" s="143"/>
      <c r="AH35" s="145"/>
      <c r="AI35" s="145"/>
    </row>
    <row r="36" spans="1:35" s="144" customFormat="1" ht="60">
      <c r="A36" s="136">
        <v>182</v>
      </c>
      <c r="B36" s="139" t="s">
        <v>585</v>
      </c>
      <c r="C36" s="140" t="s">
        <v>586</v>
      </c>
      <c r="D36" s="141"/>
      <c r="E36" s="141"/>
      <c r="F36" s="142"/>
      <c r="G36" s="143"/>
      <c r="H36" s="119">
        <v>3710</v>
      </c>
      <c r="I36" s="119">
        <v>2937.5</v>
      </c>
      <c r="J36" s="119">
        <v>2640.3</v>
      </c>
      <c r="K36" s="120">
        <f t="shared" si="0"/>
        <v>1069.6999999999998</v>
      </c>
      <c r="L36" s="236">
        <f t="shared" si="1"/>
        <v>0.7116711590296496</v>
      </c>
      <c r="N36" s="141"/>
      <c r="O36" s="141"/>
      <c r="P36" s="142"/>
      <c r="Q36" s="143"/>
      <c r="R36" s="141"/>
      <c r="S36" s="141"/>
      <c r="T36" s="142"/>
      <c r="U36" s="143"/>
      <c r="V36" s="141"/>
      <c r="W36" s="141"/>
      <c r="X36" s="142"/>
      <c r="Y36" s="143"/>
      <c r="Z36" s="141"/>
      <c r="AA36" s="141"/>
      <c r="AB36" s="142"/>
      <c r="AC36" s="143"/>
      <c r="AD36" s="141"/>
      <c r="AE36" s="141"/>
      <c r="AF36" s="142"/>
      <c r="AG36" s="143"/>
      <c r="AH36" s="145"/>
      <c r="AI36" s="145"/>
    </row>
    <row r="37" spans="1:35" s="144" customFormat="1" ht="48">
      <c r="A37" s="136" t="s">
        <v>535</v>
      </c>
      <c r="B37" s="139" t="s">
        <v>587</v>
      </c>
      <c r="C37" s="140" t="s">
        <v>588</v>
      </c>
      <c r="D37" s="141"/>
      <c r="E37" s="141"/>
      <c r="F37" s="142"/>
      <c r="G37" s="143"/>
      <c r="H37" s="119">
        <f>SUM(H38:H39)</f>
        <v>30</v>
      </c>
      <c r="I37" s="119">
        <f>SUM(I38:I39)</f>
        <v>27</v>
      </c>
      <c r="J37" s="119">
        <f>SUM(J38:J39)</f>
        <v>15</v>
      </c>
      <c r="K37" s="120">
        <f t="shared" si="0"/>
        <v>15</v>
      </c>
      <c r="L37" s="236">
        <f t="shared" si="1"/>
        <v>0.5</v>
      </c>
      <c r="N37" s="141"/>
      <c r="O37" s="141"/>
      <c r="P37" s="142"/>
      <c r="Q37" s="143"/>
      <c r="R37" s="141"/>
      <c r="S37" s="141"/>
      <c r="T37" s="142"/>
      <c r="U37" s="143"/>
      <c r="V37" s="141"/>
      <c r="W37" s="141"/>
      <c r="X37" s="142"/>
      <c r="Y37" s="143"/>
      <c r="Z37" s="141"/>
      <c r="AA37" s="141"/>
      <c r="AB37" s="142"/>
      <c r="AC37" s="143"/>
      <c r="AD37" s="141"/>
      <c r="AE37" s="141"/>
      <c r="AF37" s="142"/>
      <c r="AG37" s="143"/>
      <c r="AH37" s="145"/>
      <c r="AI37" s="145"/>
    </row>
    <row r="38" spans="1:35" s="144" customFormat="1" ht="96" hidden="1">
      <c r="A38" s="136" t="s">
        <v>153</v>
      </c>
      <c r="B38" s="139" t="s">
        <v>589</v>
      </c>
      <c r="C38" s="146" t="s">
        <v>590</v>
      </c>
      <c r="D38" s="141"/>
      <c r="E38" s="141"/>
      <c r="F38" s="142"/>
      <c r="G38" s="143"/>
      <c r="H38" s="119">
        <v>0</v>
      </c>
      <c r="I38" s="119">
        <v>0</v>
      </c>
      <c r="J38" s="119">
        <v>0</v>
      </c>
      <c r="K38" s="120">
        <f t="shared" si="0"/>
        <v>0</v>
      </c>
      <c r="L38" s="236" t="e">
        <f t="shared" si="1"/>
        <v>#DIV/0!</v>
      </c>
      <c r="N38" s="141"/>
      <c r="O38" s="141"/>
      <c r="P38" s="142"/>
      <c r="Q38" s="143"/>
      <c r="R38" s="141"/>
      <c r="S38" s="141"/>
      <c r="T38" s="142"/>
      <c r="U38" s="143"/>
      <c r="V38" s="141"/>
      <c r="W38" s="141"/>
      <c r="X38" s="142"/>
      <c r="Y38" s="143"/>
      <c r="Z38" s="141"/>
      <c r="AA38" s="141"/>
      <c r="AB38" s="142"/>
      <c r="AC38" s="143"/>
      <c r="AD38" s="141"/>
      <c r="AE38" s="141"/>
      <c r="AF38" s="142"/>
      <c r="AG38" s="143"/>
      <c r="AH38" s="145"/>
      <c r="AI38" s="145"/>
    </row>
    <row r="39" spans="1:35" s="144" customFormat="1" ht="48">
      <c r="A39" s="136" t="s">
        <v>164</v>
      </c>
      <c r="B39" s="139" t="s">
        <v>591</v>
      </c>
      <c r="C39" s="140" t="s">
        <v>592</v>
      </c>
      <c r="D39" s="141"/>
      <c r="E39" s="141"/>
      <c r="F39" s="142"/>
      <c r="G39" s="143"/>
      <c r="H39" s="119">
        <v>30</v>
      </c>
      <c r="I39" s="119">
        <v>27</v>
      </c>
      <c r="J39" s="119">
        <v>15</v>
      </c>
      <c r="K39" s="120">
        <f t="shared" si="0"/>
        <v>15</v>
      </c>
      <c r="L39" s="236">
        <f t="shared" si="1"/>
        <v>0.5</v>
      </c>
      <c r="N39" s="141"/>
      <c r="O39" s="141"/>
      <c r="P39" s="142"/>
      <c r="Q39" s="143"/>
      <c r="R39" s="141"/>
      <c r="S39" s="141"/>
      <c r="T39" s="142"/>
      <c r="U39" s="143"/>
      <c r="V39" s="141"/>
      <c r="W39" s="141"/>
      <c r="X39" s="142"/>
      <c r="Y39" s="143"/>
      <c r="Z39" s="141"/>
      <c r="AA39" s="141"/>
      <c r="AB39" s="142"/>
      <c r="AC39" s="143"/>
      <c r="AD39" s="141"/>
      <c r="AE39" s="141"/>
      <c r="AF39" s="142"/>
      <c r="AG39" s="143"/>
      <c r="AH39" s="145"/>
      <c r="AI39" s="145"/>
    </row>
    <row r="40" spans="1:35" s="101" customFormat="1" ht="48" hidden="1">
      <c r="A40" s="94" t="s">
        <v>535</v>
      </c>
      <c r="B40" s="135" t="s">
        <v>593</v>
      </c>
      <c r="C40" s="96" t="s">
        <v>594</v>
      </c>
      <c r="D40" s="97">
        <f>SUM(H40,N40)</f>
        <v>0</v>
      </c>
      <c r="E40" s="97">
        <f>SUM(J40,O40)</f>
        <v>33.1</v>
      </c>
      <c r="F40" s="98" t="e">
        <f>E40/D40</f>
        <v>#DIV/0!</v>
      </c>
      <c r="G40" s="99">
        <f>E40-D40</f>
        <v>33.1</v>
      </c>
      <c r="H40" s="100">
        <f>H41+H43</f>
        <v>0</v>
      </c>
      <c r="I40" s="100">
        <f>I41+I43</f>
        <v>0</v>
      </c>
      <c r="J40" s="100">
        <f>J41+J43</f>
        <v>0</v>
      </c>
      <c r="K40" s="91">
        <f t="shared" si="0"/>
        <v>0</v>
      </c>
      <c r="L40" s="235" t="e">
        <f t="shared" si="1"/>
        <v>#DIV/0!</v>
      </c>
      <c r="N40" s="97">
        <f>SUM(R40,V40,Z40,AD40)</f>
        <v>0</v>
      </c>
      <c r="O40" s="97">
        <f>SUM(S40,W40,AA40,AE40)</f>
        <v>33.1</v>
      </c>
      <c r="P40" s="98" t="e">
        <f>O40/N40</f>
        <v>#DIV/0!</v>
      </c>
      <c r="Q40" s="99">
        <f>O40-N40</f>
        <v>33.1</v>
      </c>
      <c r="R40" s="97"/>
      <c r="S40" s="97">
        <v>29.9</v>
      </c>
      <c r="T40" s="98" t="e">
        <f>S40/R40</f>
        <v>#DIV/0!</v>
      </c>
      <c r="U40" s="99">
        <f>S40-R40</f>
        <v>29.9</v>
      </c>
      <c r="V40" s="97"/>
      <c r="W40" s="97">
        <v>3.7</v>
      </c>
      <c r="X40" s="98" t="e">
        <f>W40/V40</f>
        <v>#DIV/0!</v>
      </c>
      <c r="Y40" s="99">
        <f>W40-V40</f>
        <v>3.7</v>
      </c>
      <c r="Z40" s="97"/>
      <c r="AA40" s="97">
        <v>-0.3</v>
      </c>
      <c r="AB40" s="98" t="e">
        <f>AA40/Z40</f>
        <v>#DIV/0!</v>
      </c>
      <c r="AC40" s="99">
        <f>AA40-Z40</f>
        <v>-0.3</v>
      </c>
      <c r="AD40" s="97"/>
      <c r="AE40" s="97">
        <v>-0.2</v>
      </c>
      <c r="AF40" s="98" t="e">
        <f>AE40/AD40</f>
        <v>#DIV/0!</v>
      </c>
      <c r="AG40" s="99">
        <f>AE40-AD40</f>
        <v>-0.2</v>
      </c>
      <c r="AH40" s="102"/>
      <c r="AI40" s="102"/>
    </row>
    <row r="41" spans="1:35" s="121" customFormat="1" ht="72" hidden="1">
      <c r="A41" s="147" t="s">
        <v>535</v>
      </c>
      <c r="B41" s="148" t="s">
        <v>595</v>
      </c>
      <c r="C41" s="115" t="s">
        <v>596</v>
      </c>
      <c r="D41" s="116"/>
      <c r="E41" s="116"/>
      <c r="F41" s="117"/>
      <c r="G41" s="118"/>
      <c r="H41" s="119">
        <f>H42</f>
        <v>0</v>
      </c>
      <c r="I41" s="119">
        <f>I42</f>
        <v>0</v>
      </c>
      <c r="J41" s="119">
        <f>J42</f>
        <v>0</v>
      </c>
      <c r="K41" s="91">
        <f t="shared" si="0"/>
        <v>0</v>
      </c>
      <c r="L41" s="235" t="e">
        <f t="shared" si="1"/>
        <v>#DIV/0!</v>
      </c>
      <c r="N41" s="116"/>
      <c r="O41" s="116"/>
      <c r="P41" s="117"/>
      <c r="Q41" s="118"/>
      <c r="R41" s="116"/>
      <c r="S41" s="116"/>
      <c r="T41" s="117"/>
      <c r="U41" s="118"/>
      <c r="V41" s="116"/>
      <c r="W41" s="116"/>
      <c r="X41" s="117"/>
      <c r="Y41" s="118"/>
      <c r="Z41" s="116"/>
      <c r="AA41" s="116"/>
      <c r="AB41" s="117"/>
      <c r="AC41" s="118"/>
      <c r="AD41" s="116"/>
      <c r="AE41" s="116"/>
      <c r="AF41" s="117"/>
      <c r="AG41" s="118"/>
      <c r="AH41" s="122"/>
      <c r="AI41" s="122"/>
    </row>
    <row r="42" spans="1:35" s="121" customFormat="1" ht="96" hidden="1">
      <c r="A42" s="147" t="s">
        <v>535</v>
      </c>
      <c r="B42" s="148" t="s">
        <v>597</v>
      </c>
      <c r="C42" s="115" t="s">
        <v>598</v>
      </c>
      <c r="D42" s="116"/>
      <c r="E42" s="116"/>
      <c r="F42" s="117"/>
      <c r="G42" s="118"/>
      <c r="H42" s="119">
        <v>0</v>
      </c>
      <c r="I42" s="119">
        <v>0</v>
      </c>
      <c r="J42" s="119">
        <v>0</v>
      </c>
      <c r="K42" s="91">
        <f t="shared" si="0"/>
        <v>0</v>
      </c>
      <c r="L42" s="235" t="e">
        <f t="shared" si="1"/>
        <v>#DIV/0!</v>
      </c>
      <c r="N42" s="116"/>
      <c r="O42" s="116"/>
      <c r="P42" s="117"/>
      <c r="Q42" s="118"/>
      <c r="R42" s="116"/>
      <c r="S42" s="116"/>
      <c r="T42" s="117"/>
      <c r="U42" s="118"/>
      <c r="V42" s="116"/>
      <c r="W42" s="116"/>
      <c r="X42" s="117"/>
      <c r="Y42" s="118"/>
      <c r="Z42" s="116"/>
      <c r="AA42" s="116"/>
      <c r="AB42" s="117"/>
      <c r="AC42" s="118"/>
      <c r="AD42" s="116"/>
      <c r="AE42" s="116"/>
      <c r="AF42" s="117"/>
      <c r="AG42" s="118"/>
      <c r="AH42" s="122"/>
      <c r="AI42" s="122"/>
    </row>
    <row r="43" spans="1:35" s="121" customFormat="1" ht="12" hidden="1">
      <c r="A43" s="147" t="s">
        <v>535</v>
      </c>
      <c r="B43" s="148" t="s">
        <v>599</v>
      </c>
      <c r="C43" s="115" t="s">
        <v>600</v>
      </c>
      <c r="D43" s="116"/>
      <c r="E43" s="116"/>
      <c r="F43" s="117"/>
      <c r="G43" s="118"/>
      <c r="H43" s="119">
        <f>H44</f>
        <v>0</v>
      </c>
      <c r="I43" s="119">
        <f>I44</f>
        <v>0</v>
      </c>
      <c r="J43" s="119">
        <f>J44</f>
        <v>0</v>
      </c>
      <c r="K43" s="91">
        <f t="shared" si="0"/>
        <v>0</v>
      </c>
      <c r="L43" s="235" t="e">
        <f t="shared" si="1"/>
        <v>#DIV/0!</v>
      </c>
      <c r="N43" s="116"/>
      <c r="O43" s="116"/>
      <c r="P43" s="117"/>
      <c r="Q43" s="118"/>
      <c r="R43" s="116"/>
      <c r="S43" s="116"/>
      <c r="T43" s="117"/>
      <c r="U43" s="118"/>
      <c r="V43" s="116"/>
      <c r="W43" s="116"/>
      <c r="X43" s="117"/>
      <c r="Y43" s="118"/>
      <c r="Z43" s="116"/>
      <c r="AA43" s="116"/>
      <c r="AB43" s="117"/>
      <c r="AC43" s="118"/>
      <c r="AD43" s="116"/>
      <c r="AE43" s="116"/>
      <c r="AF43" s="117"/>
      <c r="AG43" s="118"/>
      <c r="AH43" s="122"/>
      <c r="AI43" s="122"/>
    </row>
    <row r="44" spans="1:35" s="121" customFormat="1" ht="36" hidden="1">
      <c r="A44" s="147" t="s">
        <v>535</v>
      </c>
      <c r="B44" s="148" t="s">
        <v>601</v>
      </c>
      <c r="C44" s="115" t="s">
        <v>602</v>
      </c>
      <c r="D44" s="116"/>
      <c r="E44" s="116"/>
      <c r="F44" s="117"/>
      <c r="G44" s="118"/>
      <c r="H44" s="119">
        <v>0</v>
      </c>
      <c r="I44" s="119">
        <v>0</v>
      </c>
      <c r="J44" s="119">
        <v>0</v>
      </c>
      <c r="K44" s="91">
        <f t="shared" si="0"/>
        <v>0</v>
      </c>
      <c r="L44" s="235" t="e">
        <f t="shared" si="1"/>
        <v>#DIV/0!</v>
      </c>
      <c r="N44" s="116"/>
      <c r="O44" s="116"/>
      <c r="P44" s="117"/>
      <c r="Q44" s="118"/>
      <c r="R44" s="116"/>
      <c r="S44" s="116"/>
      <c r="T44" s="117"/>
      <c r="U44" s="118"/>
      <c r="V44" s="116"/>
      <c r="W44" s="116"/>
      <c r="X44" s="117"/>
      <c r="Y44" s="118"/>
      <c r="Z44" s="116"/>
      <c r="AA44" s="116"/>
      <c r="AB44" s="117"/>
      <c r="AC44" s="118"/>
      <c r="AD44" s="116"/>
      <c r="AE44" s="116"/>
      <c r="AF44" s="117"/>
      <c r="AG44" s="118"/>
      <c r="AH44" s="122"/>
      <c r="AI44" s="122"/>
    </row>
    <row r="45" spans="1:35" s="101" customFormat="1" ht="48">
      <c r="A45" s="94" t="s">
        <v>535</v>
      </c>
      <c r="B45" s="135" t="s">
        <v>603</v>
      </c>
      <c r="C45" s="96" t="s">
        <v>604</v>
      </c>
      <c r="D45" s="97"/>
      <c r="E45" s="97"/>
      <c r="F45" s="98"/>
      <c r="G45" s="99"/>
      <c r="H45" s="100">
        <f>H46+H55+H58</f>
        <v>21069.6</v>
      </c>
      <c r="I45" s="100">
        <f>I46+I55+I58</f>
        <v>15191.699999999999</v>
      </c>
      <c r="J45" s="100">
        <f>J46+J55+J58</f>
        <v>10093.1</v>
      </c>
      <c r="K45" s="91">
        <f t="shared" si="0"/>
        <v>10976.499999999998</v>
      </c>
      <c r="L45" s="235">
        <f t="shared" si="1"/>
        <v>0.47903614686562634</v>
      </c>
      <c r="N45" s="97"/>
      <c r="O45" s="97"/>
      <c r="P45" s="98"/>
      <c r="Q45" s="99"/>
      <c r="R45" s="97"/>
      <c r="S45" s="97"/>
      <c r="T45" s="98"/>
      <c r="U45" s="99"/>
      <c r="V45" s="97"/>
      <c r="W45" s="97"/>
      <c r="X45" s="98"/>
      <c r="Y45" s="99"/>
      <c r="Z45" s="97"/>
      <c r="AA45" s="97"/>
      <c r="AB45" s="98"/>
      <c r="AC45" s="99"/>
      <c r="AD45" s="97"/>
      <c r="AE45" s="97"/>
      <c r="AF45" s="98"/>
      <c r="AG45" s="99"/>
      <c r="AH45" s="102"/>
      <c r="AI45" s="102"/>
    </row>
    <row r="46" spans="1:35" s="121" customFormat="1" ht="144">
      <c r="A46" s="136" t="s">
        <v>535</v>
      </c>
      <c r="B46" s="149" t="s">
        <v>605</v>
      </c>
      <c r="C46" s="115" t="s">
        <v>606</v>
      </c>
      <c r="D46" s="116">
        <f>SUM(H46,N46)</f>
        <v>33695.3</v>
      </c>
      <c r="E46" s="116">
        <f>SUM(J46,O46)</f>
        <v>10628.300000000001</v>
      </c>
      <c r="F46" s="117">
        <f>E46/D46</f>
        <v>0.3154238128166243</v>
      </c>
      <c r="G46" s="118">
        <f>E46-D46</f>
        <v>-23067</v>
      </c>
      <c r="H46" s="119">
        <f>H47+H49+H53+H51</f>
        <v>21069.6</v>
      </c>
      <c r="I46" s="119">
        <f>I47+I49+I53+I51</f>
        <v>14923.9</v>
      </c>
      <c r="J46" s="119">
        <f>J47+J49+J53+J51</f>
        <v>10027.1</v>
      </c>
      <c r="K46" s="120">
        <f t="shared" si="0"/>
        <v>11042.499999999998</v>
      </c>
      <c r="L46" s="236">
        <f t="shared" si="1"/>
        <v>0.47590367164065767</v>
      </c>
      <c r="N46" s="116">
        <f>SUM(R46,V46,Z46,AD46)</f>
        <v>12625.7</v>
      </c>
      <c r="O46" s="116">
        <f>SUM(S46,W46,AA46,AE46)</f>
        <v>601.1999999999999</v>
      </c>
      <c r="P46" s="117">
        <f>O46/N46</f>
        <v>0.047617161820730725</v>
      </c>
      <c r="Q46" s="118">
        <f>O46-N46</f>
        <v>-12024.5</v>
      </c>
      <c r="R46" s="116">
        <v>10000</v>
      </c>
      <c r="S46" s="116">
        <v>555.5</v>
      </c>
      <c r="T46" s="117">
        <f>S46/R46</f>
        <v>0.05555</v>
      </c>
      <c r="U46" s="118">
        <f>S46-R46</f>
        <v>-9444.5</v>
      </c>
      <c r="V46" s="116">
        <v>725</v>
      </c>
      <c r="W46" s="116">
        <v>20.4</v>
      </c>
      <c r="X46" s="117">
        <f>W46/V46</f>
        <v>0.02813793103448276</v>
      </c>
      <c r="Y46" s="118">
        <f>W46-V46</f>
        <v>-704.6</v>
      </c>
      <c r="Z46" s="116">
        <v>220.7</v>
      </c>
      <c r="AA46" s="116">
        <v>4.5</v>
      </c>
      <c r="AB46" s="117">
        <f>AA46/Z46</f>
        <v>0.020389669234254646</v>
      </c>
      <c r="AC46" s="118">
        <f>AA46-Z46</f>
        <v>-216.2</v>
      </c>
      <c r="AD46" s="116">
        <v>1680</v>
      </c>
      <c r="AE46" s="116">
        <v>20.8</v>
      </c>
      <c r="AF46" s="117">
        <f>AE46/AD46</f>
        <v>0.012380952380952381</v>
      </c>
      <c r="AG46" s="118">
        <f>AE46-AD46</f>
        <v>-1659.2</v>
      </c>
      <c r="AH46" s="122"/>
      <c r="AI46" s="122"/>
    </row>
    <row r="47" spans="1:35" s="144" customFormat="1" ht="96">
      <c r="A47" s="147" t="s">
        <v>535</v>
      </c>
      <c r="B47" s="149" t="s">
        <v>607</v>
      </c>
      <c r="C47" s="140" t="s">
        <v>608</v>
      </c>
      <c r="D47" s="141"/>
      <c r="E47" s="141"/>
      <c r="F47" s="142"/>
      <c r="G47" s="143"/>
      <c r="H47" s="119">
        <f>H48</f>
        <v>11370</v>
      </c>
      <c r="I47" s="119">
        <f>I48</f>
        <v>8613.9</v>
      </c>
      <c r="J47" s="119">
        <f>J48</f>
        <v>6194</v>
      </c>
      <c r="K47" s="120">
        <f t="shared" si="0"/>
        <v>5176</v>
      </c>
      <c r="L47" s="236">
        <f t="shared" si="1"/>
        <v>0.5447669305189095</v>
      </c>
      <c r="N47" s="141"/>
      <c r="O47" s="141"/>
      <c r="P47" s="142"/>
      <c r="Q47" s="143"/>
      <c r="R47" s="141"/>
      <c r="S47" s="141"/>
      <c r="T47" s="142"/>
      <c r="U47" s="143"/>
      <c r="V47" s="141"/>
      <c r="W47" s="141"/>
      <c r="X47" s="142"/>
      <c r="Y47" s="143"/>
      <c r="Z47" s="141"/>
      <c r="AA47" s="141"/>
      <c r="AB47" s="142"/>
      <c r="AC47" s="143"/>
      <c r="AD47" s="141"/>
      <c r="AE47" s="141"/>
      <c r="AF47" s="142"/>
      <c r="AG47" s="143"/>
      <c r="AH47" s="145"/>
      <c r="AI47" s="145"/>
    </row>
    <row r="48" spans="1:35" s="144" customFormat="1" ht="120">
      <c r="A48" s="147" t="s">
        <v>159</v>
      </c>
      <c r="B48" s="149" t="s">
        <v>609</v>
      </c>
      <c r="C48" s="140" t="s">
        <v>610</v>
      </c>
      <c r="D48" s="141"/>
      <c r="E48" s="141"/>
      <c r="F48" s="142"/>
      <c r="G48" s="143"/>
      <c r="H48" s="119">
        <v>11370</v>
      </c>
      <c r="I48" s="119">
        <v>8613.9</v>
      </c>
      <c r="J48" s="119">
        <v>6194</v>
      </c>
      <c r="K48" s="120">
        <f t="shared" si="0"/>
        <v>5176</v>
      </c>
      <c r="L48" s="236">
        <f t="shared" si="1"/>
        <v>0.5447669305189095</v>
      </c>
      <c r="N48" s="141"/>
      <c r="O48" s="141"/>
      <c r="P48" s="142"/>
      <c r="Q48" s="143"/>
      <c r="R48" s="141"/>
      <c r="S48" s="141"/>
      <c r="T48" s="142"/>
      <c r="U48" s="143"/>
      <c r="V48" s="141"/>
      <c r="W48" s="141"/>
      <c r="X48" s="142"/>
      <c r="Y48" s="143"/>
      <c r="Z48" s="141"/>
      <c r="AA48" s="141"/>
      <c r="AB48" s="142"/>
      <c r="AC48" s="143"/>
      <c r="AD48" s="141"/>
      <c r="AE48" s="141"/>
      <c r="AF48" s="142"/>
      <c r="AG48" s="143"/>
      <c r="AH48" s="145"/>
      <c r="AI48" s="145"/>
    </row>
    <row r="49" spans="1:35" s="121" customFormat="1" ht="120">
      <c r="A49" s="147" t="s">
        <v>535</v>
      </c>
      <c r="B49" s="149" t="s">
        <v>611</v>
      </c>
      <c r="C49" s="115" t="s">
        <v>1099</v>
      </c>
      <c r="D49" s="116"/>
      <c r="E49" s="116"/>
      <c r="F49" s="117"/>
      <c r="G49" s="118"/>
      <c r="H49" s="119">
        <f>H50</f>
        <v>80</v>
      </c>
      <c r="I49" s="119">
        <f>I50</f>
        <v>60</v>
      </c>
      <c r="J49" s="119">
        <f>J50</f>
        <v>10</v>
      </c>
      <c r="K49" s="120">
        <f t="shared" si="0"/>
        <v>70</v>
      </c>
      <c r="L49" s="236">
        <f t="shared" si="1"/>
        <v>0.125</v>
      </c>
      <c r="N49" s="116"/>
      <c r="O49" s="116"/>
      <c r="P49" s="117"/>
      <c r="Q49" s="118"/>
      <c r="R49" s="116"/>
      <c r="S49" s="116"/>
      <c r="T49" s="117"/>
      <c r="U49" s="118"/>
      <c r="V49" s="116"/>
      <c r="W49" s="116"/>
      <c r="X49" s="117"/>
      <c r="Y49" s="118"/>
      <c r="Z49" s="116"/>
      <c r="AA49" s="116"/>
      <c r="AB49" s="117"/>
      <c r="AC49" s="118"/>
      <c r="AD49" s="116"/>
      <c r="AE49" s="116"/>
      <c r="AF49" s="117"/>
      <c r="AG49" s="118"/>
      <c r="AH49" s="122"/>
      <c r="AI49" s="122"/>
    </row>
    <row r="50" spans="1:35" s="121" customFormat="1" ht="111.75" customHeight="1">
      <c r="A50" s="147" t="s">
        <v>159</v>
      </c>
      <c r="B50" s="149" t="s">
        <v>612</v>
      </c>
      <c r="C50" s="115" t="s">
        <v>613</v>
      </c>
      <c r="D50" s="116"/>
      <c r="E50" s="116"/>
      <c r="F50" s="117"/>
      <c r="G50" s="118"/>
      <c r="H50" s="119">
        <v>80</v>
      </c>
      <c r="I50" s="119">
        <v>60</v>
      </c>
      <c r="J50" s="119">
        <v>10</v>
      </c>
      <c r="K50" s="120">
        <f t="shared" si="0"/>
        <v>70</v>
      </c>
      <c r="L50" s="236">
        <f t="shared" si="1"/>
        <v>0.125</v>
      </c>
      <c r="N50" s="116"/>
      <c r="O50" s="116"/>
      <c r="P50" s="117"/>
      <c r="Q50" s="118"/>
      <c r="R50" s="116"/>
      <c r="S50" s="116"/>
      <c r="T50" s="117"/>
      <c r="U50" s="118"/>
      <c r="V50" s="116"/>
      <c r="W50" s="116"/>
      <c r="X50" s="117"/>
      <c r="Y50" s="118"/>
      <c r="Z50" s="116"/>
      <c r="AA50" s="116"/>
      <c r="AB50" s="117"/>
      <c r="AC50" s="118"/>
      <c r="AD50" s="116"/>
      <c r="AE50" s="116"/>
      <c r="AF50" s="117"/>
      <c r="AG50" s="118"/>
      <c r="AH50" s="122"/>
      <c r="AI50" s="122"/>
    </row>
    <row r="51" spans="1:35" s="121" customFormat="1" ht="121.5" customHeight="1">
      <c r="A51" s="147" t="s">
        <v>535</v>
      </c>
      <c r="B51" s="149" t="s">
        <v>614</v>
      </c>
      <c r="C51" s="115" t="s">
        <v>1015</v>
      </c>
      <c r="D51" s="116"/>
      <c r="E51" s="116"/>
      <c r="F51" s="117"/>
      <c r="G51" s="118"/>
      <c r="H51" s="119">
        <f>H52</f>
        <v>0</v>
      </c>
      <c r="I51" s="119">
        <f>I52</f>
        <v>0</v>
      </c>
      <c r="J51" s="119">
        <f>J52</f>
        <v>-1</v>
      </c>
      <c r="K51" s="120">
        <f t="shared" si="0"/>
        <v>1</v>
      </c>
      <c r="L51" s="236" t="e">
        <f t="shared" si="1"/>
        <v>#DIV/0!</v>
      </c>
      <c r="N51" s="116"/>
      <c r="O51" s="116"/>
      <c r="P51" s="117"/>
      <c r="Q51" s="118"/>
      <c r="R51" s="116"/>
      <c r="S51" s="116"/>
      <c r="T51" s="117"/>
      <c r="U51" s="118"/>
      <c r="V51" s="116"/>
      <c r="W51" s="116"/>
      <c r="X51" s="117"/>
      <c r="Y51" s="118"/>
      <c r="Z51" s="116"/>
      <c r="AA51" s="116"/>
      <c r="AB51" s="117"/>
      <c r="AC51" s="118"/>
      <c r="AD51" s="116"/>
      <c r="AE51" s="116"/>
      <c r="AF51" s="117"/>
      <c r="AG51" s="118"/>
      <c r="AH51" s="122"/>
      <c r="AI51" s="122"/>
    </row>
    <row r="52" spans="1:35" s="121" customFormat="1" ht="108">
      <c r="A52" s="147" t="s">
        <v>159</v>
      </c>
      <c r="B52" s="149" t="s">
        <v>615</v>
      </c>
      <c r="C52" s="115" t="s">
        <v>616</v>
      </c>
      <c r="D52" s="116"/>
      <c r="E52" s="116"/>
      <c r="F52" s="117"/>
      <c r="G52" s="118"/>
      <c r="H52" s="119">
        <v>0</v>
      </c>
      <c r="I52" s="119"/>
      <c r="J52" s="119">
        <v>-1</v>
      </c>
      <c r="K52" s="120">
        <f t="shared" si="0"/>
        <v>1</v>
      </c>
      <c r="L52" s="236" t="e">
        <f t="shared" si="1"/>
        <v>#DIV/0!</v>
      </c>
      <c r="N52" s="116"/>
      <c r="O52" s="116"/>
      <c r="P52" s="117"/>
      <c r="Q52" s="118"/>
      <c r="R52" s="116"/>
      <c r="S52" s="116"/>
      <c r="T52" s="117"/>
      <c r="U52" s="118"/>
      <c r="V52" s="116"/>
      <c r="W52" s="116"/>
      <c r="X52" s="117"/>
      <c r="Y52" s="118"/>
      <c r="Z52" s="116"/>
      <c r="AA52" s="116"/>
      <c r="AB52" s="117"/>
      <c r="AC52" s="118"/>
      <c r="AD52" s="116"/>
      <c r="AE52" s="116"/>
      <c r="AF52" s="117"/>
      <c r="AG52" s="118"/>
      <c r="AH52" s="122"/>
      <c r="AI52" s="122"/>
    </row>
    <row r="53" spans="1:35" s="121" customFormat="1" ht="60.75" customHeight="1">
      <c r="A53" s="147" t="s">
        <v>535</v>
      </c>
      <c r="B53" s="149" t="s">
        <v>617</v>
      </c>
      <c r="C53" s="115" t="s">
        <v>618</v>
      </c>
      <c r="D53" s="116"/>
      <c r="E53" s="116"/>
      <c r="F53" s="117"/>
      <c r="G53" s="118"/>
      <c r="H53" s="119">
        <f>H54</f>
        <v>9619.6</v>
      </c>
      <c r="I53" s="119">
        <f>I54</f>
        <v>6250</v>
      </c>
      <c r="J53" s="119">
        <f>J54</f>
        <v>3824.1</v>
      </c>
      <c r="K53" s="120">
        <f t="shared" si="0"/>
        <v>5795.5</v>
      </c>
      <c r="L53" s="236">
        <f t="shared" si="1"/>
        <v>0.3975321219177512</v>
      </c>
      <c r="N53" s="116"/>
      <c r="O53" s="116"/>
      <c r="P53" s="117"/>
      <c r="Q53" s="118"/>
      <c r="R53" s="116"/>
      <c r="S53" s="116"/>
      <c r="T53" s="117"/>
      <c r="U53" s="118"/>
      <c r="V53" s="116"/>
      <c r="W53" s="116"/>
      <c r="X53" s="117"/>
      <c r="Y53" s="118"/>
      <c r="Z53" s="116"/>
      <c r="AA53" s="116"/>
      <c r="AB53" s="117"/>
      <c r="AC53" s="118"/>
      <c r="AD53" s="116"/>
      <c r="AE53" s="116"/>
      <c r="AF53" s="117"/>
      <c r="AG53" s="118"/>
      <c r="AH53" s="122"/>
      <c r="AI53" s="122"/>
    </row>
    <row r="54" spans="1:35" s="121" customFormat="1" ht="50.25" customHeight="1">
      <c r="A54" s="147" t="s">
        <v>159</v>
      </c>
      <c r="B54" s="149" t="s">
        <v>619</v>
      </c>
      <c r="C54" s="115" t="s">
        <v>620</v>
      </c>
      <c r="D54" s="116"/>
      <c r="E54" s="116"/>
      <c r="F54" s="117"/>
      <c r="G54" s="118"/>
      <c r="H54" s="119">
        <v>9619.6</v>
      </c>
      <c r="I54" s="119">
        <v>6250</v>
      </c>
      <c r="J54" s="119">
        <v>3824.1</v>
      </c>
      <c r="K54" s="120">
        <f t="shared" si="0"/>
        <v>5795.5</v>
      </c>
      <c r="L54" s="236">
        <f t="shared" si="1"/>
        <v>0.3975321219177512</v>
      </c>
      <c r="N54" s="116"/>
      <c r="O54" s="116"/>
      <c r="P54" s="117"/>
      <c r="Q54" s="118"/>
      <c r="R54" s="116"/>
      <c r="S54" s="116"/>
      <c r="T54" s="117"/>
      <c r="U54" s="118"/>
      <c r="V54" s="116"/>
      <c r="W54" s="116"/>
      <c r="X54" s="117"/>
      <c r="Y54" s="118"/>
      <c r="Z54" s="116"/>
      <c r="AA54" s="116"/>
      <c r="AB54" s="117"/>
      <c r="AC54" s="118"/>
      <c r="AD54" s="116"/>
      <c r="AE54" s="116"/>
      <c r="AF54" s="117"/>
      <c r="AG54" s="118"/>
      <c r="AH54" s="122"/>
      <c r="AI54" s="122"/>
    </row>
    <row r="55" spans="1:35" s="121" customFormat="1" ht="36">
      <c r="A55" s="147" t="s">
        <v>535</v>
      </c>
      <c r="B55" s="149" t="s">
        <v>621</v>
      </c>
      <c r="C55" s="115" t="s">
        <v>622</v>
      </c>
      <c r="D55" s="116"/>
      <c r="E55" s="116"/>
      <c r="F55" s="117"/>
      <c r="G55" s="118"/>
      <c r="H55" s="119">
        <f aca="true" t="shared" si="3" ref="H55:J58">H56</f>
        <v>0</v>
      </c>
      <c r="I55" s="119">
        <f t="shared" si="3"/>
        <v>267.8</v>
      </c>
      <c r="J55" s="119">
        <f t="shared" si="3"/>
        <v>66</v>
      </c>
      <c r="K55" s="91">
        <f t="shared" si="0"/>
        <v>-66</v>
      </c>
      <c r="L55" s="235" t="e">
        <f t="shared" si="1"/>
        <v>#DIV/0!</v>
      </c>
      <c r="N55" s="116"/>
      <c r="O55" s="116"/>
      <c r="P55" s="117"/>
      <c r="Q55" s="118"/>
      <c r="R55" s="116"/>
      <c r="S55" s="116"/>
      <c r="T55" s="117"/>
      <c r="U55" s="118"/>
      <c r="V55" s="116"/>
      <c r="W55" s="116"/>
      <c r="X55" s="117"/>
      <c r="Y55" s="118"/>
      <c r="Z55" s="116"/>
      <c r="AA55" s="116"/>
      <c r="AB55" s="117"/>
      <c r="AC55" s="118"/>
      <c r="AD55" s="116"/>
      <c r="AE55" s="116"/>
      <c r="AF55" s="117"/>
      <c r="AG55" s="118"/>
      <c r="AH55" s="122"/>
      <c r="AI55" s="122"/>
    </row>
    <row r="56" spans="1:35" s="121" customFormat="1" ht="72">
      <c r="A56" s="147" t="s">
        <v>535</v>
      </c>
      <c r="B56" s="149" t="s">
        <v>623</v>
      </c>
      <c r="C56" s="115" t="s">
        <v>624</v>
      </c>
      <c r="D56" s="116"/>
      <c r="E56" s="116"/>
      <c r="F56" s="117"/>
      <c r="G56" s="118"/>
      <c r="H56" s="119">
        <f t="shared" si="3"/>
        <v>0</v>
      </c>
      <c r="I56" s="119">
        <f t="shared" si="3"/>
        <v>267.8</v>
      </c>
      <c r="J56" s="119">
        <f t="shared" si="3"/>
        <v>66</v>
      </c>
      <c r="K56" s="91">
        <f t="shared" si="0"/>
        <v>-66</v>
      </c>
      <c r="L56" s="235" t="e">
        <f t="shared" si="1"/>
        <v>#DIV/0!</v>
      </c>
      <c r="N56" s="116"/>
      <c r="O56" s="116"/>
      <c r="P56" s="117"/>
      <c r="Q56" s="118"/>
      <c r="R56" s="116"/>
      <c r="S56" s="116"/>
      <c r="T56" s="117"/>
      <c r="U56" s="118"/>
      <c r="V56" s="116"/>
      <c r="W56" s="116"/>
      <c r="X56" s="117"/>
      <c r="Y56" s="118"/>
      <c r="Z56" s="116"/>
      <c r="AA56" s="116"/>
      <c r="AB56" s="117"/>
      <c r="AC56" s="118"/>
      <c r="AD56" s="116"/>
      <c r="AE56" s="116"/>
      <c r="AF56" s="117"/>
      <c r="AG56" s="118"/>
      <c r="AH56" s="122"/>
      <c r="AI56" s="122"/>
    </row>
    <row r="57" spans="1:35" s="121" customFormat="1" ht="84">
      <c r="A57" s="147" t="s">
        <v>159</v>
      </c>
      <c r="B57" s="149" t="s">
        <v>625</v>
      </c>
      <c r="C57" s="115" t="s">
        <v>626</v>
      </c>
      <c r="D57" s="116"/>
      <c r="E57" s="116"/>
      <c r="F57" s="117"/>
      <c r="G57" s="118"/>
      <c r="H57" s="119">
        <v>0</v>
      </c>
      <c r="I57" s="119">
        <v>267.8</v>
      </c>
      <c r="J57" s="119">
        <v>66</v>
      </c>
      <c r="K57" s="91">
        <f t="shared" si="0"/>
        <v>-66</v>
      </c>
      <c r="L57" s="235" t="e">
        <f t="shared" si="1"/>
        <v>#DIV/0!</v>
      </c>
      <c r="N57" s="116"/>
      <c r="O57" s="116"/>
      <c r="P57" s="117"/>
      <c r="Q57" s="118"/>
      <c r="R57" s="116"/>
      <c r="S57" s="116"/>
      <c r="T57" s="117"/>
      <c r="U57" s="118"/>
      <c r="V57" s="116"/>
      <c r="W57" s="116"/>
      <c r="X57" s="117"/>
      <c r="Y57" s="118"/>
      <c r="Z57" s="116"/>
      <c r="AA57" s="116"/>
      <c r="AB57" s="117"/>
      <c r="AC57" s="118"/>
      <c r="AD57" s="116"/>
      <c r="AE57" s="116"/>
      <c r="AF57" s="117"/>
      <c r="AG57" s="118"/>
      <c r="AH57" s="122"/>
      <c r="AI57" s="122"/>
    </row>
    <row r="58" spans="1:35" s="121" customFormat="1" ht="144" hidden="1">
      <c r="A58" s="147" t="s">
        <v>535</v>
      </c>
      <c r="B58" s="149" t="s">
        <v>627</v>
      </c>
      <c r="C58" s="115" t="s">
        <v>628</v>
      </c>
      <c r="D58" s="116"/>
      <c r="E58" s="116"/>
      <c r="F58" s="117"/>
      <c r="G58" s="118"/>
      <c r="H58" s="119">
        <f t="shared" si="3"/>
        <v>0</v>
      </c>
      <c r="I58" s="119">
        <f t="shared" si="3"/>
        <v>0</v>
      </c>
      <c r="J58" s="119">
        <f t="shared" si="3"/>
        <v>0</v>
      </c>
      <c r="K58" s="91">
        <f t="shared" si="0"/>
        <v>0</v>
      </c>
      <c r="L58" s="235" t="e">
        <f t="shared" si="1"/>
        <v>#DIV/0!</v>
      </c>
      <c r="N58" s="116"/>
      <c r="O58" s="116"/>
      <c r="P58" s="117"/>
      <c r="Q58" s="118"/>
      <c r="R58" s="116"/>
      <c r="S58" s="116"/>
      <c r="T58" s="117"/>
      <c r="U58" s="118"/>
      <c r="V58" s="116"/>
      <c r="W58" s="116"/>
      <c r="X58" s="117"/>
      <c r="Y58" s="118"/>
      <c r="Z58" s="116"/>
      <c r="AA58" s="116"/>
      <c r="AB58" s="117"/>
      <c r="AC58" s="118"/>
      <c r="AD58" s="116"/>
      <c r="AE58" s="116"/>
      <c r="AF58" s="117"/>
      <c r="AG58" s="118"/>
      <c r="AH58" s="122"/>
      <c r="AI58" s="122"/>
    </row>
    <row r="59" spans="1:35" s="121" customFormat="1" ht="120" hidden="1">
      <c r="A59" s="147" t="s">
        <v>159</v>
      </c>
      <c r="B59" s="149" t="s">
        <v>629</v>
      </c>
      <c r="C59" s="115" t="s">
        <v>630</v>
      </c>
      <c r="D59" s="116"/>
      <c r="E59" s="116"/>
      <c r="F59" s="117"/>
      <c r="G59" s="118"/>
      <c r="H59" s="119">
        <v>0</v>
      </c>
      <c r="I59" s="119">
        <v>0</v>
      </c>
      <c r="J59" s="119">
        <v>0</v>
      </c>
      <c r="K59" s="91">
        <f t="shared" si="0"/>
        <v>0</v>
      </c>
      <c r="L59" s="235" t="e">
        <f t="shared" si="1"/>
        <v>#DIV/0!</v>
      </c>
      <c r="N59" s="116"/>
      <c r="O59" s="116"/>
      <c r="P59" s="117"/>
      <c r="Q59" s="118"/>
      <c r="R59" s="116"/>
      <c r="S59" s="116"/>
      <c r="T59" s="117"/>
      <c r="U59" s="118"/>
      <c r="V59" s="116"/>
      <c r="W59" s="116"/>
      <c r="X59" s="117"/>
      <c r="Y59" s="118"/>
      <c r="Z59" s="116"/>
      <c r="AA59" s="116"/>
      <c r="AB59" s="117"/>
      <c r="AC59" s="118"/>
      <c r="AD59" s="116"/>
      <c r="AE59" s="116"/>
      <c r="AF59" s="117"/>
      <c r="AG59" s="118"/>
      <c r="AH59" s="122"/>
      <c r="AI59" s="122"/>
    </row>
    <row r="60" spans="1:35" s="101" customFormat="1" ht="24">
      <c r="A60" s="94" t="s">
        <v>535</v>
      </c>
      <c r="B60" s="124" t="s">
        <v>631</v>
      </c>
      <c r="C60" s="96" t="s">
        <v>632</v>
      </c>
      <c r="D60" s="97">
        <f>SUM(H60,N60)</f>
        <v>6181.1</v>
      </c>
      <c r="E60" s="97">
        <f>SUM(J60,O60)</f>
        <v>4197.3</v>
      </c>
      <c r="F60" s="98">
        <f>E60/D60</f>
        <v>0.6790538900842892</v>
      </c>
      <c r="G60" s="99">
        <f>E60-D60</f>
        <v>-1983.8000000000002</v>
      </c>
      <c r="H60" s="100">
        <f>H61</f>
        <v>6181.1</v>
      </c>
      <c r="I60" s="100">
        <f>I61</f>
        <v>4382</v>
      </c>
      <c r="J60" s="100">
        <f>J61</f>
        <v>4197.3</v>
      </c>
      <c r="K60" s="91">
        <f t="shared" si="0"/>
        <v>1983.8000000000002</v>
      </c>
      <c r="L60" s="235">
        <f t="shared" si="1"/>
        <v>0.6790538900842892</v>
      </c>
      <c r="N60" s="97">
        <f>SUM(R60,V60,Z60,AD60)</f>
        <v>0</v>
      </c>
      <c r="O60" s="97">
        <f>SUM(S60,W60,AA60,AE60)</f>
        <v>0</v>
      </c>
      <c r="P60" s="98" t="e">
        <f>O60/N60</f>
        <v>#DIV/0!</v>
      </c>
      <c r="Q60" s="99">
        <f>O60-N60</f>
        <v>0</v>
      </c>
      <c r="R60" s="97"/>
      <c r="S60" s="97"/>
      <c r="T60" s="98" t="e">
        <f>S60/R60</f>
        <v>#DIV/0!</v>
      </c>
      <c r="U60" s="99">
        <f>S60-R60</f>
        <v>0</v>
      </c>
      <c r="V60" s="97"/>
      <c r="W60" s="97"/>
      <c r="X60" s="98" t="e">
        <f>W60/V60</f>
        <v>#DIV/0!</v>
      </c>
      <c r="Y60" s="99">
        <f>W60-V60</f>
        <v>0</v>
      </c>
      <c r="Z60" s="97"/>
      <c r="AA60" s="97"/>
      <c r="AB60" s="98" t="e">
        <f>AA60/Z60</f>
        <v>#DIV/0!</v>
      </c>
      <c r="AC60" s="99">
        <f>AA60-Z60</f>
        <v>0</v>
      </c>
      <c r="AD60" s="97"/>
      <c r="AE60" s="97"/>
      <c r="AF60" s="98" t="e">
        <f>AE60/AD60</f>
        <v>#DIV/0!</v>
      </c>
      <c r="AG60" s="99">
        <f>AE60-AD60</f>
        <v>0</v>
      </c>
      <c r="AH60" s="102"/>
      <c r="AI60" s="102"/>
    </row>
    <row r="61" spans="1:35" s="144" customFormat="1" ht="24">
      <c r="A61" s="147" t="s">
        <v>535</v>
      </c>
      <c r="B61" s="149" t="s">
        <v>633</v>
      </c>
      <c r="C61" s="140" t="s">
        <v>634</v>
      </c>
      <c r="D61" s="141"/>
      <c r="E61" s="141"/>
      <c r="F61" s="142"/>
      <c r="G61" s="143"/>
      <c r="H61" s="119">
        <f>SUM(H62:H67)</f>
        <v>6181.1</v>
      </c>
      <c r="I61" s="119">
        <f>SUM(I62:I67)</f>
        <v>4382</v>
      </c>
      <c r="J61" s="119">
        <f>SUM(J62:J67)</f>
        <v>4197.3</v>
      </c>
      <c r="K61" s="120">
        <f t="shared" si="0"/>
        <v>1983.8000000000002</v>
      </c>
      <c r="L61" s="236">
        <f t="shared" si="1"/>
        <v>0.6790538900842892</v>
      </c>
      <c r="N61" s="141"/>
      <c r="O61" s="141"/>
      <c r="P61" s="142"/>
      <c r="Q61" s="143"/>
      <c r="R61" s="141"/>
      <c r="S61" s="141"/>
      <c r="T61" s="142"/>
      <c r="U61" s="143"/>
      <c r="V61" s="141"/>
      <c r="W61" s="141"/>
      <c r="X61" s="142"/>
      <c r="Y61" s="143"/>
      <c r="Z61" s="141"/>
      <c r="AA61" s="141"/>
      <c r="AB61" s="142"/>
      <c r="AC61" s="143"/>
      <c r="AD61" s="141"/>
      <c r="AE61" s="141"/>
      <c r="AF61" s="142"/>
      <c r="AG61" s="143"/>
      <c r="AH61" s="145"/>
      <c r="AI61" s="145"/>
    </row>
    <row r="62" spans="1:35" s="144" customFormat="1" ht="36">
      <c r="A62" s="147" t="s">
        <v>635</v>
      </c>
      <c r="B62" s="149" t="s">
        <v>636</v>
      </c>
      <c r="C62" s="140" t="s">
        <v>637</v>
      </c>
      <c r="D62" s="141"/>
      <c r="E62" s="141"/>
      <c r="F62" s="142"/>
      <c r="G62" s="143"/>
      <c r="H62" s="119">
        <v>342.6</v>
      </c>
      <c r="I62" s="119">
        <v>321</v>
      </c>
      <c r="J62" s="119">
        <v>116.3</v>
      </c>
      <c r="K62" s="120">
        <f t="shared" si="0"/>
        <v>226.3</v>
      </c>
      <c r="L62" s="236">
        <f t="shared" si="1"/>
        <v>0.3394629305312317</v>
      </c>
      <c r="N62" s="141"/>
      <c r="O62" s="141"/>
      <c r="P62" s="142"/>
      <c r="Q62" s="143"/>
      <c r="R62" s="141"/>
      <c r="S62" s="141"/>
      <c r="T62" s="142"/>
      <c r="U62" s="143"/>
      <c r="V62" s="141"/>
      <c r="W62" s="141"/>
      <c r="X62" s="142"/>
      <c r="Y62" s="143"/>
      <c r="Z62" s="141"/>
      <c r="AA62" s="141"/>
      <c r="AB62" s="142"/>
      <c r="AC62" s="143"/>
      <c r="AD62" s="141"/>
      <c r="AE62" s="141"/>
      <c r="AF62" s="142"/>
      <c r="AG62" s="143"/>
      <c r="AH62" s="145"/>
      <c r="AI62" s="145"/>
    </row>
    <row r="63" spans="1:35" s="144" customFormat="1" ht="36">
      <c r="A63" s="147" t="s">
        <v>635</v>
      </c>
      <c r="B63" s="149" t="s">
        <v>638</v>
      </c>
      <c r="C63" s="140" t="s">
        <v>639</v>
      </c>
      <c r="D63" s="141"/>
      <c r="E63" s="141"/>
      <c r="F63" s="142"/>
      <c r="G63" s="143"/>
      <c r="H63" s="119">
        <v>13.8</v>
      </c>
      <c r="I63" s="119">
        <v>11.1</v>
      </c>
      <c r="J63" s="119">
        <v>7.8</v>
      </c>
      <c r="K63" s="120">
        <f t="shared" si="0"/>
        <v>6.000000000000001</v>
      </c>
      <c r="L63" s="236">
        <f t="shared" si="1"/>
        <v>0.5652173913043478</v>
      </c>
      <c r="N63" s="141"/>
      <c r="O63" s="141"/>
      <c r="P63" s="142"/>
      <c r="Q63" s="143"/>
      <c r="R63" s="141"/>
      <c r="S63" s="141"/>
      <c r="T63" s="142"/>
      <c r="U63" s="143"/>
      <c r="V63" s="141"/>
      <c r="W63" s="141"/>
      <c r="X63" s="142"/>
      <c r="Y63" s="143"/>
      <c r="Z63" s="141"/>
      <c r="AA63" s="141"/>
      <c r="AB63" s="142"/>
      <c r="AC63" s="143"/>
      <c r="AD63" s="141"/>
      <c r="AE63" s="141"/>
      <c r="AF63" s="142"/>
      <c r="AG63" s="143"/>
      <c r="AH63" s="145"/>
      <c r="AI63" s="145"/>
    </row>
    <row r="64" spans="1:35" s="144" customFormat="1" ht="24">
      <c r="A64" s="147" t="s">
        <v>635</v>
      </c>
      <c r="B64" s="149" t="s">
        <v>640</v>
      </c>
      <c r="C64" s="140" t="s">
        <v>641</v>
      </c>
      <c r="D64" s="141"/>
      <c r="E64" s="141"/>
      <c r="F64" s="142"/>
      <c r="G64" s="143"/>
      <c r="H64" s="119">
        <v>3426.3</v>
      </c>
      <c r="I64" s="119">
        <v>2064.9</v>
      </c>
      <c r="J64" s="119">
        <v>2521</v>
      </c>
      <c r="K64" s="120">
        <f t="shared" si="0"/>
        <v>905.3000000000002</v>
      </c>
      <c r="L64" s="236">
        <f t="shared" si="1"/>
        <v>0.7357791203338878</v>
      </c>
      <c r="N64" s="141"/>
      <c r="O64" s="141"/>
      <c r="P64" s="142"/>
      <c r="Q64" s="143"/>
      <c r="R64" s="141"/>
      <c r="S64" s="141"/>
      <c r="T64" s="142"/>
      <c r="U64" s="143"/>
      <c r="V64" s="141"/>
      <c r="W64" s="141"/>
      <c r="X64" s="142"/>
      <c r="Y64" s="143"/>
      <c r="Z64" s="141"/>
      <c r="AA64" s="141"/>
      <c r="AB64" s="142"/>
      <c r="AC64" s="143"/>
      <c r="AD64" s="141"/>
      <c r="AE64" s="141"/>
      <c r="AF64" s="142"/>
      <c r="AG64" s="143"/>
      <c r="AH64" s="145"/>
      <c r="AI64" s="145"/>
    </row>
    <row r="65" spans="1:35" s="144" customFormat="1" ht="24">
      <c r="A65" s="147" t="s">
        <v>635</v>
      </c>
      <c r="B65" s="149" t="s">
        <v>642</v>
      </c>
      <c r="C65" s="140" t="s">
        <v>643</v>
      </c>
      <c r="D65" s="141"/>
      <c r="E65" s="141"/>
      <c r="F65" s="142"/>
      <c r="G65" s="143"/>
      <c r="H65" s="119">
        <v>2398.4</v>
      </c>
      <c r="I65" s="119">
        <v>1985</v>
      </c>
      <c r="J65" s="119">
        <v>1505.4</v>
      </c>
      <c r="K65" s="120">
        <f t="shared" si="0"/>
        <v>893</v>
      </c>
      <c r="L65" s="236">
        <f t="shared" si="1"/>
        <v>0.6276684456304203</v>
      </c>
      <c r="N65" s="141"/>
      <c r="O65" s="141"/>
      <c r="P65" s="142"/>
      <c r="Q65" s="143"/>
      <c r="R65" s="141"/>
      <c r="S65" s="141"/>
      <c r="T65" s="142"/>
      <c r="U65" s="143"/>
      <c r="V65" s="141"/>
      <c r="W65" s="141"/>
      <c r="X65" s="142"/>
      <c r="Y65" s="143"/>
      <c r="Z65" s="141"/>
      <c r="AA65" s="141"/>
      <c r="AB65" s="142"/>
      <c r="AC65" s="143"/>
      <c r="AD65" s="141"/>
      <c r="AE65" s="141"/>
      <c r="AF65" s="142"/>
      <c r="AG65" s="143"/>
      <c r="AH65" s="145"/>
      <c r="AI65" s="145"/>
    </row>
    <row r="66" spans="1:35" s="144" customFormat="1" ht="36" hidden="1">
      <c r="A66" s="147" t="s">
        <v>635</v>
      </c>
      <c r="B66" s="149" t="s">
        <v>644</v>
      </c>
      <c r="C66" s="140" t="s">
        <v>645</v>
      </c>
      <c r="D66" s="141"/>
      <c r="E66" s="141"/>
      <c r="F66" s="142"/>
      <c r="G66" s="143"/>
      <c r="H66" s="119">
        <v>0</v>
      </c>
      <c r="I66" s="119">
        <v>0</v>
      </c>
      <c r="J66" s="119">
        <v>0</v>
      </c>
      <c r="K66" s="120">
        <f t="shared" si="0"/>
        <v>0</v>
      </c>
      <c r="L66" s="236" t="e">
        <f t="shared" si="1"/>
        <v>#DIV/0!</v>
      </c>
      <c r="N66" s="141"/>
      <c r="O66" s="141"/>
      <c r="P66" s="142"/>
      <c r="Q66" s="143"/>
      <c r="R66" s="141"/>
      <c r="S66" s="141"/>
      <c r="T66" s="142"/>
      <c r="U66" s="143"/>
      <c r="V66" s="141"/>
      <c r="W66" s="141"/>
      <c r="X66" s="142"/>
      <c r="Y66" s="143"/>
      <c r="Z66" s="141"/>
      <c r="AA66" s="141"/>
      <c r="AB66" s="142"/>
      <c r="AC66" s="143"/>
      <c r="AD66" s="141"/>
      <c r="AE66" s="141"/>
      <c r="AF66" s="142"/>
      <c r="AG66" s="143"/>
      <c r="AH66" s="145"/>
      <c r="AI66" s="145"/>
    </row>
    <row r="67" spans="1:35" s="144" customFormat="1" ht="60">
      <c r="A67" s="147" t="s">
        <v>635</v>
      </c>
      <c r="B67" s="149" t="s">
        <v>646</v>
      </c>
      <c r="C67" s="140" t="s">
        <v>647</v>
      </c>
      <c r="D67" s="141"/>
      <c r="E67" s="141"/>
      <c r="F67" s="142"/>
      <c r="G67" s="143"/>
      <c r="H67" s="119">
        <v>0</v>
      </c>
      <c r="I67" s="119">
        <v>0</v>
      </c>
      <c r="J67" s="119">
        <v>46.8</v>
      </c>
      <c r="K67" s="120">
        <f t="shared" si="0"/>
        <v>-46.8</v>
      </c>
      <c r="L67" s="236" t="e">
        <f t="shared" si="1"/>
        <v>#DIV/0!</v>
      </c>
      <c r="N67" s="141"/>
      <c r="O67" s="141"/>
      <c r="P67" s="142"/>
      <c r="Q67" s="143"/>
      <c r="R67" s="141"/>
      <c r="S67" s="141"/>
      <c r="T67" s="142"/>
      <c r="U67" s="143"/>
      <c r="V67" s="141"/>
      <c r="W67" s="141"/>
      <c r="X67" s="142"/>
      <c r="Y67" s="143"/>
      <c r="Z67" s="141"/>
      <c r="AA67" s="141"/>
      <c r="AB67" s="142"/>
      <c r="AC67" s="143"/>
      <c r="AD67" s="141"/>
      <c r="AE67" s="141"/>
      <c r="AF67" s="142"/>
      <c r="AG67" s="143"/>
      <c r="AH67" s="145"/>
      <c r="AI67" s="145"/>
    </row>
    <row r="68" spans="1:35" s="101" customFormat="1" ht="36">
      <c r="A68" s="94" t="s">
        <v>535</v>
      </c>
      <c r="B68" s="124" t="s">
        <v>648</v>
      </c>
      <c r="C68" s="96" t="s">
        <v>649</v>
      </c>
      <c r="D68" s="97"/>
      <c r="E68" s="97"/>
      <c r="F68" s="98"/>
      <c r="G68" s="99"/>
      <c r="H68" s="100">
        <f>H69+H71</f>
        <v>0</v>
      </c>
      <c r="I68" s="100">
        <f>I69+I71</f>
        <v>1047</v>
      </c>
      <c r="J68" s="100">
        <f>J69+J71</f>
        <v>222.8</v>
      </c>
      <c r="K68" s="91">
        <f t="shared" si="0"/>
        <v>-222.8</v>
      </c>
      <c r="L68" s="235" t="e">
        <f t="shared" si="1"/>
        <v>#DIV/0!</v>
      </c>
      <c r="N68" s="97"/>
      <c r="O68" s="97"/>
      <c r="P68" s="98"/>
      <c r="Q68" s="99"/>
      <c r="R68" s="97"/>
      <c r="S68" s="97"/>
      <c r="T68" s="98"/>
      <c r="U68" s="99"/>
      <c r="V68" s="97"/>
      <c r="W68" s="97"/>
      <c r="X68" s="98"/>
      <c r="Y68" s="99"/>
      <c r="Z68" s="97"/>
      <c r="AA68" s="97"/>
      <c r="AB68" s="98"/>
      <c r="AC68" s="99"/>
      <c r="AD68" s="97"/>
      <c r="AE68" s="97"/>
      <c r="AF68" s="98"/>
      <c r="AG68" s="99"/>
      <c r="AH68" s="102"/>
      <c r="AI68" s="102"/>
    </row>
    <row r="69" spans="1:35" s="101" customFormat="1" ht="36">
      <c r="A69" s="147" t="s">
        <v>535</v>
      </c>
      <c r="B69" s="149" t="s">
        <v>650</v>
      </c>
      <c r="C69" s="140" t="s">
        <v>649</v>
      </c>
      <c r="D69" s="97">
        <f>SUM(H69,N69)</f>
        <v>0</v>
      </c>
      <c r="E69" s="97">
        <f>SUM(J69,O69)</f>
        <v>87.3</v>
      </c>
      <c r="F69" s="98" t="e">
        <f>E69/D69</f>
        <v>#DIV/0!</v>
      </c>
      <c r="G69" s="99">
        <f>E69-D69</f>
        <v>87.3</v>
      </c>
      <c r="H69" s="119">
        <f>H70</f>
        <v>0</v>
      </c>
      <c r="I69" s="119">
        <f>I70</f>
        <v>1047</v>
      </c>
      <c r="J69" s="119">
        <f>J70</f>
        <v>87.3</v>
      </c>
      <c r="K69" s="120">
        <f t="shared" si="0"/>
        <v>-87.3</v>
      </c>
      <c r="L69" s="236" t="e">
        <f t="shared" si="1"/>
        <v>#DIV/0!</v>
      </c>
      <c r="N69" s="97">
        <f>SUM(R69,V69,Z69,AD69)</f>
        <v>0</v>
      </c>
      <c r="O69" s="97">
        <f>SUM(S69,W69,AA69,AE69)</f>
        <v>0</v>
      </c>
      <c r="P69" s="98" t="e">
        <f>O69/N69</f>
        <v>#DIV/0!</v>
      </c>
      <c r="Q69" s="99">
        <f>O69-N69</f>
        <v>0</v>
      </c>
      <c r="R69" s="97"/>
      <c r="S69" s="97"/>
      <c r="T69" s="98" t="e">
        <f>S69/R69</f>
        <v>#DIV/0!</v>
      </c>
      <c r="U69" s="99">
        <f>S69-R69</f>
        <v>0</v>
      </c>
      <c r="V69" s="97"/>
      <c r="W69" s="97"/>
      <c r="X69" s="98" t="e">
        <f>W69/V69</f>
        <v>#DIV/0!</v>
      </c>
      <c r="Y69" s="99">
        <f>W69-V69</f>
        <v>0</v>
      </c>
      <c r="Z69" s="97"/>
      <c r="AA69" s="97"/>
      <c r="AB69" s="98" t="e">
        <f>AA69/Z69</f>
        <v>#DIV/0!</v>
      </c>
      <c r="AC69" s="99">
        <f>AA69-Z69</f>
        <v>0</v>
      </c>
      <c r="AD69" s="97"/>
      <c r="AE69" s="97"/>
      <c r="AF69" s="98" t="e">
        <f>AE69/AD69</f>
        <v>#DIV/0!</v>
      </c>
      <c r="AG69" s="99">
        <f>AE69-AD69</f>
        <v>0</v>
      </c>
      <c r="AH69" s="102"/>
      <c r="AI69" s="102"/>
    </row>
    <row r="70" spans="1:35" s="144" customFormat="1" ht="48">
      <c r="A70" s="147" t="s">
        <v>535</v>
      </c>
      <c r="B70" s="149" t="s">
        <v>651</v>
      </c>
      <c r="C70" s="140" t="s">
        <v>652</v>
      </c>
      <c r="D70" s="141"/>
      <c r="E70" s="141"/>
      <c r="F70" s="142"/>
      <c r="G70" s="143"/>
      <c r="H70" s="119">
        <v>0</v>
      </c>
      <c r="I70" s="119">
        <v>1047</v>
      </c>
      <c r="J70" s="119">
        <v>87.3</v>
      </c>
      <c r="K70" s="120">
        <f t="shared" si="0"/>
        <v>-87.3</v>
      </c>
      <c r="L70" s="236" t="e">
        <f t="shared" si="1"/>
        <v>#DIV/0!</v>
      </c>
      <c r="N70" s="141"/>
      <c r="O70" s="141"/>
      <c r="P70" s="142"/>
      <c r="Q70" s="143"/>
      <c r="R70" s="141"/>
      <c r="S70" s="141"/>
      <c r="T70" s="142"/>
      <c r="U70" s="143"/>
      <c r="V70" s="141"/>
      <c r="W70" s="141"/>
      <c r="X70" s="142"/>
      <c r="Y70" s="143"/>
      <c r="Z70" s="141"/>
      <c r="AA70" s="141"/>
      <c r="AB70" s="142"/>
      <c r="AC70" s="143"/>
      <c r="AD70" s="141"/>
      <c r="AE70" s="141"/>
      <c r="AF70" s="142"/>
      <c r="AG70" s="143"/>
      <c r="AH70" s="145"/>
      <c r="AI70" s="145"/>
    </row>
    <row r="71" spans="1:35" s="101" customFormat="1" ht="24">
      <c r="A71" s="147" t="s">
        <v>535</v>
      </c>
      <c r="B71" s="149" t="s">
        <v>653</v>
      </c>
      <c r="C71" s="140" t="s">
        <v>654</v>
      </c>
      <c r="D71" s="97">
        <f>SUM(H71,N71)</f>
        <v>0</v>
      </c>
      <c r="E71" s="97">
        <f>SUM(J71,O71)</f>
        <v>135.5</v>
      </c>
      <c r="F71" s="98" t="e">
        <f>E71/D71</f>
        <v>#DIV/0!</v>
      </c>
      <c r="G71" s="99">
        <f>E71-D71</f>
        <v>135.5</v>
      </c>
      <c r="H71" s="119">
        <f>H72</f>
        <v>0</v>
      </c>
      <c r="I71" s="119">
        <f>I72</f>
        <v>0</v>
      </c>
      <c r="J71" s="119">
        <f>J72</f>
        <v>135.5</v>
      </c>
      <c r="K71" s="120">
        <f t="shared" si="0"/>
        <v>-135.5</v>
      </c>
      <c r="L71" s="236" t="e">
        <f t="shared" si="1"/>
        <v>#DIV/0!</v>
      </c>
      <c r="N71" s="97">
        <f>SUM(R71,V71,Z71,AD71)</f>
        <v>0</v>
      </c>
      <c r="O71" s="97">
        <f>SUM(S71,W71,AA71,AE71)</f>
        <v>0</v>
      </c>
      <c r="P71" s="98" t="e">
        <f>O71/N71</f>
        <v>#DIV/0!</v>
      </c>
      <c r="Q71" s="99">
        <f>O71-N71</f>
        <v>0</v>
      </c>
      <c r="R71" s="97"/>
      <c r="S71" s="97"/>
      <c r="T71" s="98" t="e">
        <f>S71/R71</f>
        <v>#DIV/0!</v>
      </c>
      <c r="U71" s="99">
        <f>S71-R71</f>
        <v>0</v>
      </c>
      <c r="V71" s="97"/>
      <c r="W71" s="97"/>
      <c r="X71" s="98" t="e">
        <f>W71/V71</f>
        <v>#DIV/0!</v>
      </c>
      <c r="Y71" s="99">
        <f>W71-V71</f>
        <v>0</v>
      </c>
      <c r="Z71" s="97"/>
      <c r="AA71" s="97"/>
      <c r="AB71" s="98" t="e">
        <f>AA71/Z71</f>
        <v>#DIV/0!</v>
      </c>
      <c r="AC71" s="99">
        <f>AA71-Z71</f>
        <v>0</v>
      </c>
      <c r="AD71" s="97"/>
      <c r="AE71" s="97"/>
      <c r="AF71" s="98" t="e">
        <f>AE71/AD71</f>
        <v>#DIV/0!</v>
      </c>
      <c r="AG71" s="99">
        <f>AE71-AD71</f>
        <v>0</v>
      </c>
      <c r="AH71" s="102"/>
      <c r="AI71" s="102"/>
    </row>
    <row r="72" spans="1:35" s="144" customFormat="1" ht="36">
      <c r="A72" s="147" t="s">
        <v>535</v>
      </c>
      <c r="B72" s="149" t="s">
        <v>655</v>
      </c>
      <c r="C72" s="140" t="s">
        <v>656</v>
      </c>
      <c r="D72" s="141"/>
      <c r="E72" s="141"/>
      <c r="F72" s="142"/>
      <c r="G72" s="143"/>
      <c r="H72" s="119">
        <v>0</v>
      </c>
      <c r="I72" s="119">
        <v>0</v>
      </c>
      <c r="J72" s="119">
        <v>135.5</v>
      </c>
      <c r="K72" s="120">
        <f t="shared" si="0"/>
        <v>-135.5</v>
      </c>
      <c r="L72" s="236" t="e">
        <f t="shared" si="1"/>
        <v>#DIV/0!</v>
      </c>
      <c r="N72" s="141"/>
      <c r="O72" s="141"/>
      <c r="P72" s="142"/>
      <c r="Q72" s="143"/>
      <c r="R72" s="141"/>
      <c r="S72" s="141"/>
      <c r="T72" s="142"/>
      <c r="U72" s="143"/>
      <c r="V72" s="141"/>
      <c r="W72" s="141"/>
      <c r="X72" s="142"/>
      <c r="Y72" s="143"/>
      <c r="Z72" s="141"/>
      <c r="AA72" s="141"/>
      <c r="AB72" s="142"/>
      <c r="AC72" s="143"/>
      <c r="AD72" s="141"/>
      <c r="AE72" s="141"/>
      <c r="AF72" s="142"/>
      <c r="AG72" s="143"/>
      <c r="AH72" s="145"/>
      <c r="AI72" s="145"/>
    </row>
    <row r="73" spans="1:35" s="101" customFormat="1" ht="36">
      <c r="A73" s="94" t="s">
        <v>535</v>
      </c>
      <c r="B73" s="124" t="s">
        <v>657</v>
      </c>
      <c r="C73" s="96" t="s">
        <v>658</v>
      </c>
      <c r="D73" s="97">
        <f>SUM(H73,N73)</f>
        <v>16571.9</v>
      </c>
      <c r="E73" s="97">
        <f>SUM(J73,O73)</f>
        <v>16531.7</v>
      </c>
      <c r="F73" s="98">
        <f>E73/D73</f>
        <v>0.9975742069406646</v>
      </c>
      <c r="G73" s="99">
        <f>E73-D73</f>
        <v>-40.20000000000073</v>
      </c>
      <c r="H73" s="100">
        <f>H74+H80</f>
        <v>6225.7</v>
      </c>
      <c r="I73" s="100">
        <f>I74+I80</f>
        <v>13747.1</v>
      </c>
      <c r="J73" s="100">
        <f>J74+J80</f>
        <v>16187.400000000001</v>
      </c>
      <c r="K73" s="91">
        <f t="shared" si="0"/>
        <v>-9961.7</v>
      </c>
      <c r="L73" s="235">
        <f t="shared" si="1"/>
        <v>2.6000931622146912</v>
      </c>
      <c r="N73" s="97">
        <f>SUM(R73,V73,Z73,AD73)</f>
        <v>10346.2</v>
      </c>
      <c r="O73" s="97">
        <f>SUM(S73,W73,AA73,AE73)</f>
        <v>344.3</v>
      </c>
      <c r="P73" s="98">
        <f>O73/N73</f>
        <v>0.03327791846281727</v>
      </c>
      <c r="Q73" s="99">
        <f>O73-N73</f>
        <v>-10001.900000000001</v>
      </c>
      <c r="R73" s="97">
        <v>10000</v>
      </c>
      <c r="S73" s="97">
        <v>74.3</v>
      </c>
      <c r="T73" s="98">
        <f>S73/R73</f>
        <v>0.00743</v>
      </c>
      <c r="U73" s="99">
        <f>S73-R73</f>
        <v>-9925.7</v>
      </c>
      <c r="V73" s="97">
        <v>346.2</v>
      </c>
      <c r="W73" s="97">
        <v>270</v>
      </c>
      <c r="X73" s="98">
        <f>W73/V73</f>
        <v>0.7798960138648181</v>
      </c>
      <c r="Y73" s="99">
        <f>W73-V73</f>
        <v>-76.19999999999999</v>
      </c>
      <c r="Z73" s="97"/>
      <c r="AA73" s="97"/>
      <c r="AB73" s="98" t="e">
        <f>AA73/Z73</f>
        <v>#DIV/0!</v>
      </c>
      <c r="AC73" s="99">
        <f>AA73-Z73</f>
        <v>0</v>
      </c>
      <c r="AD73" s="97"/>
      <c r="AE73" s="97"/>
      <c r="AF73" s="98" t="e">
        <f>AE73/AD73</f>
        <v>#DIV/0!</v>
      </c>
      <c r="AG73" s="99">
        <f>AE73-AD73</f>
        <v>0</v>
      </c>
      <c r="AH73" s="102"/>
      <c r="AI73" s="102"/>
    </row>
    <row r="74" spans="1:35" s="101" customFormat="1" ht="110.25" customHeight="1">
      <c r="A74" s="147" t="s">
        <v>535</v>
      </c>
      <c r="B74" s="149" t="s">
        <v>659</v>
      </c>
      <c r="C74" s="140" t="s">
        <v>660</v>
      </c>
      <c r="D74" s="97"/>
      <c r="E74" s="97"/>
      <c r="F74" s="98"/>
      <c r="G74" s="99"/>
      <c r="H74" s="119">
        <f>H75+H78</f>
        <v>3630.7</v>
      </c>
      <c r="I74" s="119">
        <f>I75+I78</f>
        <v>11953.7</v>
      </c>
      <c r="J74" s="119">
        <f>J75+J78</f>
        <v>5507.3</v>
      </c>
      <c r="K74" s="120">
        <f t="shared" si="0"/>
        <v>-1876.6000000000004</v>
      </c>
      <c r="L74" s="236">
        <f t="shared" si="1"/>
        <v>1.5168700250640375</v>
      </c>
      <c r="N74" s="97"/>
      <c r="O74" s="97"/>
      <c r="P74" s="98"/>
      <c r="Q74" s="99"/>
      <c r="R74" s="97"/>
      <c r="S74" s="97"/>
      <c r="T74" s="98"/>
      <c r="U74" s="99"/>
      <c r="V74" s="97"/>
      <c r="W74" s="97"/>
      <c r="X74" s="98"/>
      <c r="Y74" s="99"/>
      <c r="Z74" s="97"/>
      <c r="AA74" s="97"/>
      <c r="AB74" s="98"/>
      <c r="AC74" s="99"/>
      <c r="AD74" s="97"/>
      <c r="AE74" s="97"/>
      <c r="AF74" s="98"/>
      <c r="AG74" s="99"/>
      <c r="AH74" s="102"/>
      <c r="AI74" s="102"/>
    </row>
    <row r="75" spans="1:35" s="144" customFormat="1" ht="136.5" customHeight="1">
      <c r="A75" s="147" t="s">
        <v>535</v>
      </c>
      <c r="B75" s="149" t="s">
        <v>661</v>
      </c>
      <c r="C75" s="140" t="s">
        <v>662</v>
      </c>
      <c r="D75" s="141"/>
      <c r="E75" s="141"/>
      <c r="F75" s="142"/>
      <c r="G75" s="143"/>
      <c r="H75" s="119">
        <f>SUM(H76:H77)</f>
        <v>3630.7</v>
      </c>
      <c r="I75" s="119">
        <f>SUM(I76:I77)</f>
        <v>11953.7</v>
      </c>
      <c r="J75" s="119">
        <f>SUM(J76:J77)</f>
        <v>5505.8</v>
      </c>
      <c r="K75" s="120">
        <f t="shared" si="0"/>
        <v>-1875.1000000000004</v>
      </c>
      <c r="L75" s="236">
        <f t="shared" si="1"/>
        <v>1.5164568815930815</v>
      </c>
      <c r="N75" s="141"/>
      <c r="O75" s="141"/>
      <c r="P75" s="142"/>
      <c r="Q75" s="143"/>
      <c r="R75" s="141"/>
      <c r="S75" s="141"/>
      <c r="T75" s="142"/>
      <c r="U75" s="143"/>
      <c r="V75" s="141"/>
      <c r="W75" s="141"/>
      <c r="X75" s="142"/>
      <c r="Y75" s="143"/>
      <c r="Z75" s="141"/>
      <c r="AA75" s="141"/>
      <c r="AB75" s="142"/>
      <c r="AC75" s="143"/>
      <c r="AD75" s="141"/>
      <c r="AE75" s="141"/>
      <c r="AF75" s="142"/>
      <c r="AG75" s="143"/>
      <c r="AH75" s="145"/>
      <c r="AI75" s="145"/>
    </row>
    <row r="76" spans="1:35" s="144" customFormat="1" ht="144" hidden="1">
      <c r="A76" s="147" t="s">
        <v>159</v>
      </c>
      <c r="B76" s="149" t="s">
        <v>663</v>
      </c>
      <c r="C76" s="140" t="s">
        <v>664</v>
      </c>
      <c r="D76" s="141"/>
      <c r="E76" s="141"/>
      <c r="F76" s="142"/>
      <c r="G76" s="143"/>
      <c r="H76" s="119">
        <v>0</v>
      </c>
      <c r="I76" s="119">
        <v>0</v>
      </c>
      <c r="J76" s="119">
        <v>0</v>
      </c>
      <c r="K76" s="120">
        <f aca="true" t="shared" si="4" ref="K76:K139">H76-J76</f>
        <v>0</v>
      </c>
      <c r="L76" s="236" t="e">
        <f aca="true" t="shared" si="5" ref="L76:L139">J76/H76</f>
        <v>#DIV/0!</v>
      </c>
      <c r="N76" s="141"/>
      <c r="O76" s="141"/>
      <c r="P76" s="142"/>
      <c r="Q76" s="143"/>
      <c r="R76" s="141"/>
      <c r="S76" s="141"/>
      <c r="T76" s="142"/>
      <c r="U76" s="143"/>
      <c r="V76" s="141"/>
      <c r="W76" s="141"/>
      <c r="X76" s="142"/>
      <c r="Y76" s="143"/>
      <c r="Z76" s="141"/>
      <c r="AA76" s="141"/>
      <c r="AB76" s="142"/>
      <c r="AC76" s="143"/>
      <c r="AD76" s="141"/>
      <c r="AE76" s="141"/>
      <c r="AF76" s="142"/>
      <c r="AG76" s="143"/>
      <c r="AH76" s="145"/>
      <c r="AI76" s="145"/>
    </row>
    <row r="77" spans="1:35" s="144" customFormat="1" ht="144">
      <c r="A77" s="136">
        <v>712</v>
      </c>
      <c r="B77" s="149" t="s">
        <v>665</v>
      </c>
      <c r="C77" s="140" t="s">
        <v>666</v>
      </c>
      <c r="D77" s="141"/>
      <c r="E77" s="141"/>
      <c r="F77" s="142"/>
      <c r="G77" s="143"/>
      <c r="H77" s="119">
        <v>3630.7</v>
      </c>
      <c r="I77" s="119">
        <v>11953.7</v>
      </c>
      <c r="J77" s="119">
        <v>5505.8</v>
      </c>
      <c r="K77" s="120">
        <f t="shared" si="4"/>
        <v>-1875.1000000000004</v>
      </c>
      <c r="L77" s="236">
        <f t="shared" si="5"/>
        <v>1.5164568815930815</v>
      </c>
      <c r="N77" s="141"/>
      <c r="O77" s="141"/>
      <c r="P77" s="142"/>
      <c r="Q77" s="143"/>
      <c r="R77" s="141"/>
      <c r="S77" s="141"/>
      <c r="T77" s="142"/>
      <c r="U77" s="143"/>
      <c r="V77" s="141"/>
      <c r="W77" s="141"/>
      <c r="X77" s="142"/>
      <c r="Y77" s="143"/>
      <c r="Z77" s="141"/>
      <c r="AA77" s="141"/>
      <c r="AB77" s="142"/>
      <c r="AC77" s="143"/>
      <c r="AD77" s="141"/>
      <c r="AE77" s="141"/>
      <c r="AF77" s="142"/>
      <c r="AG77" s="143"/>
      <c r="AH77" s="145"/>
      <c r="AI77" s="145"/>
    </row>
    <row r="78" spans="1:35" s="144" customFormat="1" ht="132" customHeight="1">
      <c r="A78" s="136">
        <v>712</v>
      </c>
      <c r="B78" s="149" t="s">
        <v>667</v>
      </c>
      <c r="C78" s="140" t="s">
        <v>668</v>
      </c>
      <c r="D78" s="141"/>
      <c r="E78" s="141"/>
      <c r="F78" s="142"/>
      <c r="G78" s="143"/>
      <c r="H78" s="119">
        <f>H79</f>
        <v>0</v>
      </c>
      <c r="I78" s="119">
        <f>I79</f>
        <v>0</v>
      </c>
      <c r="J78" s="119">
        <f>J79</f>
        <v>1.5</v>
      </c>
      <c r="K78" s="120">
        <f t="shared" si="4"/>
        <v>-1.5</v>
      </c>
      <c r="L78" s="236" t="e">
        <f t="shared" si="5"/>
        <v>#DIV/0!</v>
      </c>
      <c r="N78" s="141"/>
      <c r="O78" s="141"/>
      <c r="P78" s="142"/>
      <c r="Q78" s="143"/>
      <c r="R78" s="141"/>
      <c r="S78" s="141"/>
      <c r="T78" s="142"/>
      <c r="U78" s="143"/>
      <c r="V78" s="141"/>
      <c r="W78" s="141"/>
      <c r="X78" s="142"/>
      <c r="Y78" s="143"/>
      <c r="Z78" s="141"/>
      <c r="AA78" s="141"/>
      <c r="AB78" s="142"/>
      <c r="AC78" s="143"/>
      <c r="AD78" s="141"/>
      <c r="AE78" s="141"/>
      <c r="AF78" s="142"/>
      <c r="AG78" s="143"/>
      <c r="AH78" s="145"/>
      <c r="AI78" s="145"/>
    </row>
    <row r="79" spans="1:35" s="144" customFormat="1" ht="132.75" customHeight="1">
      <c r="A79" s="136">
        <v>712</v>
      </c>
      <c r="B79" s="149" t="s">
        <v>669</v>
      </c>
      <c r="C79" s="140" t="s">
        <v>670</v>
      </c>
      <c r="D79" s="141"/>
      <c r="E79" s="141"/>
      <c r="F79" s="142"/>
      <c r="G79" s="143"/>
      <c r="H79" s="119">
        <v>0</v>
      </c>
      <c r="I79" s="119">
        <v>0</v>
      </c>
      <c r="J79" s="119">
        <v>1.5</v>
      </c>
      <c r="K79" s="120">
        <f t="shared" si="4"/>
        <v>-1.5</v>
      </c>
      <c r="L79" s="236" t="e">
        <f t="shared" si="5"/>
        <v>#DIV/0!</v>
      </c>
      <c r="N79" s="141"/>
      <c r="O79" s="141"/>
      <c r="P79" s="142"/>
      <c r="Q79" s="143"/>
      <c r="R79" s="141"/>
      <c r="S79" s="141"/>
      <c r="T79" s="142"/>
      <c r="U79" s="143"/>
      <c r="V79" s="141"/>
      <c r="W79" s="141"/>
      <c r="X79" s="142"/>
      <c r="Y79" s="143"/>
      <c r="Z79" s="141"/>
      <c r="AA79" s="141"/>
      <c r="AB79" s="142"/>
      <c r="AC79" s="143"/>
      <c r="AD79" s="141"/>
      <c r="AE79" s="141"/>
      <c r="AF79" s="142"/>
      <c r="AG79" s="143"/>
      <c r="AH79" s="145"/>
      <c r="AI79" s="145"/>
    </row>
    <row r="80" spans="1:35" s="121" customFormat="1" ht="84">
      <c r="A80" s="136" t="s">
        <v>535</v>
      </c>
      <c r="B80" s="137" t="s">
        <v>671</v>
      </c>
      <c r="C80" s="115" t="s">
        <v>672</v>
      </c>
      <c r="D80" s="116">
        <v>5548.1</v>
      </c>
      <c r="E80" s="116">
        <v>843</v>
      </c>
      <c r="F80" s="117">
        <v>0.15</v>
      </c>
      <c r="G80" s="118">
        <v>-4705.1</v>
      </c>
      <c r="H80" s="119">
        <f>H81+H83</f>
        <v>2595</v>
      </c>
      <c r="I80" s="119">
        <f>I81+I83</f>
        <v>1793.4</v>
      </c>
      <c r="J80" s="119">
        <f>J81+J83</f>
        <v>10680.1</v>
      </c>
      <c r="K80" s="120">
        <f t="shared" si="4"/>
        <v>-8085.1</v>
      </c>
      <c r="L80" s="236">
        <f t="shared" si="5"/>
        <v>4.115645472061657</v>
      </c>
      <c r="N80" s="116"/>
      <c r="O80" s="116"/>
      <c r="P80" s="117"/>
      <c r="Q80" s="118"/>
      <c r="R80" s="116">
        <v>1500</v>
      </c>
      <c r="S80" s="116">
        <v>397.1</v>
      </c>
      <c r="T80" s="117"/>
      <c r="U80" s="118"/>
      <c r="V80" s="116">
        <v>250</v>
      </c>
      <c r="W80" s="116">
        <v>18.5</v>
      </c>
      <c r="X80" s="117"/>
      <c r="Y80" s="118"/>
      <c r="Z80" s="116"/>
      <c r="AA80" s="116">
        <v>5.6</v>
      </c>
      <c r="AB80" s="117"/>
      <c r="AC80" s="118"/>
      <c r="AD80" s="116">
        <v>2.5</v>
      </c>
      <c r="AE80" s="116">
        <v>0.3</v>
      </c>
      <c r="AF80" s="117"/>
      <c r="AG80" s="118"/>
      <c r="AH80" s="122"/>
      <c r="AI80" s="122"/>
    </row>
    <row r="81" spans="1:35" s="121" customFormat="1" ht="48">
      <c r="A81" s="147" t="s">
        <v>535</v>
      </c>
      <c r="B81" s="114" t="s">
        <v>673</v>
      </c>
      <c r="C81" s="115" t="s">
        <v>674</v>
      </c>
      <c r="D81" s="116"/>
      <c r="E81" s="116"/>
      <c r="F81" s="117"/>
      <c r="G81" s="118"/>
      <c r="H81" s="119">
        <f>H82</f>
        <v>2595</v>
      </c>
      <c r="I81" s="119">
        <f>I82</f>
        <v>1793.4</v>
      </c>
      <c r="J81" s="119">
        <f>J82</f>
        <v>10680.1</v>
      </c>
      <c r="K81" s="120">
        <f t="shared" si="4"/>
        <v>-8085.1</v>
      </c>
      <c r="L81" s="236">
        <f t="shared" si="5"/>
        <v>4.115645472061657</v>
      </c>
      <c r="N81" s="116"/>
      <c r="O81" s="116"/>
      <c r="P81" s="117"/>
      <c r="Q81" s="118"/>
      <c r="R81" s="116"/>
      <c r="S81" s="116"/>
      <c r="T81" s="117"/>
      <c r="U81" s="118"/>
      <c r="V81" s="116"/>
      <c r="W81" s="116"/>
      <c r="X81" s="117"/>
      <c r="Y81" s="118"/>
      <c r="Z81" s="116"/>
      <c r="AA81" s="116"/>
      <c r="AB81" s="117"/>
      <c r="AC81" s="118"/>
      <c r="AD81" s="116"/>
      <c r="AE81" s="116"/>
      <c r="AF81" s="117"/>
      <c r="AG81" s="118"/>
      <c r="AH81" s="122"/>
      <c r="AI81" s="122"/>
    </row>
    <row r="82" spans="1:35" s="121" customFormat="1" ht="60">
      <c r="A82" s="136">
        <v>712</v>
      </c>
      <c r="B82" s="114" t="s">
        <v>675</v>
      </c>
      <c r="C82" s="115" t="s">
        <v>676</v>
      </c>
      <c r="D82" s="116"/>
      <c r="E82" s="116"/>
      <c r="F82" s="117"/>
      <c r="G82" s="118"/>
      <c r="H82" s="119">
        <v>2595</v>
      </c>
      <c r="I82" s="119">
        <v>1793.4</v>
      </c>
      <c r="J82" s="119">
        <v>10680.1</v>
      </c>
      <c r="K82" s="120">
        <f t="shared" si="4"/>
        <v>-8085.1</v>
      </c>
      <c r="L82" s="236">
        <f t="shared" si="5"/>
        <v>4.115645472061657</v>
      </c>
      <c r="N82" s="116"/>
      <c r="O82" s="116"/>
      <c r="P82" s="117"/>
      <c r="Q82" s="118"/>
      <c r="R82" s="116"/>
      <c r="S82" s="116"/>
      <c r="T82" s="117"/>
      <c r="U82" s="118"/>
      <c r="V82" s="116"/>
      <c r="W82" s="116"/>
      <c r="X82" s="117"/>
      <c r="Y82" s="118"/>
      <c r="Z82" s="116"/>
      <c r="AA82" s="116"/>
      <c r="AB82" s="117"/>
      <c r="AC82" s="118"/>
      <c r="AD82" s="116"/>
      <c r="AE82" s="116"/>
      <c r="AF82" s="117"/>
      <c r="AG82" s="118"/>
      <c r="AH82" s="122"/>
      <c r="AI82" s="122"/>
    </row>
    <row r="83" spans="1:35" s="121" customFormat="1" ht="37.5" customHeight="1" hidden="1">
      <c r="A83" s="147" t="s">
        <v>535</v>
      </c>
      <c r="B83" s="114" t="s">
        <v>677</v>
      </c>
      <c r="C83" s="115" t="s">
        <v>678</v>
      </c>
      <c r="D83" s="116"/>
      <c r="E83" s="116"/>
      <c r="F83" s="117"/>
      <c r="G83" s="118"/>
      <c r="H83" s="119">
        <f>H84</f>
        <v>0</v>
      </c>
      <c r="I83" s="119">
        <f>I84</f>
        <v>0</v>
      </c>
      <c r="J83" s="119">
        <f>J84</f>
        <v>0</v>
      </c>
      <c r="K83" s="91">
        <f t="shared" si="4"/>
        <v>0</v>
      </c>
      <c r="L83" s="235" t="e">
        <f t="shared" si="5"/>
        <v>#DIV/0!</v>
      </c>
      <c r="N83" s="116"/>
      <c r="O83" s="116"/>
      <c r="P83" s="117"/>
      <c r="Q83" s="118"/>
      <c r="R83" s="116"/>
      <c r="S83" s="116"/>
      <c r="T83" s="117"/>
      <c r="U83" s="118"/>
      <c r="V83" s="116"/>
      <c r="W83" s="116"/>
      <c r="X83" s="117"/>
      <c r="Y83" s="118"/>
      <c r="Z83" s="116"/>
      <c r="AA83" s="116"/>
      <c r="AB83" s="117"/>
      <c r="AC83" s="118"/>
      <c r="AD83" s="116"/>
      <c r="AE83" s="116"/>
      <c r="AF83" s="117"/>
      <c r="AG83" s="118"/>
      <c r="AH83" s="122"/>
      <c r="AI83" s="122"/>
    </row>
    <row r="84" spans="1:35" s="121" customFormat="1" ht="84" hidden="1">
      <c r="A84" s="136">
        <v>712</v>
      </c>
      <c r="B84" s="114" t="s">
        <v>679</v>
      </c>
      <c r="C84" s="115" t="s">
        <v>680</v>
      </c>
      <c r="D84" s="116"/>
      <c r="E84" s="116"/>
      <c r="F84" s="117"/>
      <c r="G84" s="118"/>
      <c r="H84" s="119">
        <v>0</v>
      </c>
      <c r="I84" s="119">
        <v>0</v>
      </c>
      <c r="J84" s="119">
        <v>0</v>
      </c>
      <c r="K84" s="91">
        <f t="shared" si="4"/>
        <v>0</v>
      </c>
      <c r="L84" s="235" t="e">
        <f t="shared" si="5"/>
        <v>#DIV/0!</v>
      </c>
      <c r="N84" s="116"/>
      <c r="O84" s="116"/>
      <c r="P84" s="117"/>
      <c r="Q84" s="118"/>
      <c r="R84" s="116"/>
      <c r="S84" s="116"/>
      <c r="T84" s="117"/>
      <c r="U84" s="118"/>
      <c r="V84" s="116"/>
      <c r="W84" s="116"/>
      <c r="X84" s="117"/>
      <c r="Y84" s="118"/>
      <c r="Z84" s="116"/>
      <c r="AA84" s="116"/>
      <c r="AB84" s="117"/>
      <c r="AC84" s="118"/>
      <c r="AD84" s="116"/>
      <c r="AE84" s="116"/>
      <c r="AF84" s="117"/>
      <c r="AG84" s="118"/>
      <c r="AH84" s="122"/>
      <c r="AI84" s="122"/>
    </row>
    <row r="85" spans="1:35" s="101" customFormat="1" ht="24">
      <c r="A85" s="94" t="s">
        <v>535</v>
      </c>
      <c r="B85" s="135" t="s">
        <v>681</v>
      </c>
      <c r="C85" s="96" t="s">
        <v>682</v>
      </c>
      <c r="D85" s="97">
        <f>SUM(H85,N85)</f>
        <v>1580</v>
      </c>
      <c r="E85" s="97">
        <f>SUM(J85,O85)</f>
        <v>679.1999999999999</v>
      </c>
      <c r="F85" s="98">
        <f>E85/D85</f>
        <v>0.42987341772151894</v>
      </c>
      <c r="G85" s="99">
        <f>E85-D85</f>
        <v>-900.8000000000001</v>
      </c>
      <c r="H85" s="100">
        <f>H86+H89+H90+H91+H92+H95+H96+H102+H98</f>
        <v>1580</v>
      </c>
      <c r="I85" s="100">
        <f>I86+I89+I90+I91+I92+I95+I96+I102+I98</f>
        <v>1251.9</v>
      </c>
      <c r="J85" s="100">
        <f>J86+J89+J90+J91+J92+J95+J96+J102+J98+J100</f>
        <v>679.1999999999999</v>
      </c>
      <c r="K85" s="91">
        <f t="shared" si="4"/>
        <v>900.8000000000001</v>
      </c>
      <c r="L85" s="235">
        <f t="shared" si="5"/>
        <v>0.42987341772151894</v>
      </c>
      <c r="N85" s="97">
        <f>SUM(R85,V85,Z85,AD85)</f>
        <v>0</v>
      </c>
      <c r="O85" s="97">
        <f>SUM(S85,W85,AA85,AE85)</f>
        <v>0</v>
      </c>
      <c r="P85" s="98" t="e">
        <f>O85/N85</f>
        <v>#DIV/0!</v>
      </c>
      <c r="Q85" s="99">
        <f>O85-N85</f>
        <v>0</v>
      </c>
      <c r="R85" s="97"/>
      <c r="S85" s="97"/>
      <c r="T85" s="98" t="e">
        <f>S85/R85</f>
        <v>#DIV/0!</v>
      </c>
      <c r="U85" s="99">
        <f>S85-R85</f>
        <v>0</v>
      </c>
      <c r="V85" s="97"/>
      <c r="W85" s="97"/>
      <c r="X85" s="98" t="e">
        <f>W85/V85</f>
        <v>#DIV/0!</v>
      </c>
      <c r="Y85" s="99">
        <f>W85-V85</f>
        <v>0</v>
      </c>
      <c r="Z85" s="97"/>
      <c r="AA85" s="97"/>
      <c r="AB85" s="98" t="e">
        <f>AA85/Z85</f>
        <v>#DIV/0!</v>
      </c>
      <c r="AC85" s="99">
        <f>AA85-Z85</f>
        <v>0</v>
      </c>
      <c r="AD85" s="97"/>
      <c r="AE85" s="97"/>
      <c r="AF85" s="98" t="e">
        <f>AE85/AD85</f>
        <v>#DIV/0!</v>
      </c>
      <c r="AG85" s="99">
        <f>AE85-AD85</f>
        <v>0</v>
      </c>
      <c r="AH85" s="102"/>
      <c r="AI85" s="102"/>
    </row>
    <row r="86" spans="1:35" s="101" customFormat="1" ht="36">
      <c r="A86" s="147" t="s">
        <v>535</v>
      </c>
      <c r="B86" s="149" t="s">
        <v>1089</v>
      </c>
      <c r="C86" s="140" t="s">
        <v>683</v>
      </c>
      <c r="D86" s="97"/>
      <c r="E86" s="97"/>
      <c r="F86" s="98"/>
      <c r="G86" s="99"/>
      <c r="H86" s="119">
        <f>H87+H88</f>
        <v>30</v>
      </c>
      <c r="I86" s="119">
        <f>I87+I88</f>
        <v>60</v>
      </c>
      <c r="J86" s="119">
        <f>J87+J88</f>
        <v>66.2</v>
      </c>
      <c r="K86" s="120">
        <f t="shared" si="4"/>
        <v>-36.2</v>
      </c>
      <c r="L86" s="236">
        <f t="shared" si="5"/>
        <v>2.2066666666666666</v>
      </c>
      <c r="N86" s="97"/>
      <c r="O86" s="97"/>
      <c r="P86" s="98"/>
      <c r="Q86" s="99"/>
      <c r="R86" s="97"/>
      <c r="S86" s="97"/>
      <c r="T86" s="98"/>
      <c r="U86" s="99"/>
      <c r="V86" s="97"/>
      <c r="W86" s="97"/>
      <c r="X86" s="98"/>
      <c r="Y86" s="99"/>
      <c r="Z86" s="97"/>
      <c r="AA86" s="97"/>
      <c r="AB86" s="98"/>
      <c r="AC86" s="99"/>
      <c r="AD86" s="97"/>
      <c r="AE86" s="97"/>
      <c r="AF86" s="98"/>
      <c r="AG86" s="99"/>
      <c r="AH86" s="102"/>
      <c r="AI86" s="102"/>
    </row>
    <row r="87" spans="1:35" s="144" customFormat="1" ht="144">
      <c r="A87" s="147" t="s">
        <v>540</v>
      </c>
      <c r="B87" s="149" t="s">
        <v>684</v>
      </c>
      <c r="C87" s="140" t="s">
        <v>1103</v>
      </c>
      <c r="D87" s="141"/>
      <c r="E87" s="141"/>
      <c r="F87" s="142"/>
      <c r="G87" s="143"/>
      <c r="H87" s="119">
        <v>30</v>
      </c>
      <c r="I87" s="119">
        <v>60</v>
      </c>
      <c r="J87" s="119">
        <v>57.7</v>
      </c>
      <c r="K87" s="120">
        <f t="shared" si="4"/>
        <v>-27.700000000000003</v>
      </c>
      <c r="L87" s="236">
        <f t="shared" si="5"/>
        <v>1.9233333333333333</v>
      </c>
      <c r="N87" s="141"/>
      <c r="O87" s="141"/>
      <c r="P87" s="142"/>
      <c r="Q87" s="143"/>
      <c r="R87" s="141"/>
      <c r="S87" s="141"/>
      <c r="T87" s="142"/>
      <c r="U87" s="143"/>
      <c r="V87" s="141"/>
      <c r="W87" s="141"/>
      <c r="X87" s="142"/>
      <c r="Y87" s="143"/>
      <c r="Z87" s="141"/>
      <c r="AA87" s="141"/>
      <c r="AB87" s="142"/>
      <c r="AC87" s="143"/>
      <c r="AD87" s="141"/>
      <c r="AE87" s="141"/>
      <c r="AF87" s="142"/>
      <c r="AG87" s="143"/>
      <c r="AH87" s="145"/>
      <c r="AI87" s="145"/>
    </row>
    <row r="88" spans="1:35" s="144" customFormat="1" ht="84">
      <c r="A88" s="147" t="s">
        <v>540</v>
      </c>
      <c r="B88" s="149" t="s">
        <v>685</v>
      </c>
      <c r="C88" s="140" t="s">
        <v>686</v>
      </c>
      <c r="D88" s="141"/>
      <c r="E88" s="141"/>
      <c r="F88" s="142"/>
      <c r="G88" s="143"/>
      <c r="H88" s="119">
        <v>0</v>
      </c>
      <c r="I88" s="119">
        <v>0</v>
      </c>
      <c r="J88" s="119">
        <v>8.5</v>
      </c>
      <c r="K88" s="120">
        <f t="shared" si="4"/>
        <v>-8.5</v>
      </c>
      <c r="L88" s="236" t="e">
        <f t="shared" si="5"/>
        <v>#DIV/0!</v>
      </c>
      <c r="N88" s="141"/>
      <c r="O88" s="141"/>
      <c r="P88" s="142"/>
      <c r="Q88" s="143"/>
      <c r="R88" s="141"/>
      <c r="S88" s="141"/>
      <c r="T88" s="142"/>
      <c r="U88" s="143"/>
      <c r="V88" s="141"/>
      <c r="W88" s="141"/>
      <c r="X88" s="142"/>
      <c r="Y88" s="143"/>
      <c r="Z88" s="141"/>
      <c r="AA88" s="141"/>
      <c r="AB88" s="142"/>
      <c r="AC88" s="143"/>
      <c r="AD88" s="141"/>
      <c r="AE88" s="141"/>
      <c r="AF88" s="142"/>
      <c r="AG88" s="143"/>
      <c r="AH88" s="145"/>
      <c r="AI88" s="145"/>
    </row>
    <row r="89" spans="1:35" s="144" customFormat="1" ht="87" customHeight="1">
      <c r="A89" s="147" t="s">
        <v>540</v>
      </c>
      <c r="B89" s="149" t="s">
        <v>687</v>
      </c>
      <c r="C89" s="140" t="s">
        <v>688</v>
      </c>
      <c r="D89" s="141"/>
      <c r="E89" s="141"/>
      <c r="F89" s="142"/>
      <c r="G89" s="143"/>
      <c r="H89" s="119">
        <v>0</v>
      </c>
      <c r="I89" s="119">
        <v>0</v>
      </c>
      <c r="J89" s="119">
        <v>13</v>
      </c>
      <c r="K89" s="120">
        <f t="shared" si="4"/>
        <v>-13</v>
      </c>
      <c r="L89" s="236" t="e">
        <f t="shared" si="5"/>
        <v>#DIV/0!</v>
      </c>
      <c r="N89" s="141"/>
      <c r="O89" s="141"/>
      <c r="P89" s="142"/>
      <c r="Q89" s="143"/>
      <c r="R89" s="141"/>
      <c r="S89" s="141"/>
      <c r="T89" s="142"/>
      <c r="U89" s="143"/>
      <c r="V89" s="141"/>
      <c r="W89" s="141"/>
      <c r="X89" s="142"/>
      <c r="Y89" s="143"/>
      <c r="Z89" s="141"/>
      <c r="AA89" s="141"/>
      <c r="AB89" s="142"/>
      <c r="AC89" s="143"/>
      <c r="AD89" s="141"/>
      <c r="AE89" s="141"/>
      <c r="AF89" s="142"/>
      <c r="AG89" s="143"/>
      <c r="AH89" s="145"/>
      <c r="AI89" s="145"/>
    </row>
    <row r="90" spans="1:35" s="144" customFormat="1" ht="96" hidden="1">
      <c r="A90" s="147" t="s">
        <v>535</v>
      </c>
      <c r="B90" s="149" t="s">
        <v>689</v>
      </c>
      <c r="C90" s="140" t="s">
        <v>690</v>
      </c>
      <c r="D90" s="141"/>
      <c r="E90" s="141"/>
      <c r="F90" s="142"/>
      <c r="G90" s="143"/>
      <c r="H90" s="119"/>
      <c r="I90" s="119"/>
      <c r="J90" s="119"/>
      <c r="K90" s="120">
        <f t="shared" si="4"/>
        <v>0</v>
      </c>
      <c r="L90" s="236" t="e">
        <f t="shared" si="5"/>
        <v>#DIV/0!</v>
      </c>
      <c r="N90" s="141"/>
      <c r="O90" s="141"/>
      <c r="P90" s="142"/>
      <c r="Q90" s="143"/>
      <c r="R90" s="141"/>
      <c r="S90" s="141"/>
      <c r="T90" s="142"/>
      <c r="U90" s="143"/>
      <c r="V90" s="141"/>
      <c r="W90" s="141"/>
      <c r="X90" s="142"/>
      <c r="Y90" s="143"/>
      <c r="Z90" s="141"/>
      <c r="AA90" s="141"/>
      <c r="AB90" s="142"/>
      <c r="AC90" s="143"/>
      <c r="AD90" s="141"/>
      <c r="AE90" s="141"/>
      <c r="AF90" s="142"/>
      <c r="AG90" s="143"/>
      <c r="AH90" s="145"/>
      <c r="AI90" s="145"/>
    </row>
    <row r="91" spans="1:35" s="144" customFormat="1" ht="108" hidden="1">
      <c r="A91" s="147" t="s">
        <v>164</v>
      </c>
      <c r="B91" s="149" t="s">
        <v>691</v>
      </c>
      <c r="C91" s="140" t="s">
        <v>692</v>
      </c>
      <c r="D91" s="141"/>
      <c r="E91" s="141"/>
      <c r="F91" s="142"/>
      <c r="G91" s="143"/>
      <c r="H91" s="119">
        <v>0</v>
      </c>
      <c r="I91" s="119">
        <v>29.4</v>
      </c>
      <c r="J91" s="119">
        <v>0</v>
      </c>
      <c r="K91" s="120">
        <f t="shared" si="4"/>
        <v>0</v>
      </c>
      <c r="L91" s="236" t="e">
        <f t="shared" si="5"/>
        <v>#DIV/0!</v>
      </c>
      <c r="N91" s="141"/>
      <c r="O91" s="141"/>
      <c r="P91" s="142"/>
      <c r="Q91" s="143"/>
      <c r="R91" s="141"/>
      <c r="S91" s="141"/>
      <c r="T91" s="142"/>
      <c r="U91" s="143"/>
      <c r="V91" s="141"/>
      <c r="W91" s="141"/>
      <c r="X91" s="142"/>
      <c r="Y91" s="143"/>
      <c r="Z91" s="141"/>
      <c r="AA91" s="141"/>
      <c r="AB91" s="142"/>
      <c r="AC91" s="143"/>
      <c r="AD91" s="141"/>
      <c r="AE91" s="141"/>
      <c r="AF91" s="142"/>
      <c r="AG91" s="143"/>
      <c r="AH91" s="145"/>
      <c r="AI91" s="145"/>
    </row>
    <row r="92" spans="1:35" s="144" customFormat="1" ht="144">
      <c r="A92" s="147" t="s">
        <v>535</v>
      </c>
      <c r="B92" s="149" t="s">
        <v>1100</v>
      </c>
      <c r="C92" s="140" t="s">
        <v>693</v>
      </c>
      <c r="D92" s="141"/>
      <c r="E92" s="141"/>
      <c r="F92" s="142"/>
      <c r="G92" s="143"/>
      <c r="H92" s="119">
        <f>H93+H94</f>
        <v>0</v>
      </c>
      <c r="I92" s="119">
        <f>I93+I94</f>
        <v>0</v>
      </c>
      <c r="J92" s="119">
        <f>SUM(J93:J94)</f>
        <v>66</v>
      </c>
      <c r="K92" s="120">
        <f t="shared" si="4"/>
        <v>-66</v>
      </c>
      <c r="L92" s="236" t="e">
        <f t="shared" si="5"/>
        <v>#DIV/0!</v>
      </c>
      <c r="N92" s="141"/>
      <c r="O92" s="141"/>
      <c r="P92" s="142"/>
      <c r="Q92" s="143"/>
      <c r="R92" s="141"/>
      <c r="S92" s="141"/>
      <c r="T92" s="142"/>
      <c r="U92" s="143"/>
      <c r="V92" s="141"/>
      <c r="W92" s="141"/>
      <c r="X92" s="142"/>
      <c r="Y92" s="143"/>
      <c r="Z92" s="141"/>
      <c r="AA92" s="141"/>
      <c r="AB92" s="142"/>
      <c r="AC92" s="143"/>
      <c r="AD92" s="141"/>
      <c r="AE92" s="141"/>
      <c r="AF92" s="142"/>
      <c r="AG92" s="143"/>
      <c r="AH92" s="145"/>
      <c r="AI92" s="145"/>
    </row>
    <row r="93" spans="1:35" s="144" customFormat="1" ht="48" hidden="1">
      <c r="A93" s="147" t="s">
        <v>694</v>
      </c>
      <c r="B93" s="149" t="s">
        <v>695</v>
      </c>
      <c r="C93" s="140" t="s">
        <v>696</v>
      </c>
      <c r="D93" s="141"/>
      <c r="E93" s="141"/>
      <c r="F93" s="142"/>
      <c r="G93" s="143"/>
      <c r="H93" s="119">
        <v>0</v>
      </c>
      <c r="I93" s="119">
        <v>0</v>
      </c>
      <c r="J93" s="119">
        <v>0</v>
      </c>
      <c r="K93" s="120">
        <f t="shared" si="4"/>
        <v>0</v>
      </c>
      <c r="L93" s="236" t="e">
        <f t="shared" si="5"/>
        <v>#DIV/0!</v>
      </c>
      <c r="N93" s="141"/>
      <c r="O93" s="141"/>
      <c r="P93" s="142"/>
      <c r="Q93" s="143"/>
      <c r="R93" s="141"/>
      <c r="S93" s="141"/>
      <c r="T93" s="142"/>
      <c r="U93" s="143"/>
      <c r="V93" s="141"/>
      <c r="W93" s="141"/>
      <c r="X93" s="142"/>
      <c r="Y93" s="143"/>
      <c r="Z93" s="141"/>
      <c r="AA93" s="141"/>
      <c r="AB93" s="142"/>
      <c r="AC93" s="143"/>
      <c r="AD93" s="141"/>
      <c r="AE93" s="141"/>
      <c r="AF93" s="142"/>
      <c r="AG93" s="143"/>
      <c r="AH93" s="145"/>
      <c r="AI93" s="145"/>
    </row>
    <row r="94" spans="1:35" s="144" customFormat="1" ht="36">
      <c r="A94" s="147" t="s">
        <v>697</v>
      </c>
      <c r="B94" s="149" t="s">
        <v>698</v>
      </c>
      <c r="C94" s="140" t="s">
        <v>699</v>
      </c>
      <c r="D94" s="141"/>
      <c r="E94" s="141"/>
      <c r="F94" s="142"/>
      <c r="G94" s="143"/>
      <c r="H94" s="119">
        <v>0</v>
      </c>
      <c r="I94" s="119">
        <v>0</v>
      </c>
      <c r="J94" s="119">
        <v>66</v>
      </c>
      <c r="K94" s="120">
        <f t="shared" si="4"/>
        <v>-66</v>
      </c>
      <c r="L94" s="236" t="e">
        <f t="shared" si="5"/>
        <v>#DIV/0!</v>
      </c>
      <c r="N94" s="141"/>
      <c r="O94" s="141"/>
      <c r="P94" s="142"/>
      <c r="Q94" s="143"/>
      <c r="R94" s="141"/>
      <c r="S94" s="141"/>
      <c r="T94" s="142"/>
      <c r="U94" s="143"/>
      <c r="V94" s="141"/>
      <c r="W94" s="141"/>
      <c r="X94" s="142"/>
      <c r="Y94" s="143"/>
      <c r="Z94" s="141"/>
      <c r="AA94" s="141"/>
      <c r="AB94" s="142"/>
      <c r="AC94" s="143"/>
      <c r="AD94" s="141"/>
      <c r="AE94" s="141"/>
      <c r="AF94" s="142"/>
      <c r="AG94" s="143"/>
      <c r="AH94" s="145"/>
      <c r="AI94" s="145"/>
    </row>
    <row r="95" spans="1:35" s="144" customFormat="1" ht="84">
      <c r="A95" s="147" t="s">
        <v>700</v>
      </c>
      <c r="B95" s="149" t="s">
        <v>701</v>
      </c>
      <c r="C95" s="140" t="s">
        <v>702</v>
      </c>
      <c r="D95" s="141"/>
      <c r="E95" s="141"/>
      <c r="F95" s="142"/>
      <c r="G95" s="143"/>
      <c r="H95" s="119">
        <v>0</v>
      </c>
      <c r="I95" s="119">
        <v>0</v>
      </c>
      <c r="J95" s="119">
        <v>-30</v>
      </c>
      <c r="K95" s="120">
        <f t="shared" si="4"/>
        <v>30</v>
      </c>
      <c r="L95" s="236" t="e">
        <f t="shared" si="5"/>
        <v>#DIV/0!</v>
      </c>
      <c r="N95" s="141"/>
      <c r="O95" s="141"/>
      <c r="P95" s="142"/>
      <c r="Q95" s="143"/>
      <c r="R95" s="141"/>
      <c r="S95" s="141"/>
      <c r="T95" s="142"/>
      <c r="U95" s="143"/>
      <c r="V95" s="141"/>
      <c r="W95" s="141"/>
      <c r="X95" s="142"/>
      <c r="Y95" s="143"/>
      <c r="Z95" s="141"/>
      <c r="AA95" s="141"/>
      <c r="AB95" s="142"/>
      <c r="AC95" s="143"/>
      <c r="AD95" s="141"/>
      <c r="AE95" s="141"/>
      <c r="AF95" s="142"/>
      <c r="AG95" s="143"/>
      <c r="AH95" s="145"/>
      <c r="AI95" s="145"/>
    </row>
    <row r="96" spans="1:35" s="144" customFormat="1" ht="48" hidden="1">
      <c r="A96" s="147" t="s">
        <v>535</v>
      </c>
      <c r="B96" s="149" t="s">
        <v>703</v>
      </c>
      <c r="C96" s="140" t="s">
        <v>704</v>
      </c>
      <c r="D96" s="141"/>
      <c r="E96" s="141"/>
      <c r="F96" s="142"/>
      <c r="G96" s="143"/>
      <c r="H96" s="119">
        <f>H97</f>
        <v>0</v>
      </c>
      <c r="I96" s="119">
        <f>I97</f>
        <v>0</v>
      </c>
      <c r="J96" s="119">
        <f>J97</f>
        <v>0</v>
      </c>
      <c r="K96" s="120">
        <f t="shared" si="4"/>
        <v>0</v>
      </c>
      <c r="L96" s="236" t="e">
        <f t="shared" si="5"/>
        <v>#DIV/0!</v>
      </c>
      <c r="N96" s="141"/>
      <c r="O96" s="141"/>
      <c r="P96" s="142"/>
      <c r="Q96" s="143"/>
      <c r="R96" s="141"/>
      <c r="S96" s="141"/>
      <c r="T96" s="142"/>
      <c r="U96" s="143"/>
      <c r="V96" s="141"/>
      <c r="W96" s="141"/>
      <c r="X96" s="142"/>
      <c r="Y96" s="143"/>
      <c r="Z96" s="141"/>
      <c r="AA96" s="141"/>
      <c r="AB96" s="142"/>
      <c r="AC96" s="143"/>
      <c r="AD96" s="141"/>
      <c r="AE96" s="141"/>
      <c r="AF96" s="142"/>
      <c r="AG96" s="143"/>
      <c r="AH96" s="145"/>
      <c r="AI96" s="145"/>
    </row>
    <row r="97" spans="1:35" s="144" customFormat="1" ht="36" hidden="1">
      <c r="A97" s="147" t="s">
        <v>535</v>
      </c>
      <c r="B97" s="149" t="s">
        <v>705</v>
      </c>
      <c r="C97" s="140" t="s">
        <v>706</v>
      </c>
      <c r="D97" s="141"/>
      <c r="E97" s="141"/>
      <c r="F97" s="142"/>
      <c r="G97" s="143"/>
      <c r="H97" s="119">
        <v>0</v>
      </c>
      <c r="I97" s="119">
        <v>0</v>
      </c>
      <c r="J97" s="119">
        <v>0</v>
      </c>
      <c r="K97" s="120">
        <f t="shared" si="4"/>
        <v>0</v>
      </c>
      <c r="L97" s="236" t="e">
        <f t="shared" si="5"/>
        <v>#DIV/0!</v>
      </c>
      <c r="N97" s="141"/>
      <c r="O97" s="141"/>
      <c r="P97" s="142"/>
      <c r="Q97" s="143"/>
      <c r="R97" s="141"/>
      <c r="S97" s="141"/>
      <c r="T97" s="142"/>
      <c r="U97" s="143"/>
      <c r="V97" s="141"/>
      <c r="W97" s="141"/>
      <c r="X97" s="142"/>
      <c r="Y97" s="143"/>
      <c r="Z97" s="141"/>
      <c r="AA97" s="141"/>
      <c r="AB97" s="142"/>
      <c r="AC97" s="143"/>
      <c r="AD97" s="141"/>
      <c r="AE97" s="141"/>
      <c r="AF97" s="142"/>
      <c r="AG97" s="143"/>
      <c r="AH97" s="145"/>
      <c r="AI97" s="145"/>
    </row>
    <row r="98" spans="1:35" s="144" customFormat="1" ht="60" hidden="1">
      <c r="A98" s="147" t="s">
        <v>535</v>
      </c>
      <c r="B98" s="149" t="s">
        <v>707</v>
      </c>
      <c r="C98" s="140" t="s">
        <v>708</v>
      </c>
      <c r="D98" s="141"/>
      <c r="E98" s="141"/>
      <c r="F98" s="142"/>
      <c r="G98" s="143"/>
      <c r="H98" s="119">
        <f>H99</f>
        <v>0</v>
      </c>
      <c r="I98" s="119">
        <f>I99</f>
        <v>0</v>
      </c>
      <c r="J98" s="119">
        <f>J99</f>
        <v>0</v>
      </c>
      <c r="K98" s="120">
        <f t="shared" si="4"/>
        <v>0</v>
      </c>
      <c r="L98" s="236" t="e">
        <f t="shared" si="5"/>
        <v>#DIV/0!</v>
      </c>
      <c r="N98" s="141"/>
      <c r="O98" s="141"/>
      <c r="P98" s="142"/>
      <c r="Q98" s="143"/>
      <c r="R98" s="141"/>
      <c r="S98" s="141"/>
      <c r="T98" s="142"/>
      <c r="U98" s="143"/>
      <c r="V98" s="141"/>
      <c r="W98" s="141"/>
      <c r="X98" s="142"/>
      <c r="Y98" s="143"/>
      <c r="Z98" s="141"/>
      <c r="AA98" s="141"/>
      <c r="AB98" s="142"/>
      <c r="AC98" s="143"/>
      <c r="AD98" s="141"/>
      <c r="AE98" s="141"/>
      <c r="AF98" s="142"/>
      <c r="AG98" s="143"/>
      <c r="AH98" s="145"/>
      <c r="AI98" s="145"/>
    </row>
    <row r="99" spans="1:35" s="144" customFormat="1" ht="38.25" customHeight="1" hidden="1">
      <c r="A99" s="147" t="s">
        <v>709</v>
      </c>
      <c r="B99" s="149" t="s">
        <v>710</v>
      </c>
      <c r="C99" s="140" t="s">
        <v>711</v>
      </c>
      <c r="D99" s="141"/>
      <c r="E99" s="141"/>
      <c r="F99" s="142"/>
      <c r="G99" s="143"/>
      <c r="H99" s="119">
        <v>0</v>
      </c>
      <c r="I99" s="119">
        <v>0</v>
      </c>
      <c r="J99" s="119">
        <v>0</v>
      </c>
      <c r="K99" s="120">
        <f t="shared" si="4"/>
        <v>0</v>
      </c>
      <c r="L99" s="236" t="e">
        <f t="shared" si="5"/>
        <v>#DIV/0!</v>
      </c>
      <c r="N99" s="141"/>
      <c r="O99" s="141"/>
      <c r="P99" s="142"/>
      <c r="Q99" s="143"/>
      <c r="R99" s="141"/>
      <c r="S99" s="141"/>
      <c r="T99" s="142"/>
      <c r="U99" s="143"/>
      <c r="V99" s="141"/>
      <c r="W99" s="141"/>
      <c r="X99" s="142"/>
      <c r="Y99" s="143"/>
      <c r="Z99" s="141"/>
      <c r="AA99" s="141"/>
      <c r="AB99" s="142"/>
      <c r="AC99" s="143"/>
      <c r="AD99" s="141"/>
      <c r="AE99" s="141"/>
      <c r="AF99" s="142"/>
      <c r="AG99" s="143"/>
      <c r="AH99" s="145"/>
      <c r="AI99" s="145"/>
    </row>
    <row r="100" spans="1:35" s="144" customFormat="1" ht="85.5" customHeight="1">
      <c r="A100" s="147" t="s">
        <v>712</v>
      </c>
      <c r="B100" s="149" t="s">
        <v>713</v>
      </c>
      <c r="C100" s="140" t="s">
        <v>714</v>
      </c>
      <c r="D100" s="141"/>
      <c r="E100" s="141"/>
      <c r="F100" s="142"/>
      <c r="G100" s="143"/>
      <c r="H100" s="119">
        <v>0</v>
      </c>
      <c r="I100" s="119">
        <v>0</v>
      </c>
      <c r="J100" s="119">
        <v>51.9</v>
      </c>
      <c r="K100" s="120">
        <f t="shared" si="4"/>
        <v>-51.9</v>
      </c>
      <c r="L100" s="236" t="e">
        <f t="shared" si="5"/>
        <v>#DIV/0!</v>
      </c>
      <c r="N100" s="141"/>
      <c r="O100" s="141"/>
      <c r="P100" s="142"/>
      <c r="Q100" s="143"/>
      <c r="R100" s="141"/>
      <c r="S100" s="141"/>
      <c r="T100" s="142"/>
      <c r="U100" s="143"/>
      <c r="V100" s="141"/>
      <c r="W100" s="141"/>
      <c r="X100" s="142"/>
      <c r="Y100" s="143"/>
      <c r="Z100" s="141"/>
      <c r="AA100" s="141"/>
      <c r="AB100" s="142"/>
      <c r="AC100" s="143"/>
      <c r="AD100" s="141"/>
      <c r="AE100" s="141"/>
      <c r="AF100" s="142"/>
      <c r="AG100" s="143"/>
      <c r="AH100" s="145"/>
      <c r="AI100" s="145"/>
    </row>
    <row r="101" spans="1:35" s="144" customFormat="1" ht="39.75" customHeight="1">
      <c r="A101" s="147" t="s">
        <v>535</v>
      </c>
      <c r="B101" s="149" t="s">
        <v>715</v>
      </c>
      <c r="C101" s="140" t="s">
        <v>716</v>
      </c>
      <c r="D101" s="141"/>
      <c r="E101" s="141"/>
      <c r="F101" s="142"/>
      <c r="G101" s="143"/>
      <c r="H101" s="119">
        <f>H102</f>
        <v>1550</v>
      </c>
      <c r="I101" s="119">
        <f>I102</f>
        <v>1162.5</v>
      </c>
      <c r="J101" s="119">
        <f>J102</f>
        <v>512.1</v>
      </c>
      <c r="K101" s="120">
        <f t="shared" si="4"/>
        <v>1037.9</v>
      </c>
      <c r="L101" s="236">
        <f t="shared" si="5"/>
        <v>0.3303870967741936</v>
      </c>
      <c r="N101" s="141"/>
      <c r="O101" s="141"/>
      <c r="P101" s="142"/>
      <c r="Q101" s="143"/>
      <c r="R101" s="141"/>
      <c r="S101" s="141"/>
      <c r="T101" s="142"/>
      <c r="U101" s="143"/>
      <c r="V101" s="141"/>
      <c r="W101" s="141"/>
      <c r="X101" s="142"/>
      <c r="Y101" s="143"/>
      <c r="Z101" s="141"/>
      <c r="AA101" s="141"/>
      <c r="AB101" s="142"/>
      <c r="AC101" s="143"/>
      <c r="AD101" s="141"/>
      <c r="AE101" s="141"/>
      <c r="AF101" s="142"/>
      <c r="AG101" s="143"/>
      <c r="AH101" s="145"/>
      <c r="AI101" s="145"/>
    </row>
    <row r="102" spans="1:35" s="101" customFormat="1" ht="60">
      <c r="A102" s="147" t="s">
        <v>535</v>
      </c>
      <c r="B102" s="149" t="s">
        <v>717</v>
      </c>
      <c r="C102" s="140" t="s">
        <v>718</v>
      </c>
      <c r="D102" s="97"/>
      <c r="E102" s="97"/>
      <c r="F102" s="98"/>
      <c r="G102" s="99"/>
      <c r="H102" s="119">
        <v>1550</v>
      </c>
      <c r="I102" s="119">
        <v>1162.5</v>
      </c>
      <c r="J102" s="119">
        <v>512.1</v>
      </c>
      <c r="K102" s="120">
        <f t="shared" si="4"/>
        <v>1037.9</v>
      </c>
      <c r="L102" s="236">
        <f t="shared" si="5"/>
        <v>0.3303870967741936</v>
      </c>
      <c r="N102" s="97"/>
      <c r="O102" s="97"/>
      <c r="P102" s="98"/>
      <c r="Q102" s="99"/>
      <c r="R102" s="97"/>
      <c r="S102" s="97"/>
      <c r="T102" s="98"/>
      <c r="U102" s="99"/>
      <c r="V102" s="97"/>
      <c r="W102" s="97"/>
      <c r="X102" s="98"/>
      <c r="Y102" s="99"/>
      <c r="Z102" s="97"/>
      <c r="AA102" s="97"/>
      <c r="AB102" s="98"/>
      <c r="AC102" s="99"/>
      <c r="AD102" s="97"/>
      <c r="AE102" s="97"/>
      <c r="AF102" s="98"/>
      <c r="AG102" s="99"/>
      <c r="AH102" s="102"/>
      <c r="AI102" s="102"/>
    </row>
    <row r="103" spans="1:35" s="101" customFormat="1" ht="12">
      <c r="A103" s="94" t="s">
        <v>535</v>
      </c>
      <c r="B103" s="135" t="s">
        <v>719</v>
      </c>
      <c r="C103" s="96" t="s">
        <v>720</v>
      </c>
      <c r="D103" s="97">
        <f>SUM(H103,N103)</f>
        <v>150</v>
      </c>
      <c r="E103" s="97">
        <f>SUM(J103,O103)</f>
        <v>52</v>
      </c>
      <c r="F103" s="98">
        <f>E103/D103</f>
        <v>0.3466666666666667</v>
      </c>
      <c r="G103" s="99">
        <f>E103-D103</f>
        <v>-98</v>
      </c>
      <c r="H103" s="100">
        <f>SUM(H104:H105)</f>
        <v>0</v>
      </c>
      <c r="I103" s="100">
        <f>SUM(I104:I105)</f>
        <v>0</v>
      </c>
      <c r="J103" s="100">
        <f>SUM(J104:J105)</f>
        <v>8.5</v>
      </c>
      <c r="K103" s="91">
        <f t="shared" si="4"/>
        <v>-8.5</v>
      </c>
      <c r="L103" s="235" t="e">
        <f t="shared" si="5"/>
        <v>#DIV/0!</v>
      </c>
      <c r="N103" s="97">
        <f>SUM(R103,V103,Z103,AD103)</f>
        <v>150</v>
      </c>
      <c r="O103" s="97">
        <f>SUM(S103,W103,AA103,AE103)</f>
        <v>43.5</v>
      </c>
      <c r="P103" s="98">
        <f>O103/N103</f>
        <v>0.29</v>
      </c>
      <c r="Q103" s="99">
        <f>O103-N103</f>
        <v>-106.5</v>
      </c>
      <c r="R103" s="97">
        <v>150</v>
      </c>
      <c r="S103" s="97">
        <v>13.5</v>
      </c>
      <c r="T103" s="98">
        <f>S103/R103</f>
        <v>0.09</v>
      </c>
      <c r="U103" s="99">
        <f>S103-R103</f>
        <v>-136.5</v>
      </c>
      <c r="V103" s="97"/>
      <c r="W103" s="97">
        <v>30</v>
      </c>
      <c r="X103" s="98" t="e">
        <f>W103/V103</f>
        <v>#DIV/0!</v>
      </c>
      <c r="Y103" s="99">
        <f>W103-V103</f>
        <v>30</v>
      </c>
      <c r="Z103" s="97"/>
      <c r="AA103" s="97"/>
      <c r="AB103" s="98" t="e">
        <f>AA103/Z103</f>
        <v>#DIV/0!</v>
      </c>
      <c r="AC103" s="99">
        <f>AA103-Z103</f>
        <v>0</v>
      </c>
      <c r="AD103" s="97"/>
      <c r="AE103" s="97"/>
      <c r="AF103" s="98" t="e">
        <f>AE103/AD103</f>
        <v>#DIV/0!</v>
      </c>
      <c r="AG103" s="99">
        <f>AE103-AD103</f>
        <v>0</v>
      </c>
      <c r="AH103" s="102"/>
      <c r="AI103" s="102"/>
    </row>
    <row r="104" spans="1:35" s="101" customFormat="1" ht="36" hidden="1">
      <c r="A104" s="147" t="s">
        <v>535</v>
      </c>
      <c r="B104" s="149" t="s">
        <v>721</v>
      </c>
      <c r="C104" s="140" t="s">
        <v>722</v>
      </c>
      <c r="D104" s="97"/>
      <c r="E104" s="97"/>
      <c r="F104" s="98"/>
      <c r="G104" s="99"/>
      <c r="H104" s="119">
        <v>0</v>
      </c>
      <c r="I104" s="119">
        <v>0</v>
      </c>
      <c r="J104" s="119">
        <v>0</v>
      </c>
      <c r="K104" s="120">
        <f t="shared" si="4"/>
        <v>0</v>
      </c>
      <c r="L104" s="236" t="e">
        <f t="shared" si="5"/>
        <v>#DIV/0!</v>
      </c>
      <c r="N104" s="97"/>
      <c r="O104" s="97"/>
      <c r="P104" s="98"/>
      <c r="Q104" s="99"/>
      <c r="R104" s="97"/>
      <c r="S104" s="97"/>
      <c r="T104" s="98"/>
      <c r="U104" s="99"/>
      <c r="V104" s="97"/>
      <c r="W104" s="97"/>
      <c r="X104" s="98"/>
      <c r="Y104" s="99"/>
      <c r="Z104" s="97"/>
      <c r="AA104" s="97"/>
      <c r="AB104" s="98"/>
      <c r="AC104" s="99"/>
      <c r="AD104" s="97"/>
      <c r="AE104" s="97"/>
      <c r="AF104" s="98"/>
      <c r="AG104" s="99"/>
      <c r="AH104" s="102"/>
      <c r="AI104" s="102"/>
    </row>
    <row r="105" spans="1:35" s="101" customFormat="1" ht="36">
      <c r="A105" s="147" t="s">
        <v>535</v>
      </c>
      <c r="B105" s="149" t="s">
        <v>723</v>
      </c>
      <c r="C105" s="140" t="s">
        <v>724</v>
      </c>
      <c r="D105" s="97"/>
      <c r="E105" s="97"/>
      <c r="F105" s="98"/>
      <c r="G105" s="99"/>
      <c r="H105" s="119">
        <v>0</v>
      </c>
      <c r="I105" s="119">
        <v>0</v>
      </c>
      <c r="J105" s="119">
        <v>8.5</v>
      </c>
      <c r="K105" s="91">
        <f t="shared" si="4"/>
        <v>-8.5</v>
      </c>
      <c r="L105" s="235" t="e">
        <f t="shared" si="5"/>
        <v>#DIV/0!</v>
      </c>
      <c r="N105" s="97"/>
      <c r="O105" s="97"/>
      <c r="P105" s="98"/>
      <c r="Q105" s="99"/>
      <c r="R105" s="97"/>
      <c r="S105" s="97"/>
      <c r="T105" s="98"/>
      <c r="U105" s="99"/>
      <c r="V105" s="97"/>
      <c r="W105" s="97"/>
      <c r="X105" s="98"/>
      <c r="Y105" s="99"/>
      <c r="Z105" s="97"/>
      <c r="AA105" s="97"/>
      <c r="AB105" s="98"/>
      <c r="AC105" s="99"/>
      <c r="AD105" s="97"/>
      <c r="AE105" s="97"/>
      <c r="AF105" s="98"/>
      <c r="AG105" s="99"/>
      <c r="AH105" s="102"/>
      <c r="AI105" s="102"/>
    </row>
    <row r="106" spans="1:35" s="156" customFormat="1" ht="24">
      <c r="A106" s="150" t="s">
        <v>535</v>
      </c>
      <c r="B106" s="151" t="s">
        <v>725</v>
      </c>
      <c r="C106" s="152" t="s">
        <v>726</v>
      </c>
      <c r="D106" s="153">
        <f>SUM(H106,N106)</f>
        <v>955679.3000000002</v>
      </c>
      <c r="E106" s="153">
        <f>SUM(J106,O106)</f>
        <v>478323.3000000001</v>
      </c>
      <c r="F106" s="154">
        <f>E106/D106</f>
        <v>0.5005060798115016</v>
      </c>
      <c r="G106" s="155">
        <f>E106-D106</f>
        <v>-477356.00000000006</v>
      </c>
      <c r="H106" s="100">
        <f>H107+H263+H253+H257</f>
        <v>865862.1000000002</v>
      </c>
      <c r="I106" s="100">
        <f>I107+I263+I253+I257</f>
        <v>880911.7000000001</v>
      </c>
      <c r="J106" s="100">
        <f>J107+J263+J253+J257</f>
        <v>467842.8000000001</v>
      </c>
      <c r="K106" s="91">
        <f t="shared" si="4"/>
        <v>398019.3000000001</v>
      </c>
      <c r="L106" s="235">
        <f t="shared" si="5"/>
        <v>0.5403202195823099</v>
      </c>
      <c r="N106" s="153">
        <f>SUM(R106,V106,Z106,AD106)</f>
        <v>89817.2</v>
      </c>
      <c r="O106" s="153">
        <f>SUM(S106,W106,AA106,AE106)</f>
        <v>10480.5</v>
      </c>
      <c r="P106" s="154">
        <f>O106/N106</f>
        <v>0.11668700427089689</v>
      </c>
      <c r="Q106" s="155">
        <f>O106-N106</f>
        <v>-79336.7</v>
      </c>
      <c r="R106" s="153">
        <v>27002.8</v>
      </c>
      <c r="S106" s="153">
        <v>2818.1</v>
      </c>
      <c r="T106" s="154">
        <f>S106/R106</f>
        <v>0.10436325121839217</v>
      </c>
      <c r="U106" s="155">
        <f>S106-R106</f>
        <v>-24184.7</v>
      </c>
      <c r="V106" s="153">
        <v>26650.8</v>
      </c>
      <c r="W106" s="153">
        <v>2977.5</v>
      </c>
      <c r="X106" s="154">
        <f>W106/V106</f>
        <v>0.11172272502138773</v>
      </c>
      <c r="Y106" s="155">
        <f>W106-V106</f>
        <v>-23673.3</v>
      </c>
      <c r="Z106" s="153">
        <v>21551.8</v>
      </c>
      <c r="AA106" s="153">
        <v>3365.7</v>
      </c>
      <c r="AB106" s="154">
        <f>AA106/Z106</f>
        <v>0.15616793028888537</v>
      </c>
      <c r="AC106" s="155">
        <f>AA106-Z106</f>
        <v>-18186.1</v>
      </c>
      <c r="AD106" s="153">
        <v>14611.8</v>
      </c>
      <c r="AE106" s="153">
        <v>1319.2</v>
      </c>
      <c r="AF106" s="154">
        <f>AE106/AD106</f>
        <v>0.09028319577327913</v>
      </c>
      <c r="AG106" s="155">
        <f>AE106-AD106</f>
        <v>-13292.599999999999</v>
      </c>
      <c r="AH106" s="157">
        <f>SUM(R106,V106,Z106,AD106)</f>
        <v>89817.2</v>
      </c>
      <c r="AI106" s="157">
        <f>SUM(S106,W106,AA106,AE106)</f>
        <v>10480.5</v>
      </c>
    </row>
    <row r="107" spans="1:35" s="156" customFormat="1" ht="48">
      <c r="A107" s="158" t="s">
        <v>535</v>
      </c>
      <c r="B107" s="95" t="s">
        <v>727</v>
      </c>
      <c r="C107" s="152" t="s">
        <v>728</v>
      </c>
      <c r="D107" s="153"/>
      <c r="E107" s="153"/>
      <c r="F107" s="154"/>
      <c r="G107" s="155"/>
      <c r="H107" s="100">
        <f>H108+H113+H131+H188</f>
        <v>865862.1000000002</v>
      </c>
      <c r="I107" s="100">
        <f>I108+I113+I131+I188</f>
        <v>880811.8</v>
      </c>
      <c r="J107" s="100">
        <f>J108+J113+J131+J188</f>
        <v>476267.8000000001</v>
      </c>
      <c r="K107" s="91">
        <f t="shared" si="4"/>
        <v>389594.3000000001</v>
      </c>
      <c r="L107" s="235">
        <f t="shared" si="5"/>
        <v>0.5500504064099815</v>
      </c>
      <c r="N107" s="153"/>
      <c r="O107" s="153"/>
      <c r="P107" s="154"/>
      <c r="Q107" s="155"/>
      <c r="R107" s="153"/>
      <c r="S107" s="153"/>
      <c r="T107" s="154"/>
      <c r="U107" s="155"/>
      <c r="V107" s="153"/>
      <c r="W107" s="153"/>
      <c r="X107" s="154"/>
      <c r="Y107" s="155"/>
      <c r="Z107" s="153"/>
      <c r="AA107" s="153"/>
      <c r="AB107" s="154"/>
      <c r="AC107" s="155"/>
      <c r="AD107" s="153"/>
      <c r="AE107" s="153"/>
      <c r="AF107" s="154"/>
      <c r="AG107" s="155"/>
      <c r="AH107" s="157"/>
      <c r="AI107" s="157"/>
    </row>
    <row r="108" spans="1:35" s="101" customFormat="1" ht="36">
      <c r="A108" s="159" t="s">
        <v>535</v>
      </c>
      <c r="B108" s="124" t="s">
        <v>729</v>
      </c>
      <c r="C108" s="96" t="s">
        <v>730</v>
      </c>
      <c r="D108" s="97"/>
      <c r="E108" s="97"/>
      <c r="F108" s="98"/>
      <c r="G108" s="99"/>
      <c r="H108" s="100">
        <f>H109+H112</f>
        <v>261601.5</v>
      </c>
      <c r="I108" s="100">
        <f>I109+I112</f>
        <v>747680.4</v>
      </c>
      <c r="J108" s="100">
        <f>J109+J112</f>
        <v>112524.5</v>
      </c>
      <c r="K108" s="91">
        <f t="shared" si="4"/>
        <v>149077</v>
      </c>
      <c r="L108" s="235">
        <f t="shared" si="5"/>
        <v>0.43013705961166127</v>
      </c>
      <c r="N108" s="97"/>
      <c r="O108" s="97"/>
      <c r="P108" s="98"/>
      <c r="Q108" s="99"/>
      <c r="R108" s="97"/>
      <c r="S108" s="97"/>
      <c r="T108" s="98"/>
      <c r="U108" s="99"/>
      <c r="V108" s="97"/>
      <c r="W108" s="97"/>
      <c r="X108" s="98"/>
      <c r="Y108" s="99"/>
      <c r="Z108" s="97"/>
      <c r="AA108" s="97"/>
      <c r="AB108" s="98"/>
      <c r="AC108" s="99"/>
      <c r="AD108" s="97"/>
      <c r="AE108" s="97"/>
      <c r="AF108" s="98"/>
      <c r="AG108" s="99"/>
      <c r="AH108" s="102"/>
      <c r="AI108" s="102"/>
    </row>
    <row r="109" spans="1:35" s="156" customFormat="1" ht="24">
      <c r="A109" s="147" t="s">
        <v>535</v>
      </c>
      <c r="B109" s="149" t="s">
        <v>731</v>
      </c>
      <c r="C109" s="140" t="s">
        <v>732</v>
      </c>
      <c r="D109" s="153"/>
      <c r="E109" s="153"/>
      <c r="F109" s="154"/>
      <c r="G109" s="155"/>
      <c r="H109" s="119">
        <f>H110</f>
        <v>182376.5</v>
      </c>
      <c r="I109" s="119">
        <f>SUM(I110:I112)</f>
        <v>560760.3</v>
      </c>
      <c r="J109" s="119">
        <f>J110</f>
        <v>79514.1</v>
      </c>
      <c r="K109" s="120">
        <f t="shared" si="4"/>
        <v>102862.4</v>
      </c>
      <c r="L109" s="236">
        <f t="shared" si="5"/>
        <v>0.43598873758406376</v>
      </c>
      <c r="N109" s="153"/>
      <c r="O109" s="153"/>
      <c r="P109" s="154"/>
      <c r="Q109" s="155"/>
      <c r="R109" s="153"/>
      <c r="S109" s="153"/>
      <c r="T109" s="154"/>
      <c r="U109" s="155"/>
      <c r="V109" s="153"/>
      <c r="W109" s="153"/>
      <c r="X109" s="154"/>
      <c r="Y109" s="155"/>
      <c r="Z109" s="153"/>
      <c r="AA109" s="153"/>
      <c r="AB109" s="154"/>
      <c r="AC109" s="155"/>
      <c r="AD109" s="153"/>
      <c r="AE109" s="153"/>
      <c r="AF109" s="154"/>
      <c r="AG109" s="155"/>
      <c r="AH109" s="157"/>
      <c r="AI109" s="157"/>
    </row>
    <row r="110" spans="1:35" s="121" customFormat="1" ht="48">
      <c r="A110" s="136">
        <v>711</v>
      </c>
      <c r="B110" s="114" t="s">
        <v>733</v>
      </c>
      <c r="C110" s="115" t="s">
        <v>734</v>
      </c>
      <c r="D110" s="116">
        <f>SUM(H110,N110)</f>
        <v>195450.4</v>
      </c>
      <c r="E110" s="116">
        <f>SUM(J110,O110)</f>
        <v>82782.5</v>
      </c>
      <c r="F110" s="117">
        <f>E110/D110</f>
        <v>0.4235473552369297</v>
      </c>
      <c r="G110" s="118">
        <f>E110-D110</f>
        <v>-112667.9</v>
      </c>
      <c r="H110" s="119">
        <v>182376.5</v>
      </c>
      <c r="I110" s="119">
        <v>186920.1</v>
      </c>
      <c r="J110" s="119">
        <v>79514.1</v>
      </c>
      <c r="K110" s="120">
        <f t="shared" si="4"/>
        <v>102862.4</v>
      </c>
      <c r="L110" s="236">
        <f t="shared" si="5"/>
        <v>0.43598873758406376</v>
      </c>
      <c r="N110" s="116">
        <f aca="true" t="shared" si="6" ref="N110:O113">SUM(R110,V110,Z110,AD110)</f>
        <v>13073.9</v>
      </c>
      <c r="O110" s="116">
        <f t="shared" si="6"/>
        <v>3268.4</v>
      </c>
      <c r="P110" s="117">
        <f>O110/N110</f>
        <v>0.24999426337971073</v>
      </c>
      <c r="Q110" s="118">
        <f>O110-N110</f>
        <v>-9805.5</v>
      </c>
      <c r="R110" s="116">
        <v>9767.2</v>
      </c>
      <c r="S110" s="116">
        <v>2441.8</v>
      </c>
      <c r="T110" s="117">
        <f>S110/R110</f>
        <v>0.25</v>
      </c>
      <c r="U110" s="118">
        <f>S110-R110</f>
        <v>-7325.400000000001</v>
      </c>
      <c r="V110" s="116">
        <v>1627.5</v>
      </c>
      <c r="W110" s="116">
        <v>406.9</v>
      </c>
      <c r="X110" s="117">
        <f>W110/V110</f>
        <v>0.2500153609831029</v>
      </c>
      <c r="Y110" s="118">
        <f>W110-V110</f>
        <v>-1220.6</v>
      </c>
      <c r="Z110" s="116">
        <v>1336.9</v>
      </c>
      <c r="AA110" s="116">
        <v>334.2</v>
      </c>
      <c r="AB110" s="117">
        <f>AA110/Z110</f>
        <v>0.24998130002243996</v>
      </c>
      <c r="AC110" s="118">
        <f>AA110-Z110</f>
        <v>-1002.7</v>
      </c>
      <c r="AD110" s="116">
        <v>342.3</v>
      </c>
      <c r="AE110" s="116">
        <v>85.5</v>
      </c>
      <c r="AF110" s="117">
        <f>AE110/AD110</f>
        <v>0.24978089395267308</v>
      </c>
      <c r="AG110" s="118">
        <f>AE110-AD110</f>
        <v>-256.8</v>
      </c>
      <c r="AH110" s="122"/>
      <c r="AI110" s="122"/>
    </row>
    <row r="111" spans="1:35" s="121" customFormat="1" ht="48" hidden="1">
      <c r="A111" s="136">
        <v>711</v>
      </c>
      <c r="B111" s="114" t="s">
        <v>735</v>
      </c>
      <c r="C111" s="115" t="s">
        <v>736</v>
      </c>
      <c r="D111" s="116">
        <f>SUM(H111,N111)</f>
        <v>13073.9</v>
      </c>
      <c r="E111" s="116">
        <f>SUM(J111,O111)</f>
        <v>3268.4</v>
      </c>
      <c r="F111" s="117">
        <f>E111/D111</f>
        <v>0.24999426337971073</v>
      </c>
      <c r="G111" s="118">
        <f>E111-D111</f>
        <v>-9805.5</v>
      </c>
      <c r="H111" s="119">
        <v>0</v>
      </c>
      <c r="I111" s="119">
        <v>186920.1</v>
      </c>
      <c r="J111" s="119">
        <v>0</v>
      </c>
      <c r="K111" s="120">
        <f t="shared" si="4"/>
        <v>0</v>
      </c>
      <c r="L111" s="236" t="e">
        <f t="shared" si="5"/>
        <v>#DIV/0!</v>
      </c>
      <c r="N111" s="116">
        <f t="shared" si="6"/>
        <v>13073.9</v>
      </c>
      <c r="O111" s="116">
        <f t="shared" si="6"/>
        <v>3268.4</v>
      </c>
      <c r="P111" s="117">
        <f>O111/N111</f>
        <v>0.24999426337971073</v>
      </c>
      <c r="Q111" s="118">
        <f>O111-N111</f>
        <v>-9805.5</v>
      </c>
      <c r="R111" s="116">
        <v>9767.2</v>
      </c>
      <c r="S111" s="116">
        <v>2441.8</v>
      </c>
      <c r="T111" s="117">
        <f>S111/R111</f>
        <v>0.25</v>
      </c>
      <c r="U111" s="118">
        <f>S111-R111</f>
        <v>-7325.400000000001</v>
      </c>
      <c r="V111" s="116">
        <v>1627.5</v>
      </c>
      <c r="W111" s="116">
        <v>406.9</v>
      </c>
      <c r="X111" s="117">
        <f>W111/V111</f>
        <v>0.2500153609831029</v>
      </c>
      <c r="Y111" s="118">
        <f>W111-V111</f>
        <v>-1220.6</v>
      </c>
      <c r="Z111" s="116">
        <v>1336.9</v>
      </c>
      <c r="AA111" s="116">
        <v>334.2</v>
      </c>
      <c r="AB111" s="117">
        <f>AA111/Z111</f>
        <v>0.24998130002243996</v>
      </c>
      <c r="AC111" s="118">
        <f>AA111-Z111</f>
        <v>-1002.7</v>
      </c>
      <c r="AD111" s="116">
        <v>342.3</v>
      </c>
      <c r="AE111" s="116">
        <v>85.5</v>
      </c>
      <c r="AF111" s="117">
        <f>AE111/AD111</f>
        <v>0.24978089395267308</v>
      </c>
      <c r="AG111" s="118">
        <f>AE111-AD111</f>
        <v>-256.8</v>
      </c>
      <c r="AH111" s="122"/>
      <c r="AI111" s="122"/>
    </row>
    <row r="112" spans="1:35" s="121" customFormat="1" ht="24">
      <c r="A112" s="136">
        <v>711</v>
      </c>
      <c r="B112" s="114" t="s">
        <v>737</v>
      </c>
      <c r="C112" s="115" t="s">
        <v>738</v>
      </c>
      <c r="D112" s="116">
        <f>SUM(H112,N112)</f>
        <v>92298.9</v>
      </c>
      <c r="E112" s="116">
        <f>SUM(J112,O112)</f>
        <v>36278.8</v>
      </c>
      <c r="F112" s="117">
        <f>E112/D112</f>
        <v>0.3930577720861246</v>
      </c>
      <c r="G112" s="118">
        <f>E112-D112</f>
        <v>-56020.09999999999</v>
      </c>
      <c r="H112" s="119">
        <v>79225</v>
      </c>
      <c r="I112" s="119">
        <v>186920.1</v>
      </c>
      <c r="J112" s="119">
        <v>33010.4</v>
      </c>
      <c r="K112" s="120">
        <f t="shared" si="4"/>
        <v>46214.6</v>
      </c>
      <c r="L112" s="236">
        <f t="shared" si="5"/>
        <v>0.4166664562953613</v>
      </c>
      <c r="N112" s="116">
        <f t="shared" si="6"/>
        <v>13073.9</v>
      </c>
      <c r="O112" s="116">
        <f t="shared" si="6"/>
        <v>3268.4</v>
      </c>
      <c r="P112" s="117">
        <f>O112/N112</f>
        <v>0.24999426337971073</v>
      </c>
      <c r="Q112" s="118">
        <f>O112-N112</f>
        <v>-9805.5</v>
      </c>
      <c r="R112" s="116">
        <v>9767.2</v>
      </c>
      <c r="S112" s="116">
        <v>2441.8</v>
      </c>
      <c r="T112" s="117">
        <f>S112/R112</f>
        <v>0.25</v>
      </c>
      <c r="U112" s="118">
        <f>S112-R112</f>
        <v>-7325.400000000001</v>
      </c>
      <c r="V112" s="116">
        <v>1627.5</v>
      </c>
      <c r="W112" s="116">
        <v>406.9</v>
      </c>
      <c r="X112" s="117">
        <f>W112/V112</f>
        <v>0.2500153609831029</v>
      </c>
      <c r="Y112" s="118">
        <f>W112-V112</f>
        <v>-1220.6</v>
      </c>
      <c r="Z112" s="116">
        <v>1336.9</v>
      </c>
      <c r="AA112" s="116">
        <v>334.2</v>
      </c>
      <c r="AB112" s="117">
        <f>AA112/Z112</f>
        <v>0.24998130002243996</v>
      </c>
      <c r="AC112" s="118">
        <f>AA112-Z112</f>
        <v>-1002.7</v>
      </c>
      <c r="AD112" s="116">
        <v>342.3</v>
      </c>
      <c r="AE112" s="116">
        <v>85.5</v>
      </c>
      <c r="AF112" s="117">
        <f>AE112/AD112</f>
        <v>0.24978089395267308</v>
      </c>
      <c r="AG112" s="118">
        <f>AE112-AD112</f>
        <v>-256.8</v>
      </c>
      <c r="AH112" s="122"/>
      <c r="AI112" s="122"/>
    </row>
    <row r="113" spans="1:35" s="101" customFormat="1" ht="48">
      <c r="A113" s="94" t="s">
        <v>535</v>
      </c>
      <c r="B113" s="135" t="s">
        <v>739</v>
      </c>
      <c r="C113" s="96" t="s">
        <v>740</v>
      </c>
      <c r="D113" s="97">
        <f>SUM(H113,N113)</f>
        <v>49383.899999999994</v>
      </c>
      <c r="E113" s="97">
        <f>SUM(J113,O113)</f>
        <v>16411.4</v>
      </c>
      <c r="F113" s="98">
        <f>E113/D113</f>
        <v>0.3323228825588907</v>
      </c>
      <c r="G113" s="99">
        <f>E113-D113</f>
        <v>-32972.49999999999</v>
      </c>
      <c r="H113" s="262">
        <f>H118+H120+H122+H130+H114+H1220+H128+H125</f>
        <v>994.5</v>
      </c>
      <c r="I113" s="262">
        <f>I118+I120+I122+I130+I114+I1220+I128+I125</f>
        <v>84621.4</v>
      </c>
      <c r="J113" s="262">
        <f>J118+J120+J122+J130+J114+J1220+J128+J125</f>
        <v>16092.2</v>
      </c>
      <c r="K113" s="263">
        <f t="shared" si="4"/>
        <v>-15097.7</v>
      </c>
      <c r="L113" s="264">
        <f t="shared" si="5"/>
        <v>16.18119658119658</v>
      </c>
      <c r="N113" s="97">
        <f t="shared" si="6"/>
        <v>48389.399999999994</v>
      </c>
      <c r="O113" s="97">
        <f t="shared" si="6"/>
        <v>319.2</v>
      </c>
      <c r="P113" s="98">
        <f>O113/N113</f>
        <v>0.0065964860072660544</v>
      </c>
      <c r="Q113" s="99">
        <f>O113-N113</f>
        <v>-48070.2</v>
      </c>
      <c r="R113" s="97">
        <v>16764.7</v>
      </c>
      <c r="S113" s="97">
        <v>319.2</v>
      </c>
      <c r="T113" s="98">
        <f>S113/R113</f>
        <v>0.019040006680704095</v>
      </c>
      <c r="U113" s="99">
        <f>S113-R113</f>
        <v>-16445.5</v>
      </c>
      <c r="V113" s="97">
        <v>13905</v>
      </c>
      <c r="W113" s="97"/>
      <c r="X113" s="98">
        <f>W113/V113</f>
        <v>0</v>
      </c>
      <c r="Y113" s="99">
        <f>W113-V113</f>
        <v>-13905</v>
      </c>
      <c r="Z113" s="97">
        <v>8802.9</v>
      </c>
      <c r="AA113" s="97"/>
      <c r="AB113" s="98">
        <f>AA113/Z113</f>
        <v>0</v>
      </c>
      <c r="AC113" s="99">
        <f>AA113-Z113</f>
        <v>-8802.9</v>
      </c>
      <c r="AD113" s="97">
        <v>8916.8</v>
      </c>
      <c r="AE113" s="97"/>
      <c r="AF113" s="98">
        <f>AE113/AD113</f>
        <v>0</v>
      </c>
      <c r="AG113" s="99">
        <f>AE113-AD113</f>
        <v>-8916.8</v>
      </c>
      <c r="AH113" s="102"/>
      <c r="AI113" s="102"/>
    </row>
    <row r="114" spans="1:35" s="144" customFormat="1" ht="36" hidden="1">
      <c r="A114" s="147" t="s">
        <v>535</v>
      </c>
      <c r="B114" s="149" t="s">
        <v>741</v>
      </c>
      <c r="C114" s="140" t="s">
        <v>742</v>
      </c>
      <c r="D114" s="141"/>
      <c r="E114" s="141"/>
      <c r="F114" s="142"/>
      <c r="G114" s="143"/>
      <c r="H114" s="119">
        <f>H115</f>
        <v>0</v>
      </c>
      <c r="I114" s="119">
        <f>I115</f>
        <v>151.6</v>
      </c>
      <c r="J114" s="119">
        <f>J115</f>
        <v>0</v>
      </c>
      <c r="K114" s="91">
        <f t="shared" si="4"/>
        <v>0</v>
      </c>
      <c r="L114" s="235" t="e">
        <f t="shared" si="5"/>
        <v>#DIV/0!</v>
      </c>
      <c r="N114" s="141"/>
      <c r="O114" s="141"/>
      <c r="P114" s="142"/>
      <c r="Q114" s="143"/>
      <c r="R114" s="141"/>
      <c r="S114" s="141"/>
      <c r="T114" s="142"/>
      <c r="U114" s="143"/>
      <c r="V114" s="141"/>
      <c r="W114" s="141"/>
      <c r="X114" s="142"/>
      <c r="Y114" s="143"/>
      <c r="Z114" s="141"/>
      <c r="AA114" s="141"/>
      <c r="AB114" s="142"/>
      <c r="AC114" s="143"/>
      <c r="AD114" s="141"/>
      <c r="AE114" s="141"/>
      <c r="AF114" s="142"/>
      <c r="AG114" s="143"/>
      <c r="AH114" s="145"/>
      <c r="AI114" s="145"/>
    </row>
    <row r="115" spans="1:35" s="144" customFormat="1" ht="48" hidden="1">
      <c r="A115" s="147" t="s">
        <v>535</v>
      </c>
      <c r="B115" s="149" t="s">
        <v>743</v>
      </c>
      <c r="C115" s="140" t="s">
        <v>744</v>
      </c>
      <c r="D115" s="141"/>
      <c r="E115" s="141"/>
      <c r="F115" s="142"/>
      <c r="G115" s="143"/>
      <c r="H115" s="119">
        <v>0</v>
      </c>
      <c r="I115" s="119">
        <v>151.6</v>
      </c>
      <c r="J115" s="119">
        <v>0</v>
      </c>
      <c r="K115" s="91">
        <f t="shared" si="4"/>
        <v>0</v>
      </c>
      <c r="L115" s="235" t="e">
        <f t="shared" si="5"/>
        <v>#DIV/0!</v>
      </c>
      <c r="N115" s="141"/>
      <c r="O115" s="141"/>
      <c r="P115" s="142"/>
      <c r="Q115" s="143"/>
      <c r="R115" s="141"/>
      <c r="S115" s="141"/>
      <c r="T115" s="142"/>
      <c r="U115" s="143"/>
      <c r="V115" s="141"/>
      <c r="W115" s="141"/>
      <c r="X115" s="142"/>
      <c r="Y115" s="143"/>
      <c r="Z115" s="141"/>
      <c r="AA115" s="141"/>
      <c r="AB115" s="142"/>
      <c r="AC115" s="143"/>
      <c r="AD115" s="141"/>
      <c r="AE115" s="141"/>
      <c r="AF115" s="142"/>
      <c r="AG115" s="143"/>
      <c r="AH115" s="145"/>
      <c r="AI115" s="145"/>
    </row>
    <row r="116" spans="1:35" s="144" customFormat="1" ht="36" hidden="1">
      <c r="A116" s="147" t="s">
        <v>535</v>
      </c>
      <c r="B116" s="149" t="s">
        <v>745</v>
      </c>
      <c r="C116" s="140" t="s">
        <v>746</v>
      </c>
      <c r="D116" s="141"/>
      <c r="E116" s="141"/>
      <c r="F116" s="142"/>
      <c r="G116" s="143"/>
      <c r="H116" s="119">
        <f>H117</f>
        <v>0</v>
      </c>
      <c r="I116" s="119">
        <f>I117</f>
        <v>0</v>
      </c>
      <c r="J116" s="119">
        <f>J117</f>
        <v>0</v>
      </c>
      <c r="K116" s="91">
        <f t="shared" si="4"/>
        <v>0</v>
      </c>
      <c r="L116" s="235" t="e">
        <f t="shared" si="5"/>
        <v>#DIV/0!</v>
      </c>
      <c r="N116" s="141"/>
      <c r="O116" s="141"/>
      <c r="P116" s="142"/>
      <c r="Q116" s="143"/>
      <c r="R116" s="141"/>
      <c r="S116" s="141"/>
      <c r="T116" s="142"/>
      <c r="U116" s="143"/>
      <c r="V116" s="141"/>
      <c r="W116" s="141"/>
      <c r="X116" s="142"/>
      <c r="Y116" s="143"/>
      <c r="Z116" s="141"/>
      <c r="AA116" s="141"/>
      <c r="AB116" s="142"/>
      <c r="AC116" s="143"/>
      <c r="AD116" s="141"/>
      <c r="AE116" s="141"/>
      <c r="AF116" s="142"/>
      <c r="AG116" s="143"/>
      <c r="AH116" s="145"/>
      <c r="AI116" s="145"/>
    </row>
    <row r="117" spans="1:35" s="144" customFormat="1" ht="48" hidden="1">
      <c r="A117" s="147" t="s">
        <v>535</v>
      </c>
      <c r="B117" s="149" t="s">
        <v>747</v>
      </c>
      <c r="C117" s="140" t="s">
        <v>748</v>
      </c>
      <c r="D117" s="141"/>
      <c r="E117" s="141"/>
      <c r="F117" s="142"/>
      <c r="G117" s="143"/>
      <c r="H117" s="119">
        <v>0</v>
      </c>
      <c r="I117" s="119">
        <v>0</v>
      </c>
      <c r="J117" s="119">
        <v>0</v>
      </c>
      <c r="K117" s="91">
        <f t="shared" si="4"/>
        <v>0</v>
      </c>
      <c r="L117" s="235" t="e">
        <f t="shared" si="5"/>
        <v>#DIV/0!</v>
      </c>
      <c r="N117" s="141"/>
      <c r="O117" s="141"/>
      <c r="P117" s="142"/>
      <c r="Q117" s="143"/>
      <c r="R117" s="141"/>
      <c r="S117" s="141"/>
      <c r="T117" s="142"/>
      <c r="U117" s="143"/>
      <c r="V117" s="141"/>
      <c r="W117" s="141"/>
      <c r="X117" s="142"/>
      <c r="Y117" s="143"/>
      <c r="Z117" s="141"/>
      <c r="AA117" s="141"/>
      <c r="AB117" s="142"/>
      <c r="AC117" s="143"/>
      <c r="AD117" s="141"/>
      <c r="AE117" s="141"/>
      <c r="AF117" s="142"/>
      <c r="AG117" s="143"/>
      <c r="AH117" s="145"/>
      <c r="AI117" s="145"/>
    </row>
    <row r="118" spans="1:35" s="144" customFormat="1" ht="96">
      <c r="A118" s="147" t="s">
        <v>535</v>
      </c>
      <c r="B118" s="149" t="s">
        <v>749</v>
      </c>
      <c r="C118" s="140" t="s">
        <v>750</v>
      </c>
      <c r="D118" s="141"/>
      <c r="E118" s="141"/>
      <c r="F118" s="142"/>
      <c r="G118" s="143"/>
      <c r="H118" s="119">
        <f>H119</f>
        <v>0</v>
      </c>
      <c r="I118" s="119">
        <f>I119</f>
        <v>14453.5</v>
      </c>
      <c r="J118" s="119">
        <f>J119</f>
        <v>1372.5</v>
      </c>
      <c r="K118" s="91">
        <f t="shared" si="4"/>
        <v>-1372.5</v>
      </c>
      <c r="L118" s="235" t="e">
        <f t="shared" si="5"/>
        <v>#DIV/0!</v>
      </c>
      <c r="N118" s="141"/>
      <c r="O118" s="141"/>
      <c r="P118" s="142"/>
      <c r="Q118" s="143"/>
      <c r="R118" s="141"/>
      <c r="S118" s="141"/>
      <c r="T118" s="142"/>
      <c r="U118" s="143"/>
      <c r="V118" s="141"/>
      <c r="W118" s="141"/>
      <c r="X118" s="142"/>
      <c r="Y118" s="143"/>
      <c r="Z118" s="141"/>
      <c r="AA118" s="141"/>
      <c r="AB118" s="142"/>
      <c r="AC118" s="143"/>
      <c r="AD118" s="141"/>
      <c r="AE118" s="141"/>
      <c r="AF118" s="142"/>
      <c r="AG118" s="143"/>
      <c r="AH118" s="145"/>
      <c r="AI118" s="145"/>
    </row>
    <row r="119" spans="1:35" s="144" customFormat="1" ht="72">
      <c r="A119" s="147" t="s">
        <v>153</v>
      </c>
      <c r="B119" s="149" t="s">
        <v>751</v>
      </c>
      <c r="C119" s="140" t="s">
        <v>752</v>
      </c>
      <c r="D119" s="141"/>
      <c r="E119" s="141"/>
      <c r="F119" s="142"/>
      <c r="G119" s="143"/>
      <c r="H119" s="119">
        <v>0</v>
      </c>
      <c r="I119" s="119">
        <v>14453.5</v>
      </c>
      <c r="J119" s="119">
        <v>1372.5</v>
      </c>
      <c r="K119" s="91">
        <f t="shared" si="4"/>
        <v>-1372.5</v>
      </c>
      <c r="L119" s="235" t="e">
        <f t="shared" si="5"/>
        <v>#DIV/0!</v>
      </c>
      <c r="N119" s="141"/>
      <c r="O119" s="141"/>
      <c r="P119" s="142"/>
      <c r="Q119" s="143"/>
      <c r="R119" s="141"/>
      <c r="S119" s="141"/>
      <c r="T119" s="142"/>
      <c r="U119" s="143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2"/>
      <c r="AG119" s="143"/>
      <c r="AH119" s="145"/>
      <c r="AI119" s="145"/>
    </row>
    <row r="120" spans="1:35" s="144" customFormat="1" ht="36" customHeight="1" hidden="1">
      <c r="A120" s="147" t="s">
        <v>535</v>
      </c>
      <c r="B120" s="149" t="s">
        <v>753</v>
      </c>
      <c r="C120" s="140" t="s">
        <v>754</v>
      </c>
      <c r="D120" s="141"/>
      <c r="E120" s="141"/>
      <c r="F120" s="142"/>
      <c r="G120" s="143"/>
      <c r="H120" s="119">
        <f>H121</f>
        <v>0</v>
      </c>
      <c r="I120" s="119">
        <f>I121</f>
        <v>0</v>
      </c>
      <c r="J120" s="119">
        <f>J121</f>
        <v>0</v>
      </c>
      <c r="K120" s="91">
        <f t="shared" si="4"/>
        <v>0</v>
      </c>
      <c r="L120" s="235" t="e">
        <f t="shared" si="5"/>
        <v>#DIV/0!</v>
      </c>
      <c r="N120" s="141"/>
      <c r="O120" s="141"/>
      <c r="P120" s="142"/>
      <c r="Q120" s="143"/>
      <c r="R120" s="141"/>
      <c r="S120" s="141"/>
      <c r="T120" s="142"/>
      <c r="U120" s="143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2"/>
      <c r="AG120" s="143"/>
      <c r="AH120" s="145"/>
      <c r="AI120" s="145"/>
    </row>
    <row r="121" spans="1:35" s="144" customFormat="1" ht="84" hidden="1">
      <c r="A121" s="147" t="s">
        <v>535</v>
      </c>
      <c r="B121" s="149" t="s">
        <v>755</v>
      </c>
      <c r="C121" s="140" t="s">
        <v>756</v>
      </c>
      <c r="D121" s="141"/>
      <c r="E121" s="141"/>
      <c r="F121" s="142"/>
      <c r="G121" s="143"/>
      <c r="H121" s="119">
        <v>0</v>
      </c>
      <c r="I121" s="119">
        <v>0</v>
      </c>
      <c r="J121" s="119">
        <v>0</v>
      </c>
      <c r="K121" s="91">
        <f t="shared" si="4"/>
        <v>0</v>
      </c>
      <c r="L121" s="235" t="e">
        <f t="shared" si="5"/>
        <v>#DIV/0!</v>
      </c>
      <c r="N121" s="141"/>
      <c r="O121" s="141"/>
      <c r="P121" s="142"/>
      <c r="Q121" s="143"/>
      <c r="R121" s="141"/>
      <c r="S121" s="141"/>
      <c r="T121" s="142"/>
      <c r="U121" s="143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2"/>
      <c r="AG121" s="143"/>
      <c r="AH121" s="145"/>
      <c r="AI121" s="145"/>
    </row>
    <row r="122" spans="1:35" s="144" customFormat="1" ht="48" customHeight="1" hidden="1">
      <c r="A122" s="147" t="s">
        <v>535</v>
      </c>
      <c r="B122" s="149" t="s">
        <v>757</v>
      </c>
      <c r="C122" s="140" t="s">
        <v>758</v>
      </c>
      <c r="D122" s="141"/>
      <c r="E122" s="141"/>
      <c r="F122" s="142"/>
      <c r="G122" s="143"/>
      <c r="H122" s="119">
        <f>H123+H127+H126+H124</f>
        <v>0</v>
      </c>
      <c r="I122" s="119">
        <f>I123+I127+I126+I124</f>
        <v>10456.4</v>
      </c>
      <c r="J122" s="119">
        <f>J123+J127+J126+J124</f>
        <v>0</v>
      </c>
      <c r="K122" s="91">
        <f t="shared" si="4"/>
        <v>0</v>
      </c>
      <c r="L122" s="235" t="e">
        <f t="shared" si="5"/>
        <v>#DIV/0!</v>
      </c>
      <c r="N122" s="141"/>
      <c r="O122" s="141"/>
      <c r="P122" s="142"/>
      <c r="Q122" s="143"/>
      <c r="R122" s="141"/>
      <c r="S122" s="141"/>
      <c r="T122" s="142"/>
      <c r="U122" s="143"/>
      <c r="V122" s="141"/>
      <c r="W122" s="141"/>
      <c r="X122" s="142"/>
      <c r="Y122" s="143"/>
      <c r="Z122" s="141"/>
      <c r="AA122" s="141"/>
      <c r="AB122" s="142"/>
      <c r="AC122" s="143"/>
      <c r="AD122" s="141"/>
      <c r="AE122" s="141"/>
      <c r="AF122" s="142"/>
      <c r="AG122" s="143"/>
      <c r="AH122" s="145"/>
      <c r="AI122" s="145"/>
    </row>
    <row r="123" spans="1:35" s="144" customFormat="1" ht="72" hidden="1">
      <c r="A123" s="147" t="s">
        <v>535</v>
      </c>
      <c r="B123" s="149" t="s">
        <v>759</v>
      </c>
      <c r="C123" s="140" t="s">
        <v>760</v>
      </c>
      <c r="D123" s="141"/>
      <c r="E123" s="141"/>
      <c r="F123" s="142"/>
      <c r="G123" s="143"/>
      <c r="H123" s="119">
        <v>0</v>
      </c>
      <c r="I123" s="119">
        <v>5228.2</v>
      </c>
      <c r="J123" s="119">
        <v>0</v>
      </c>
      <c r="K123" s="91">
        <f t="shared" si="4"/>
        <v>0</v>
      </c>
      <c r="L123" s="235" t="e">
        <f t="shared" si="5"/>
        <v>#DIV/0!</v>
      </c>
      <c r="N123" s="141"/>
      <c r="O123" s="141"/>
      <c r="P123" s="142"/>
      <c r="Q123" s="143"/>
      <c r="R123" s="141"/>
      <c r="S123" s="141"/>
      <c r="T123" s="142"/>
      <c r="U123" s="143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2"/>
      <c r="AG123" s="143"/>
      <c r="AH123" s="145"/>
      <c r="AI123" s="145"/>
    </row>
    <row r="124" spans="1:35" s="144" customFormat="1" ht="108" hidden="1">
      <c r="A124" s="147" t="s">
        <v>535</v>
      </c>
      <c r="B124" s="149" t="s">
        <v>761</v>
      </c>
      <c r="C124" s="140" t="s">
        <v>762</v>
      </c>
      <c r="D124" s="141"/>
      <c r="E124" s="141"/>
      <c r="F124" s="142"/>
      <c r="G124" s="143"/>
      <c r="H124" s="119">
        <v>0</v>
      </c>
      <c r="I124" s="119">
        <v>5228.2</v>
      </c>
      <c r="J124" s="119">
        <v>0</v>
      </c>
      <c r="K124" s="91">
        <f t="shared" si="4"/>
        <v>0</v>
      </c>
      <c r="L124" s="235" t="e">
        <f t="shared" si="5"/>
        <v>#DIV/0!</v>
      </c>
      <c r="N124" s="141"/>
      <c r="O124" s="141"/>
      <c r="P124" s="142"/>
      <c r="Q124" s="143"/>
      <c r="R124" s="141"/>
      <c r="S124" s="141"/>
      <c r="T124" s="142"/>
      <c r="U124" s="143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2"/>
      <c r="AG124" s="143"/>
      <c r="AH124" s="145"/>
      <c r="AI124" s="145"/>
    </row>
    <row r="125" spans="1:35" s="144" customFormat="1" ht="48" hidden="1">
      <c r="A125" s="147" t="s">
        <v>535</v>
      </c>
      <c r="B125" s="149" t="s">
        <v>763</v>
      </c>
      <c r="C125" s="140" t="s">
        <v>764</v>
      </c>
      <c r="D125" s="141"/>
      <c r="E125" s="141"/>
      <c r="F125" s="142"/>
      <c r="G125" s="143"/>
      <c r="H125" s="119">
        <v>0</v>
      </c>
      <c r="I125" s="119">
        <v>19367.1</v>
      </c>
      <c r="J125" s="119">
        <v>0</v>
      </c>
      <c r="K125" s="91">
        <f t="shared" si="4"/>
        <v>0</v>
      </c>
      <c r="L125" s="235" t="e">
        <f t="shared" si="5"/>
        <v>#DIV/0!</v>
      </c>
      <c r="N125" s="141"/>
      <c r="O125" s="141"/>
      <c r="P125" s="142"/>
      <c r="Q125" s="143"/>
      <c r="R125" s="141"/>
      <c r="S125" s="141"/>
      <c r="T125" s="142"/>
      <c r="U125" s="143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2"/>
      <c r="AG125" s="143"/>
      <c r="AH125" s="145"/>
      <c r="AI125" s="145"/>
    </row>
    <row r="126" spans="1:35" s="144" customFormat="1" ht="72" hidden="1">
      <c r="A126" s="147" t="s">
        <v>535</v>
      </c>
      <c r="B126" s="149" t="s">
        <v>761</v>
      </c>
      <c r="C126" s="140" t="s">
        <v>765</v>
      </c>
      <c r="D126" s="141"/>
      <c r="E126" s="141"/>
      <c r="F126" s="142"/>
      <c r="G126" s="143"/>
      <c r="H126" s="119">
        <v>0</v>
      </c>
      <c r="I126" s="119">
        <v>0</v>
      </c>
      <c r="J126" s="119">
        <v>0</v>
      </c>
      <c r="K126" s="91">
        <f t="shared" si="4"/>
        <v>0</v>
      </c>
      <c r="L126" s="235" t="e">
        <f t="shared" si="5"/>
        <v>#DIV/0!</v>
      </c>
      <c r="N126" s="141"/>
      <c r="O126" s="141"/>
      <c r="P126" s="142"/>
      <c r="Q126" s="143"/>
      <c r="R126" s="141"/>
      <c r="S126" s="141"/>
      <c r="T126" s="142"/>
      <c r="U126" s="143"/>
      <c r="V126" s="141"/>
      <c r="W126" s="141"/>
      <c r="X126" s="142"/>
      <c r="Y126" s="143"/>
      <c r="Z126" s="141"/>
      <c r="AA126" s="141"/>
      <c r="AB126" s="142"/>
      <c r="AC126" s="143"/>
      <c r="AD126" s="141"/>
      <c r="AE126" s="141"/>
      <c r="AF126" s="142"/>
      <c r="AG126" s="143"/>
      <c r="AH126" s="145"/>
      <c r="AI126" s="145"/>
    </row>
    <row r="127" spans="1:35" s="144" customFormat="1" ht="48" customHeight="1" hidden="1">
      <c r="A127" s="147" t="s">
        <v>535</v>
      </c>
      <c r="B127" s="149" t="s">
        <v>766</v>
      </c>
      <c r="C127" s="140" t="s">
        <v>762</v>
      </c>
      <c r="D127" s="141"/>
      <c r="E127" s="141"/>
      <c r="F127" s="142"/>
      <c r="G127" s="143"/>
      <c r="H127" s="119">
        <v>0</v>
      </c>
      <c r="I127" s="119">
        <v>0</v>
      </c>
      <c r="J127" s="119">
        <v>0</v>
      </c>
      <c r="K127" s="91">
        <f t="shared" si="4"/>
        <v>0</v>
      </c>
      <c r="L127" s="235" t="e">
        <f t="shared" si="5"/>
        <v>#DIV/0!</v>
      </c>
      <c r="N127" s="141"/>
      <c r="O127" s="141"/>
      <c r="P127" s="142"/>
      <c r="Q127" s="143"/>
      <c r="R127" s="141"/>
      <c r="S127" s="141"/>
      <c r="T127" s="142"/>
      <c r="U127" s="143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2"/>
      <c r="AG127" s="143"/>
      <c r="AH127" s="145"/>
      <c r="AI127" s="145"/>
    </row>
    <row r="128" spans="1:35" s="144" customFormat="1" ht="36" hidden="1">
      <c r="A128" s="147" t="s">
        <v>535</v>
      </c>
      <c r="B128" s="149" t="s">
        <v>767</v>
      </c>
      <c r="C128" s="140" t="s">
        <v>768</v>
      </c>
      <c r="D128" s="141"/>
      <c r="E128" s="141"/>
      <c r="F128" s="142"/>
      <c r="G128" s="143"/>
      <c r="H128" s="119">
        <f>H129</f>
        <v>0</v>
      </c>
      <c r="I128" s="119">
        <f>I129</f>
        <v>0</v>
      </c>
      <c r="J128" s="119">
        <f>J129</f>
        <v>0</v>
      </c>
      <c r="K128" s="91">
        <f t="shared" si="4"/>
        <v>0</v>
      </c>
      <c r="L128" s="235" t="e">
        <f t="shared" si="5"/>
        <v>#DIV/0!</v>
      </c>
      <c r="N128" s="141"/>
      <c r="O128" s="141"/>
      <c r="P128" s="142"/>
      <c r="Q128" s="143"/>
      <c r="R128" s="141"/>
      <c r="S128" s="141"/>
      <c r="T128" s="142"/>
      <c r="U128" s="143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2"/>
      <c r="AG128" s="143"/>
      <c r="AH128" s="145"/>
      <c r="AI128" s="145"/>
    </row>
    <row r="129" spans="1:35" s="144" customFormat="1" ht="48" hidden="1">
      <c r="A129" s="147"/>
      <c r="B129" s="149" t="s">
        <v>769</v>
      </c>
      <c r="C129" s="140" t="s">
        <v>770</v>
      </c>
      <c r="D129" s="141"/>
      <c r="E129" s="141"/>
      <c r="F129" s="142"/>
      <c r="G129" s="143"/>
      <c r="H129" s="119">
        <v>0</v>
      </c>
      <c r="I129" s="119">
        <v>0</v>
      </c>
      <c r="J129" s="119">
        <v>0</v>
      </c>
      <c r="K129" s="91">
        <f t="shared" si="4"/>
        <v>0</v>
      </c>
      <c r="L129" s="235" t="e">
        <f t="shared" si="5"/>
        <v>#DIV/0!</v>
      </c>
      <c r="N129" s="141"/>
      <c r="O129" s="141"/>
      <c r="P129" s="142"/>
      <c r="Q129" s="143"/>
      <c r="R129" s="141"/>
      <c r="S129" s="141"/>
      <c r="T129" s="142"/>
      <c r="U129" s="143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2"/>
      <c r="AG129" s="143"/>
      <c r="AH129" s="145"/>
      <c r="AI129" s="145"/>
    </row>
    <row r="130" spans="1:35" s="144" customFormat="1" ht="24">
      <c r="A130" s="147" t="s">
        <v>535</v>
      </c>
      <c r="B130" s="149" t="s">
        <v>771</v>
      </c>
      <c r="C130" s="140" t="s">
        <v>772</v>
      </c>
      <c r="D130" s="141"/>
      <c r="E130" s="141"/>
      <c r="F130" s="142"/>
      <c r="G130" s="143"/>
      <c r="H130" s="119">
        <v>994.5</v>
      </c>
      <c r="I130" s="119">
        <v>40192.8</v>
      </c>
      <c r="J130" s="119">
        <v>14719.7</v>
      </c>
      <c r="K130" s="120">
        <f t="shared" si="4"/>
        <v>-13725.2</v>
      </c>
      <c r="L130" s="236">
        <f t="shared" si="5"/>
        <v>14.801106083459025</v>
      </c>
      <c r="N130" s="141"/>
      <c r="O130" s="141"/>
      <c r="P130" s="142"/>
      <c r="Q130" s="143"/>
      <c r="R130" s="141"/>
      <c r="S130" s="141"/>
      <c r="T130" s="142"/>
      <c r="U130" s="143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2"/>
      <c r="AG130" s="143"/>
      <c r="AH130" s="145"/>
      <c r="AI130" s="145"/>
    </row>
    <row r="131" spans="1:35" s="101" customFormat="1" ht="36">
      <c r="A131" s="159" t="s">
        <v>535</v>
      </c>
      <c r="B131" s="124" t="s">
        <v>773</v>
      </c>
      <c r="C131" s="96" t="s">
        <v>774</v>
      </c>
      <c r="D131" s="97"/>
      <c r="E131" s="97"/>
      <c r="F131" s="98"/>
      <c r="G131" s="99"/>
      <c r="H131" s="100">
        <f>H132+H133+H134+H135+H136+H177+H178+H179+H181+H182+H185+H183+H174+H180+H184</f>
        <v>599683.4000000003</v>
      </c>
      <c r="I131" s="100">
        <f>I132+I133+I134+I135+I136+I177+I178+I179+I181+I182+I185+I183+I174+I180+I184</f>
        <v>43305.600000000006</v>
      </c>
      <c r="J131" s="100">
        <f>J132+J133+J134+J135+J136+J177+J178+J179+J181+J182+J185+J183+J174+J180+J184</f>
        <v>331976.6000000001</v>
      </c>
      <c r="K131" s="91">
        <f t="shared" si="4"/>
        <v>267706.80000000016</v>
      </c>
      <c r="L131" s="235">
        <f t="shared" si="5"/>
        <v>0.5535864424461306</v>
      </c>
      <c r="N131" s="97"/>
      <c r="O131" s="97"/>
      <c r="P131" s="98"/>
      <c r="Q131" s="99"/>
      <c r="R131" s="97"/>
      <c r="S131" s="97"/>
      <c r="T131" s="98"/>
      <c r="U131" s="99"/>
      <c r="V131" s="97"/>
      <c r="W131" s="97"/>
      <c r="X131" s="98"/>
      <c r="Y131" s="99"/>
      <c r="Z131" s="97"/>
      <c r="AA131" s="97"/>
      <c r="AB131" s="98"/>
      <c r="AC131" s="99"/>
      <c r="AD131" s="97"/>
      <c r="AE131" s="97"/>
      <c r="AF131" s="98"/>
      <c r="AG131" s="99"/>
      <c r="AH131" s="102"/>
      <c r="AI131" s="102"/>
    </row>
    <row r="132" spans="1:35" s="144" customFormat="1" ht="60" hidden="1">
      <c r="A132" s="147" t="s">
        <v>535</v>
      </c>
      <c r="B132" s="149" t="s">
        <v>775</v>
      </c>
      <c r="C132" s="140" t="s">
        <v>776</v>
      </c>
      <c r="D132" s="141"/>
      <c r="E132" s="141"/>
      <c r="F132" s="142"/>
      <c r="G132" s="143"/>
      <c r="H132" s="119"/>
      <c r="I132" s="119"/>
      <c r="J132" s="119"/>
      <c r="K132" s="91">
        <f t="shared" si="4"/>
        <v>0</v>
      </c>
      <c r="L132" s="235" t="e">
        <f t="shared" si="5"/>
        <v>#DIV/0!</v>
      </c>
      <c r="N132" s="141"/>
      <c r="O132" s="141"/>
      <c r="P132" s="142"/>
      <c r="Q132" s="143"/>
      <c r="R132" s="141"/>
      <c r="S132" s="141"/>
      <c r="T132" s="142"/>
      <c r="U132" s="143"/>
      <c r="V132" s="141"/>
      <c r="W132" s="141"/>
      <c r="X132" s="142"/>
      <c r="Y132" s="143"/>
      <c r="Z132" s="141"/>
      <c r="AA132" s="141"/>
      <c r="AB132" s="142"/>
      <c r="AC132" s="143"/>
      <c r="AD132" s="141"/>
      <c r="AE132" s="141"/>
      <c r="AF132" s="142"/>
      <c r="AG132" s="143"/>
      <c r="AH132" s="145"/>
      <c r="AI132" s="145"/>
    </row>
    <row r="133" spans="1:35" s="144" customFormat="1" ht="48">
      <c r="A133" s="147" t="s">
        <v>535</v>
      </c>
      <c r="B133" s="149" t="s">
        <v>777</v>
      </c>
      <c r="C133" s="140" t="s">
        <v>778</v>
      </c>
      <c r="D133" s="141"/>
      <c r="E133" s="141"/>
      <c r="F133" s="142"/>
      <c r="G133" s="143"/>
      <c r="H133" s="119">
        <v>4306.1</v>
      </c>
      <c r="I133" s="119">
        <v>3105.9</v>
      </c>
      <c r="J133" s="119">
        <v>1154.6</v>
      </c>
      <c r="K133" s="120">
        <f t="shared" si="4"/>
        <v>3151.5000000000005</v>
      </c>
      <c r="L133" s="236">
        <f t="shared" si="5"/>
        <v>0.2681312556605745</v>
      </c>
      <c r="N133" s="141"/>
      <c r="O133" s="141"/>
      <c r="P133" s="142"/>
      <c r="Q133" s="143"/>
      <c r="R133" s="141"/>
      <c r="S133" s="141"/>
      <c r="T133" s="142"/>
      <c r="U133" s="143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2"/>
      <c r="AG133" s="143"/>
      <c r="AH133" s="145"/>
      <c r="AI133" s="145"/>
    </row>
    <row r="134" spans="1:35" s="144" customFormat="1" ht="35.25" customHeight="1" hidden="1">
      <c r="A134" s="147" t="s">
        <v>535</v>
      </c>
      <c r="B134" s="149" t="s">
        <v>779</v>
      </c>
      <c r="C134" s="140" t="s">
        <v>780</v>
      </c>
      <c r="D134" s="141"/>
      <c r="E134" s="141"/>
      <c r="F134" s="142"/>
      <c r="G134" s="143"/>
      <c r="H134" s="119">
        <v>0</v>
      </c>
      <c r="I134" s="119">
        <v>0</v>
      </c>
      <c r="J134" s="119">
        <v>0</v>
      </c>
      <c r="K134" s="120">
        <f t="shared" si="4"/>
        <v>0</v>
      </c>
      <c r="L134" s="236" t="e">
        <f t="shared" si="5"/>
        <v>#DIV/0!</v>
      </c>
      <c r="N134" s="141"/>
      <c r="O134" s="141"/>
      <c r="P134" s="142"/>
      <c r="Q134" s="143"/>
      <c r="R134" s="141"/>
      <c r="S134" s="141"/>
      <c r="T134" s="142"/>
      <c r="U134" s="143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2"/>
      <c r="AG134" s="143"/>
      <c r="AH134" s="145"/>
      <c r="AI134" s="145"/>
    </row>
    <row r="135" spans="1:35" s="144" customFormat="1" ht="60">
      <c r="A135" s="147" t="s">
        <v>535</v>
      </c>
      <c r="B135" s="149" t="s">
        <v>781</v>
      </c>
      <c r="C135" s="140" t="s">
        <v>782</v>
      </c>
      <c r="D135" s="141"/>
      <c r="E135" s="141"/>
      <c r="F135" s="142"/>
      <c r="G135" s="143"/>
      <c r="H135" s="119">
        <v>9642.9</v>
      </c>
      <c r="I135" s="119">
        <v>4184.1</v>
      </c>
      <c r="J135" s="119">
        <v>5324.6</v>
      </c>
      <c r="K135" s="120">
        <f t="shared" si="4"/>
        <v>4318.299999999999</v>
      </c>
      <c r="L135" s="236">
        <f t="shared" si="5"/>
        <v>0.5521782866150226</v>
      </c>
      <c r="N135" s="141"/>
      <c r="O135" s="141"/>
      <c r="P135" s="142"/>
      <c r="Q135" s="143"/>
      <c r="R135" s="141"/>
      <c r="S135" s="141"/>
      <c r="T135" s="142"/>
      <c r="U135" s="143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2"/>
      <c r="AG135" s="143"/>
      <c r="AH135" s="145"/>
      <c r="AI135" s="145"/>
    </row>
    <row r="136" spans="1:35" s="144" customFormat="1" ht="60">
      <c r="A136" s="147" t="s">
        <v>535</v>
      </c>
      <c r="B136" s="149" t="s">
        <v>783</v>
      </c>
      <c r="C136" s="140" t="s">
        <v>784</v>
      </c>
      <c r="D136" s="141"/>
      <c r="E136" s="141"/>
      <c r="F136" s="142"/>
      <c r="G136" s="143"/>
      <c r="H136" s="119">
        <f>SUM(H137:H173)</f>
        <v>568576.0000000002</v>
      </c>
      <c r="I136" s="119">
        <f>SUM(I137:I173)</f>
        <v>45</v>
      </c>
      <c r="J136" s="119">
        <f>SUM(J137:J173)</f>
        <v>314739.00000000006</v>
      </c>
      <c r="K136" s="120">
        <f t="shared" si="4"/>
        <v>253837.00000000017</v>
      </c>
      <c r="L136" s="236">
        <f t="shared" si="5"/>
        <v>0.5535566045700134</v>
      </c>
      <c r="N136" s="141"/>
      <c r="O136" s="141"/>
      <c r="P136" s="142"/>
      <c r="Q136" s="143"/>
      <c r="R136" s="141"/>
      <c r="S136" s="141"/>
      <c r="T136" s="142"/>
      <c r="U136" s="143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2"/>
      <c r="AG136" s="143"/>
      <c r="AH136" s="145"/>
      <c r="AI136" s="145"/>
    </row>
    <row r="137" spans="1:35" s="111" customFormat="1" ht="96">
      <c r="A137" s="160" t="s">
        <v>535</v>
      </c>
      <c r="B137" s="161" t="s">
        <v>783</v>
      </c>
      <c r="C137" s="162" t="s">
        <v>785</v>
      </c>
      <c r="D137" s="106"/>
      <c r="E137" s="106"/>
      <c r="F137" s="107"/>
      <c r="G137" s="108"/>
      <c r="H137" s="163">
        <v>608.4</v>
      </c>
      <c r="I137" s="163"/>
      <c r="J137" s="163">
        <v>304.2</v>
      </c>
      <c r="K137" s="164">
        <f t="shared" si="4"/>
        <v>304.2</v>
      </c>
      <c r="L137" s="239">
        <f t="shared" si="5"/>
        <v>0.5</v>
      </c>
      <c r="N137" s="106"/>
      <c r="O137" s="106"/>
      <c r="P137" s="107"/>
      <c r="Q137" s="108"/>
      <c r="R137" s="106"/>
      <c r="S137" s="106"/>
      <c r="T137" s="107"/>
      <c r="U137" s="108"/>
      <c r="V137" s="106"/>
      <c r="W137" s="106"/>
      <c r="X137" s="107"/>
      <c r="Y137" s="108"/>
      <c r="Z137" s="106"/>
      <c r="AA137" s="106"/>
      <c r="AB137" s="107"/>
      <c r="AC137" s="108"/>
      <c r="AD137" s="106"/>
      <c r="AE137" s="106"/>
      <c r="AF137" s="107"/>
      <c r="AG137" s="108"/>
      <c r="AH137" s="112"/>
      <c r="AI137" s="112"/>
    </row>
    <row r="138" spans="1:35" s="168" customFormat="1" ht="84">
      <c r="A138" s="160" t="s">
        <v>535</v>
      </c>
      <c r="B138" s="161" t="s">
        <v>783</v>
      </c>
      <c r="C138" s="162" t="s">
        <v>786</v>
      </c>
      <c r="D138" s="165"/>
      <c r="E138" s="165"/>
      <c r="F138" s="166"/>
      <c r="G138" s="167"/>
      <c r="H138" s="163">
        <v>65.5</v>
      </c>
      <c r="I138" s="163">
        <v>45</v>
      </c>
      <c r="J138" s="163">
        <v>32.8</v>
      </c>
      <c r="K138" s="164">
        <f t="shared" si="4"/>
        <v>32.7</v>
      </c>
      <c r="L138" s="239">
        <f t="shared" si="5"/>
        <v>0.5007633587786259</v>
      </c>
      <c r="N138" s="165"/>
      <c r="O138" s="165"/>
      <c r="P138" s="166"/>
      <c r="Q138" s="167"/>
      <c r="R138" s="165"/>
      <c r="S138" s="165"/>
      <c r="T138" s="166"/>
      <c r="U138" s="167"/>
      <c r="V138" s="165"/>
      <c r="W138" s="165"/>
      <c r="X138" s="166"/>
      <c r="Y138" s="167"/>
      <c r="Z138" s="165"/>
      <c r="AA138" s="165"/>
      <c r="AB138" s="166"/>
      <c r="AC138" s="167"/>
      <c r="AD138" s="165"/>
      <c r="AE138" s="165"/>
      <c r="AF138" s="166"/>
      <c r="AG138" s="167"/>
      <c r="AH138" s="169"/>
      <c r="AI138" s="169"/>
    </row>
    <row r="139" spans="1:35" s="168" customFormat="1" ht="96">
      <c r="A139" s="160" t="s">
        <v>535</v>
      </c>
      <c r="B139" s="161" t="s">
        <v>783</v>
      </c>
      <c r="C139" s="162" t="s">
        <v>787</v>
      </c>
      <c r="D139" s="165"/>
      <c r="E139" s="165"/>
      <c r="F139" s="166"/>
      <c r="G139" s="167"/>
      <c r="H139" s="163">
        <v>22264.5</v>
      </c>
      <c r="I139" s="163"/>
      <c r="J139" s="163">
        <v>8237</v>
      </c>
      <c r="K139" s="164">
        <f t="shared" si="4"/>
        <v>14027.5</v>
      </c>
      <c r="L139" s="239">
        <f t="shared" si="5"/>
        <v>0.36996114891419074</v>
      </c>
      <c r="N139" s="165"/>
      <c r="O139" s="165"/>
      <c r="P139" s="166"/>
      <c r="Q139" s="167"/>
      <c r="R139" s="165"/>
      <c r="S139" s="165"/>
      <c r="T139" s="166"/>
      <c r="U139" s="167"/>
      <c r="V139" s="165"/>
      <c r="W139" s="165"/>
      <c r="X139" s="166"/>
      <c r="Y139" s="167"/>
      <c r="Z139" s="165"/>
      <c r="AA139" s="165"/>
      <c r="AB139" s="166"/>
      <c r="AC139" s="167"/>
      <c r="AD139" s="165"/>
      <c r="AE139" s="165"/>
      <c r="AF139" s="166"/>
      <c r="AG139" s="167"/>
      <c r="AH139" s="169"/>
      <c r="AI139" s="169"/>
    </row>
    <row r="140" spans="1:35" s="168" customFormat="1" ht="96">
      <c r="A140" s="160" t="s">
        <v>535</v>
      </c>
      <c r="B140" s="161" t="s">
        <v>783</v>
      </c>
      <c r="C140" s="162" t="s">
        <v>788</v>
      </c>
      <c r="D140" s="165"/>
      <c r="E140" s="165"/>
      <c r="F140" s="166"/>
      <c r="G140" s="167"/>
      <c r="H140" s="163">
        <v>779.3</v>
      </c>
      <c r="I140" s="163"/>
      <c r="J140" s="163">
        <v>380</v>
      </c>
      <c r="K140" s="164">
        <f aca="true" t="shared" si="7" ref="K140:K203">H140-J140</f>
        <v>399.29999999999995</v>
      </c>
      <c r="L140" s="239">
        <f aca="true" t="shared" si="8" ref="L140:L203">J140/H140</f>
        <v>0.4876170922622867</v>
      </c>
      <c r="N140" s="165"/>
      <c r="O140" s="165"/>
      <c r="P140" s="166"/>
      <c r="Q140" s="167"/>
      <c r="R140" s="165"/>
      <c r="S140" s="165"/>
      <c r="T140" s="166"/>
      <c r="U140" s="167"/>
      <c r="V140" s="165"/>
      <c r="W140" s="165"/>
      <c r="X140" s="166"/>
      <c r="Y140" s="167"/>
      <c r="Z140" s="165"/>
      <c r="AA140" s="165"/>
      <c r="AB140" s="166"/>
      <c r="AC140" s="167"/>
      <c r="AD140" s="165"/>
      <c r="AE140" s="165"/>
      <c r="AF140" s="166"/>
      <c r="AG140" s="167"/>
      <c r="AH140" s="169"/>
      <c r="AI140" s="169"/>
    </row>
    <row r="141" spans="1:35" s="168" customFormat="1" ht="24">
      <c r="A141" s="160" t="s">
        <v>535</v>
      </c>
      <c r="B141" s="161" t="s">
        <v>783</v>
      </c>
      <c r="C141" s="162" t="s">
        <v>789</v>
      </c>
      <c r="D141" s="165"/>
      <c r="E141" s="165"/>
      <c r="F141" s="166"/>
      <c r="G141" s="167"/>
      <c r="H141" s="163">
        <v>14.4</v>
      </c>
      <c r="I141" s="163"/>
      <c r="J141" s="163">
        <v>14.4</v>
      </c>
      <c r="K141" s="164">
        <f t="shared" si="7"/>
        <v>0</v>
      </c>
      <c r="L141" s="239">
        <f t="shared" si="8"/>
        <v>1</v>
      </c>
      <c r="N141" s="165"/>
      <c r="O141" s="165"/>
      <c r="P141" s="166"/>
      <c r="Q141" s="167"/>
      <c r="R141" s="165"/>
      <c r="S141" s="165"/>
      <c r="T141" s="166"/>
      <c r="U141" s="167"/>
      <c r="V141" s="165"/>
      <c r="W141" s="165"/>
      <c r="X141" s="166"/>
      <c r="Y141" s="167"/>
      <c r="Z141" s="165"/>
      <c r="AA141" s="165"/>
      <c r="AB141" s="166"/>
      <c r="AC141" s="167"/>
      <c r="AD141" s="165"/>
      <c r="AE141" s="165"/>
      <c r="AF141" s="166"/>
      <c r="AG141" s="167"/>
      <c r="AH141" s="169"/>
      <c r="AI141" s="169"/>
    </row>
    <row r="142" spans="1:35" s="168" customFormat="1" ht="108">
      <c r="A142" s="160" t="s">
        <v>535</v>
      </c>
      <c r="B142" s="161" t="s">
        <v>783</v>
      </c>
      <c r="C142" s="162" t="s">
        <v>790</v>
      </c>
      <c r="D142" s="165"/>
      <c r="E142" s="165"/>
      <c r="F142" s="166"/>
      <c r="G142" s="167"/>
      <c r="H142" s="163">
        <v>17.1</v>
      </c>
      <c r="I142" s="163"/>
      <c r="J142" s="163">
        <v>0</v>
      </c>
      <c r="K142" s="164">
        <f t="shared" si="7"/>
        <v>17.1</v>
      </c>
      <c r="L142" s="239">
        <f t="shared" si="8"/>
        <v>0</v>
      </c>
      <c r="N142" s="165"/>
      <c r="O142" s="165"/>
      <c r="P142" s="166"/>
      <c r="Q142" s="167"/>
      <c r="R142" s="165"/>
      <c r="S142" s="165"/>
      <c r="T142" s="166"/>
      <c r="U142" s="167"/>
      <c r="V142" s="165"/>
      <c r="W142" s="165"/>
      <c r="X142" s="166"/>
      <c r="Y142" s="167"/>
      <c r="Z142" s="165"/>
      <c r="AA142" s="165"/>
      <c r="AB142" s="166"/>
      <c r="AC142" s="167"/>
      <c r="AD142" s="165"/>
      <c r="AE142" s="165"/>
      <c r="AF142" s="166"/>
      <c r="AG142" s="167"/>
      <c r="AH142" s="169"/>
      <c r="AI142" s="169"/>
    </row>
    <row r="143" spans="1:35" s="168" customFormat="1" ht="48">
      <c r="A143" s="160" t="s">
        <v>535</v>
      </c>
      <c r="B143" s="161" t="s">
        <v>783</v>
      </c>
      <c r="C143" s="162" t="s">
        <v>791</v>
      </c>
      <c r="D143" s="165"/>
      <c r="E143" s="165"/>
      <c r="F143" s="166"/>
      <c r="G143" s="167"/>
      <c r="H143" s="163">
        <v>1403.8</v>
      </c>
      <c r="I143" s="163"/>
      <c r="J143" s="163">
        <v>701.9</v>
      </c>
      <c r="K143" s="164">
        <f t="shared" si="7"/>
        <v>701.9</v>
      </c>
      <c r="L143" s="239">
        <f t="shared" si="8"/>
        <v>0.5</v>
      </c>
      <c r="N143" s="165"/>
      <c r="O143" s="165"/>
      <c r="P143" s="166"/>
      <c r="Q143" s="167"/>
      <c r="R143" s="165"/>
      <c r="S143" s="165"/>
      <c r="T143" s="166"/>
      <c r="U143" s="167"/>
      <c r="V143" s="165"/>
      <c r="W143" s="165"/>
      <c r="X143" s="166"/>
      <c r="Y143" s="167"/>
      <c r="Z143" s="165"/>
      <c r="AA143" s="165"/>
      <c r="AB143" s="166"/>
      <c r="AC143" s="167"/>
      <c r="AD143" s="165"/>
      <c r="AE143" s="165"/>
      <c r="AF143" s="166"/>
      <c r="AG143" s="167"/>
      <c r="AH143" s="169"/>
      <c r="AI143" s="169"/>
    </row>
    <row r="144" spans="1:35" s="168" customFormat="1" ht="84" hidden="1">
      <c r="A144" s="160" t="s">
        <v>535</v>
      </c>
      <c r="B144" s="161" t="s">
        <v>783</v>
      </c>
      <c r="C144" s="162" t="s">
        <v>792</v>
      </c>
      <c r="D144" s="165"/>
      <c r="E144" s="165"/>
      <c r="F144" s="166"/>
      <c r="G144" s="167"/>
      <c r="H144" s="163"/>
      <c r="I144" s="163"/>
      <c r="J144" s="163"/>
      <c r="K144" s="164">
        <f t="shared" si="7"/>
        <v>0</v>
      </c>
      <c r="L144" s="239" t="e">
        <f t="shared" si="8"/>
        <v>#DIV/0!</v>
      </c>
      <c r="N144" s="165"/>
      <c r="O144" s="165"/>
      <c r="P144" s="166"/>
      <c r="Q144" s="167"/>
      <c r="R144" s="165"/>
      <c r="S144" s="165"/>
      <c r="T144" s="166"/>
      <c r="U144" s="167"/>
      <c r="V144" s="165"/>
      <c r="W144" s="165"/>
      <c r="X144" s="166"/>
      <c r="Y144" s="167"/>
      <c r="Z144" s="165"/>
      <c r="AA144" s="165"/>
      <c r="AB144" s="166"/>
      <c r="AC144" s="167"/>
      <c r="AD144" s="165"/>
      <c r="AE144" s="165"/>
      <c r="AF144" s="166"/>
      <c r="AG144" s="167"/>
      <c r="AH144" s="169"/>
      <c r="AI144" s="169"/>
    </row>
    <row r="145" spans="1:35" s="168" customFormat="1" ht="97.5" customHeight="1">
      <c r="A145" s="160" t="s">
        <v>535</v>
      </c>
      <c r="B145" s="161" t="s">
        <v>783</v>
      </c>
      <c r="C145" s="162" t="s">
        <v>793</v>
      </c>
      <c r="D145" s="165"/>
      <c r="E145" s="165"/>
      <c r="F145" s="166"/>
      <c r="G145" s="167"/>
      <c r="H145" s="163">
        <v>1.8</v>
      </c>
      <c r="I145" s="163"/>
      <c r="J145" s="163">
        <v>0.9</v>
      </c>
      <c r="K145" s="164">
        <f t="shared" si="7"/>
        <v>0.9</v>
      </c>
      <c r="L145" s="239">
        <f t="shared" si="8"/>
        <v>0.5</v>
      </c>
      <c r="N145" s="165"/>
      <c r="O145" s="165"/>
      <c r="P145" s="166"/>
      <c r="Q145" s="167"/>
      <c r="R145" s="165"/>
      <c r="S145" s="165"/>
      <c r="T145" s="166"/>
      <c r="U145" s="167"/>
      <c r="V145" s="165"/>
      <c r="W145" s="165"/>
      <c r="X145" s="166"/>
      <c r="Y145" s="167"/>
      <c r="Z145" s="165"/>
      <c r="AA145" s="165"/>
      <c r="AB145" s="166"/>
      <c r="AC145" s="167"/>
      <c r="AD145" s="165"/>
      <c r="AE145" s="165"/>
      <c r="AF145" s="166"/>
      <c r="AG145" s="167"/>
      <c r="AH145" s="169"/>
      <c r="AI145" s="169"/>
    </row>
    <row r="146" spans="1:35" s="168" customFormat="1" ht="108" hidden="1">
      <c r="A146" s="160" t="s">
        <v>535</v>
      </c>
      <c r="B146" s="161" t="s">
        <v>783</v>
      </c>
      <c r="C146" s="162" t="s">
        <v>794</v>
      </c>
      <c r="D146" s="165"/>
      <c r="E146" s="165"/>
      <c r="F146" s="166"/>
      <c r="G146" s="167"/>
      <c r="H146" s="163"/>
      <c r="I146" s="163"/>
      <c r="J146" s="163"/>
      <c r="K146" s="164">
        <f t="shared" si="7"/>
        <v>0</v>
      </c>
      <c r="L146" s="239" t="e">
        <f t="shared" si="8"/>
        <v>#DIV/0!</v>
      </c>
      <c r="N146" s="165"/>
      <c r="O146" s="165"/>
      <c r="P146" s="166"/>
      <c r="Q146" s="167"/>
      <c r="R146" s="165"/>
      <c r="S146" s="165"/>
      <c r="T146" s="166"/>
      <c r="U146" s="167"/>
      <c r="V146" s="165"/>
      <c r="W146" s="165"/>
      <c r="X146" s="166"/>
      <c r="Y146" s="167"/>
      <c r="Z146" s="165"/>
      <c r="AA146" s="165"/>
      <c r="AB146" s="166"/>
      <c r="AC146" s="167"/>
      <c r="AD146" s="165"/>
      <c r="AE146" s="165"/>
      <c r="AF146" s="166"/>
      <c r="AG146" s="167"/>
      <c r="AH146" s="169"/>
      <c r="AI146" s="169"/>
    </row>
    <row r="147" spans="1:35" s="168" customFormat="1" ht="72">
      <c r="A147" s="160" t="s">
        <v>535</v>
      </c>
      <c r="B147" s="161" t="s">
        <v>783</v>
      </c>
      <c r="C147" s="162" t="s">
        <v>795</v>
      </c>
      <c r="D147" s="165"/>
      <c r="E147" s="165"/>
      <c r="F147" s="166"/>
      <c r="G147" s="167"/>
      <c r="H147" s="163">
        <v>457.1</v>
      </c>
      <c r="I147" s="163"/>
      <c r="J147" s="163">
        <v>265.9</v>
      </c>
      <c r="K147" s="164">
        <f t="shared" si="7"/>
        <v>191.20000000000005</v>
      </c>
      <c r="L147" s="239">
        <f t="shared" si="8"/>
        <v>0.5817107853861299</v>
      </c>
      <c r="N147" s="165"/>
      <c r="O147" s="165"/>
      <c r="P147" s="166"/>
      <c r="Q147" s="167"/>
      <c r="R147" s="165"/>
      <c r="S147" s="165"/>
      <c r="T147" s="166"/>
      <c r="U147" s="167"/>
      <c r="V147" s="165"/>
      <c r="W147" s="165"/>
      <c r="X147" s="166"/>
      <c r="Y147" s="167"/>
      <c r="Z147" s="165"/>
      <c r="AA147" s="165"/>
      <c r="AB147" s="166"/>
      <c r="AC147" s="167"/>
      <c r="AD147" s="165"/>
      <c r="AE147" s="165"/>
      <c r="AF147" s="166"/>
      <c r="AG147" s="167"/>
      <c r="AH147" s="169"/>
      <c r="AI147" s="169"/>
    </row>
    <row r="148" spans="1:35" s="168" customFormat="1" ht="60" hidden="1">
      <c r="A148" s="160" t="s">
        <v>535</v>
      </c>
      <c r="B148" s="161" t="s">
        <v>783</v>
      </c>
      <c r="C148" s="162" t="s">
        <v>796</v>
      </c>
      <c r="D148" s="165"/>
      <c r="E148" s="165"/>
      <c r="F148" s="166"/>
      <c r="G148" s="167"/>
      <c r="H148" s="163"/>
      <c r="I148" s="163"/>
      <c r="J148" s="163"/>
      <c r="K148" s="164">
        <f t="shared" si="7"/>
        <v>0</v>
      </c>
      <c r="L148" s="239" t="e">
        <f t="shared" si="8"/>
        <v>#DIV/0!</v>
      </c>
      <c r="N148" s="165"/>
      <c r="O148" s="165"/>
      <c r="P148" s="166"/>
      <c r="Q148" s="167"/>
      <c r="R148" s="165"/>
      <c r="S148" s="165"/>
      <c r="T148" s="166"/>
      <c r="U148" s="167"/>
      <c r="V148" s="165"/>
      <c r="W148" s="165"/>
      <c r="X148" s="166"/>
      <c r="Y148" s="167"/>
      <c r="Z148" s="165"/>
      <c r="AA148" s="165"/>
      <c r="AB148" s="166"/>
      <c r="AC148" s="167"/>
      <c r="AD148" s="165"/>
      <c r="AE148" s="165"/>
      <c r="AF148" s="166"/>
      <c r="AG148" s="167"/>
      <c r="AH148" s="169"/>
      <c r="AI148" s="169"/>
    </row>
    <row r="149" spans="1:35" s="168" customFormat="1" ht="60" hidden="1">
      <c r="A149" s="160" t="s">
        <v>535</v>
      </c>
      <c r="B149" s="161" t="s">
        <v>783</v>
      </c>
      <c r="C149" s="162" t="s">
        <v>797</v>
      </c>
      <c r="D149" s="165"/>
      <c r="E149" s="165"/>
      <c r="F149" s="166"/>
      <c r="G149" s="167"/>
      <c r="H149" s="163"/>
      <c r="I149" s="163"/>
      <c r="J149" s="163"/>
      <c r="K149" s="164">
        <f t="shared" si="7"/>
        <v>0</v>
      </c>
      <c r="L149" s="239" t="e">
        <f t="shared" si="8"/>
        <v>#DIV/0!</v>
      </c>
      <c r="N149" s="165"/>
      <c r="O149" s="165"/>
      <c r="P149" s="166"/>
      <c r="Q149" s="167"/>
      <c r="R149" s="165"/>
      <c r="S149" s="165"/>
      <c r="T149" s="166"/>
      <c r="U149" s="167"/>
      <c r="V149" s="165"/>
      <c r="W149" s="165"/>
      <c r="X149" s="166"/>
      <c r="Y149" s="167"/>
      <c r="Z149" s="165"/>
      <c r="AA149" s="165"/>
      <c r="AB149" s="166"/>
      <c r="AC149" s="167"/>
      <c r="AD149" s="165"/>
      <c r="AE149" s="165"/>
      <c r="AF149" s="166"/>
      <c r="AG149" s="167"/>
      <c r="AH149" s="169"/>
      <c r="AI149" s="169"/>
    </row>
    <row r="150" spans="1:35" s="168" customFormat="1" ht="49.5" customHeight="1" hidden="1">
      <c r="A150" s="160" t="s">
        <v>535</v>
      </c>
      <c r="B150" s="161" t="s">
        <v>783</v>
      </c>
      <c r="C150" s="162" t="s">
        <v>798</v>
      </c>
      <c r="D150" s="165"/>
      <c r="E150" s="165"/>
      <c r="F150" s="166"/>
      <c r="G150" s="167"/>
      <c r="H150" s="163"/>
      <c r="I150" s="163"/>
      <c r="J150" s="163"/>
      <c r="K150" s="164">
        <f t="shared" si="7"/>
        <v>0</v>
      </c>
      <c r="L150" s="239" t="e">
        <f t="shared" si="8"/>
        <v>#DIV/0!</v>
      </c>
      <c r="N150" s="165"/>
      <c r="O150" s="165"/>
      <c r="P150" s="166"/>
      <c r="Q150" s="167"/>
      <c r="R150" s="165"/>
      <c r="S150" s="165"/>
      <c r="T150" s="166"/>
      <c r="U150" s="167"/>
      <c r="V150" s="165"/>
      <c r="W150" s="165"/>
      <c r="X150" s="166"/>
      <c r="Y150" s="167"/>
      <c r="Z150" s="165"/>
      <c r="AA150" s="165"/>
      <c r="AB150" s="166"/>
      <c r="AC150" s="167"/>
      <c r="AD150" s="165"/>
      <c r="AE150" s="165"/>
      <c r="AF150" s="166"/>
      <c r="AG150" s="167"/>
      <c r="AH150" s="169"/>
      <c r="AI150" s="169"/>
    </row>
    <row r="151" spans="1:35" s="168" customFormat="1" ht="221.25" customHeight="1">
      <c r="A151" s="160" t="s">
        <v>535</v>
      </c>
      <c r="B151" s="161" t="s">
        <v>783</v>
      </c>
      <c r="C151" s="162" t="s">
        <v>799</v>
      </c>
      <c r="D151" s="165"/>
      <c r="E151" s="165"/>
      <c r="F151" s="166"/>
      <c r="G151" s="167"/>
      <c r="H151" s="163">
        <v>26054.7</v>
      </c>
      <c r="I151" s="163"/>
      <c r="J151" s="163">
        <v>14968.7</v>
      </c>
      <c r="K151" s="164">
        <f t="shared" si="7"/>
        <v>11086</v>
      </c>
      <c r="L151" s="239">
        <f t="shared" si="8"/>
        <v>0.5745105489604563</v>
      </c>
      <c r="N151" s="165"/>
      <c r="O151" s="165"/>
      <c r="P151" s="166"/>
      <c r="Q151" s="167"/>
      <c r="R151" s="165"/>
      <c r="S151" s="165"/>
      <c r="T151" s="166"/>
      <c r="U151" s="167"/>
      <c r="V151" s="165"/>
      <c r="W151" s="165"/>
      <c r="X151" s="166"/>
      <c r="Y151" s="167"/>
      <c r="Z151" s="165"/>
      <c r="AA151" s="165"/>
      <c r="AB151" s="166"/>
      <c r="AC151" s="167"/>
      <c r="AD151" s="165"/>
      <c r="AE151" s="165"/>
      <c r="AF151" s="166"/>
      <c r="AG151" s="167"/>
      <c r="AH151" s="169"/>
      <c r="AI151" s="169"/>
    </row>
    <row r="152" spans="1:35" s="168" customFormat="1" ht="50.25" customHeight="1">
      <c r="A152" s="160" t="s">
        <v>535</v>
      </c>
      <c r="B152" s="161" t="s">
        <v>783</v>
      </c>
      <c r="C152" s="162" t="s">
        <v>800</v>
      </c>
      <c r="D152" s="165"/>
      <c r="E152" s="165"/>
      <c r="F152" s="166"/>
      <c r="G152" s="167"/>
      <c r="H152" s="163">
        <v>4952.8</v>
      </c>
      <c r="I152" s="163"/>
      <c r="J152" s="163">
        <v>2360.8</v>
      </c>
      <c r="K152" s="164">
        <f t="shared" si="7"/>
        <v>2592</v>
      </c>
      <c r="L152" s="239">
        <f t="shared" si="8"/>
        <v>0.4766596672589243</v>
      </c>
      <c r="N152" s="165"/>
      <c r="O152" s="165"/>
      <c r="P152" s="166"/>
      <c r="Q152" s="167"/>
      <c r="R152" s="165"/>
      <c r="S152" s="165"/>
      <c r="T152" s="166"/>
      <c r="U152" s="167"/>
      <c r="V152" s="165"/>
      <c r="W152" s="165"/>
      <c r="X152" s="166"/>
      <c r="Y152" s="167"/>
      <c r="Z152" s="165"/>
      <c r="AA152" s="165"/>
      <c r="AB152" s="166"/>
      <c r="AC152" s="167"/>
      <c r="AD152" s="165"/>
      <c r="AE152" s="165"/>
      <c r="AF152" s="166"/>
      <c r="AG152" s="167"/>
      <c r="AH152" s="169"/>
      <c r="AI152" s="169"/>
    </row>
    <row r="153" spans="1:35" s="168" customFormat="1" ht="48">
      <c r="A153" s="160" t="s">
        <v>535</v>
      </c>
      <c r="B153" s="161" t="s">
        <v>783</v>
      </c>
      <c r="C153" s="162" t="s">
        <v>801</v>
      </c>
      <c r="D153" s="165"/>
      <c r="E153" s="165"/>
      <c r="F153" s="166"/>
      <c r="G153" s="167"/>
      <c r="H153" s="163">
        <v>1369.9</v>
      </c>
      <c r="I153" s="163"/>
      <c r="J153" s="163">
        <v>0</v>
      </c>
      <c r="K153" s="164">
        <f t="shared" si="7"/>
        <v>1369.9</v>
      </c>
      <c r="L153" s="239">
        <f t="shared" si="8"/>
        <v>0</v>
      </c>
      <c r="N153" s="165"/>
      <c r="O153" s="165"/>
      <c r="P153" s="166"/>
      <c r="Q153" s="167"/>
      <c r="R153" s="165"/>
      <c r="S153" s="165"/>
      <c r="T153" s="166"/>
      <c r="U153" s="167"/>
      <c r="V153" s="165"/>
      <c r="W153" s="165"/>
      <c r="X153" s="166"/>
      <c r="Y153" s="167"/>
      <c r="Z153" s="165"/>
      <c r="AA153" s="165"/>
      <c r="AB153" s="166"/>
      <c r="AC153" s="167"/>
      <c r="AD153" s="165"/>
      <c r="AE153" s="165"/>
      <c r="AF153" s="166"/>
      <c r="AG153" s="167"/>
      <c r="AH153" s="169"/>
      <c r="AI153" s="169"/>
    </row>
    <row r="154" spans="1:35" s="168" customFormat="1" ht="60" hidden="1">
      <c r="A154" s="160" t="s">
        <v>535</v>
      </c>
      <c r="B154" s="161" t="s">
        <v>783</v>
      </c>
      <c r="C154" s="162" t="s">
        <v>802</v>
      </c>
      <c r="D154" s="165"/>
      <c r="E154" s="165"/>
      <c r="F154" s="166"/>
      <c r="G154" s="167"/>
      <c r="H154" s="163"/>
      <c r="I154" s="163"/>
      <c r="J154" s="163"/>
      <c r="K154" s="164">
        <f t="shared" si="7"/>
        <v>0</v>
      </c>
      <c r="L154" s="239" t="e">
        <f t="shared" si="8"/>
        <v>#DIV/0!</v>
      </c>
      <c r="N154" s="165"/>
      <c r="O154" s="165"/>
      <c r="P154" s="166"/>
      <c r="Q154" s="167"/>
      <c r="R154" s="165"/>
      <c r="S154" s="165"/>
      <c r="T154" s="166"/>
      <c r="U154" s="167"/>
      <c r="V154" s="165"/>
      <c r="W154" s="165"/>
      <c r="X154" s="166"/>
      <c r="Y154" s="167"/>
      <c r="Z154" s="165"/>
      <c r="AA154" s="165"/>
      <c r="AB154" s="166"/>
      <c r="AC154" s="167"/>
      <c r="AD154" s="165"/>
      <c r="AE154" s="165"/>
      <c r="AF154" s="166"/>
      <c r="AG154" s="167"/>
      <c r="AH154" s="169"/>
      <c r="AI154" s="169"/>
    </row>
    <row r="155" spans="1:35" s="168" customFormat="1" ht="48">
      <c r="A155" s="160" t="s">
        <v>535</v>
      </c>
      <c r="B155" s="161" t="s">
        <v>783</v>
      </c>
      <c r="C155" s="162" t="s">
        <v>803</v>
      </c>
      <c r="D155" s="165"/>
      <c r="E155" s="165"/>
      <c r="F155" s="166"/>
      <c r="G155" s="167"/>
      <c r="H155" s="163">
        <v>626.5</v>
      </c>
      <c r="I155" s="163"/>
      <c r="J155" s="163">
        <v>325.8</v>
      </c>
      <c r="K155" s="164">
        <f t="shared" si="7"/>
        <v>300.7</v>
      </c>
      <c r="L155" s="239">
        <f t="shared" si="8"/>
        <v>0.5200319233838787</v>
      </c>
      <c r="N155" s="165"/>
      <c r="O155" s="165"/>
      <c r="P155" s="166"/>
      <c r="Q155" s="167"/>
      <c r="R155" s="165"/>
      <c r="S155" s="165"/>
      <c r="T155" s="166"/>
      <c r="U155" s="167"/>
      <c r="V155" s="165"/>
      <c r="W155" s="165"/>
      <c r="X155" s="166"/>
      <c r="Y155" s="167"/>
      <c r="Z155" s="165"/>
      <c r="AA155" s="165"/>
      <c r="AB155" s="166"/>
      <c r="AC155" s="167"/>
      <c r="AD155" s="165"/>
      <c r="AE155" s="165"/>
      <c r="AF155" s="166"/>
      <c r="AG155" s="167"/>
      <c r="AH155" s="169"/>
      <c r="AI155" s="169"/>
    </row>
    <row r="156" spans="1:35" s="168" customFormat="1" ht="48">
      <c r="A156" s="160" t="s">
        <v>535</v>
      </c>
      <c r="B156" s="161" t="s">
        <v>783</v>
      </c>
      <c r="C156" s="162" t="s">
        <v>804</v>
      </c>
      <c r="D156" s="165"/>
      <c r="E156" s="165"/>
      <c r="F156" s="166"/>
      <c r="G156" s="167"/>
      <c r="H156" s="163">
        <v>103.1</v>
      </c>
      <c r="I156" s="163"/>
      <c r="J156" s="163">
        <v>61.2</v>
      </c>
      <c r="K156" s="164">
        <f t="shared" si="7"/>
        <v>41.89999999999999</v>
      </c>
      <c r="L156" s="239">
        <f t="shared" si="8"/>
        <v>0.5935984481086325</v>
      </c>
      <c r="N156" s="165"/>
      <c r="O156" s="165"/>
      <c r="P156" s="166"/>
      <c r="Q156" s="167"/>
      <c r="R156" s="165"/>
      <c r="S156" s="165"/>
      <c r="T156" s="166"/>
      <c r="U156" s="167"/>
      <c r="V156" s="165"/>
      <c r="W156" s="165"/>
      <c r="X156" s="166"/>
      <c r="Y156" s="167"/>
      <c r="Z156" s="165"/>
      <c r="AA156" s="165"/>
      <c r="AB156" s="166"/>
      <c r="AC156" s="167"/>
      <c r="AD156" s="165"/>
      <c r="AE156" s="165"/>
      <c r="AF156" s="166"/>
      <c r="AG156" s="167"/>
      <c r="AH156" s="169"/>
      <c r="AI156" s="169"/>
    </row>
    <row r="157" spans="1:35" s="168" customFormat="1" ht="36">
      <c r="A157" s="160" t="s">
        <v>535</v>
      </c>
      <c r="B157" s="161" t="s">
        <v>783</v>
      </c>
      <c r="C157" s="162" t="s">
        <v>805</v>
      </c>
      <c r="D157" s="165"/>
      <c r="E157" s="165"/>
      <c r="F157" s="166"/>
      <c r="G157" s="167"/>
      <c r="H157" s="163">
        <v>8494.1</v>
      </c>
      <c r="I157" s="163"/>
      <c r="J157" s="163">
        <v>4048.9</v>
      </c>
      <c r="K157" s="164">
        <f t="shared" si="7"/>
        <v>4445.200000000001</v>
      </c>
      <c r="L157" s="239">
        <f t="shared" si="8"/>
        <v>0.47667204294745763</v>
      </c>
      <c r="N157" s="165"/>
      <c r="O157" s="165"/>
      <c r="P157" s="166"/>
      <c r="Q157" s="167"/>
      <c r="R157" s="165"/>
      <c r="S157" s="165"/>
      <c r="T157" s="166"/>
      <c r="U157" s="167"/>
      <c r="V157" s="165"/>
      <c r="W157" s="165"/>
      <c r="X157" s="166"/>
      <c r="Y157" s="167"/>
      <c r="Z157" s="165"/>
      <c r="AA157" s="165"/>
      <c r="AB157" s="166"/>
      <c r="AC157" s="167"/>
      <c r="AD157" s="165"/>
      <c r="AE157" s="165"/>
      <c r="AF157" s="166"/>
      <c r="AG157" s="167"/>
      <c r="AH157" s="169"/>
      <c r="AI157" s="169"/>
    </row>
    <row r="158" spans="1:35" s="168" customFormat="1" ht="96">
      <c r="A158" s="160" t="s">
        <v>535</v>
      </c>
      <c r="B158" s="161" t="s">
        <v>783</v>
      </c>
      <c r="C158" s="162" t="s">
        <v>806</v>
      </c>
      <c r="D158" s="165"/>
      <c r="E158" s="165"/>
      <c r="F158" s="166"/>
      <c r="G158" s="167"/>
      <c r="H158" s="163">
        <v>99094.2</v>
      </c>
      <c r="I158" s="163"/>
      <c r="J158" s="163">
        <v>62509.7</v>
      </c>
      <c r="K158" s="164">
        <f t="shared" si="7"/>
        <v>36584.5</v>
      </c>
      <c r="L158" s="239">
        <f t="shared" si="8"/>
        <v>0.6308108849962965</v>
      </c>
      <c r="N158" s="165"/>
      <c r="O158" s="165"/>
      <c r="P158" s="166"/>
      <c r="Q158" s="167"/>
      <c r="R158" s="165"/>
      <c r="S158" s="165"/>
      <c r="T158" s="166"/>
      <c r="U158" s="167"/>
      <c r="V158" s="165"/>
      <c r="W158" s="165"/>
      <c r="X158" s="166"/>
      <c r="Y158" s="167"/>
      <c r="Z158" s="165"/>
      <c r="AA158" s="165"/>
      <c r="AB158" s="166"/>
      <c r="AC158" s="167"/>
      <c r="AD158" s="165"/>
      <c r="AE158" s="165"/>
      <c r="AF158" s="166"/>
      <c r="AG158" s="167"/>
      <c r="AH158" s="169"/>
      <c r="AI158" s="169"/>
    </row>
    <row r="159" spans="1:35" s="168" customFormat="1" ht="72">
      <c r="A159" s="160" t="s">
        <v>535</v>
      </c>
      <c r="B159" s="161" t="s">
        <v>783</v>
      </c>
      <c r="C159" s="162" t="s">
        <v>807</v>
      </c>
      <c r="D159" s="165"/>
      <c r="E159" s="165"/>
      <c r="F159" s="166"/>
      <c r="G159" s="167"/>
      <c r="H159" s="163">
        <v>399.1</v>
      </c>
      <c r="I159" s="163"/>
      <c r="J159" s="163">
        <v>211.1</v>
      </c>
      <c r="K159" s="164">
        <f t="shared" si="7"/>
        <v>188.00000000000003</v>
      </c>
      <c r="L159" s="239">
        <f t="shared" si="8"/>
        <v>0.5289401152593335</v>
      </c>
      <c r="N159" s="165"/>
      <c r="O159" s="165"/>
      <c r="P159" s="166"/>
      <c r="Q159" s="167"/>
      <c r="R159" s="165"/>
      <c r="S159" s="165"/>
      <c r="T159" s="166"/>
      <c r="U159" s="167"/>
      <c r="V159" s="165"/>
      <c r="W159" s="165"/>
      <c r="X159" s="166"/>
      <c r="Y159" s="167"/>
      <c r="Z159" s="165"/>
      <c r="AA159" s="165"/>
      <c r="AB159" s="166"/>
      <c r="AC159" s="167"/>
      <c r="AD159" s="165"/>
      <c r="AE159" s="165"/>
      <c r="AF159" s="166"/>
      <c r="AG159" s="167"/>
      <c r="AH159" s="169"/>
      <c r="AI159" s="169"/>
    </row>
    <row r="160" spans="1:35" s="168" customFormat="1" ht="144" hidden="1">
      <c r="A160" s="160" t="s">
        <v>535</v>
      </c>
      <c r="B160" s="161" t="s">
        <v>783</v>
      </c>
      <c r="C160" s="162" t="s">
        <v>808</v>
      </c>
      <c r="D160" s="165"/>
      <c r="E160" s="165"/>
      <c r="F160" s="166"/>
      <c r="G160" s="167"/>
      <c r="H160" s="163"/>
      <c r="I160" s="163"/>
      <c r="J160" s="163"/>
      <c r="K160" s="164">
        <f t="shared" si="7"/>
        <v>0</v>
      </c>
      <c r="L160" s="239" t="e">
        <f t="shared" si="8"/>
        <v>#DIV/0!</v>
      </c>
      <c r="N160" s="165"/>
      <c r="O160" s="165"/>
      <c r="P160" s="166"/>
      <c r="Q160" s="167"/>
      <c r="R160" s="165"/>
      <c r="S160" s="165"/>
      <c r="T160" s="166"/>
      <c r="U160" s="167"/>
      <c r="V160" s="165"/>
      <c r="W160" s="165"/>
      <c r="X160" s="166"/>
      <c r="Y160" s="167"/>
      <c r="Z160" s="165"/>
      <c r="AA160" s="165"/>
      <c r="AB160" s="166"/>
      <c r="AC160" s="167"/>
      <c r="AD160" s="165"/>
      <c r="AE160" s="165"/>
      <c r="AF160" s="166"/>
      <c r="AG160" s="167"/>
      <c r="AH160" s="169"/>
      <c r="AI160" s="169"/>
    </row>
    <row r="161" spans="1:35" s="168" customFormat="1" ht="120.75" customHeight="1">
      <c r="A161" s="160" t="s">
        <v>535</v>
      </c>
      <c r="B161" s="161" t="s">
        <v>783</v>
      </c>
      <c r="C161" s="162" t="s">
        <v>809</v>
      </c>
      <c r="D161" s="165"/>
      <c r="E161" s="165"/>
      <c r="F161" s="166"/>
      <c r="G161" s="167"/>
      <c r="H161" s="163">
        <v>9072.5</v>
      </c>
      <c r="I161" s="163"/>
      <c r="J161" s="163">
        <v>5407.8</v>
      </c>
      <c r="K161" s="164">
        <f t="shared" si="7"/>
        <v>3664.7</v>
      </c>
      <c r="L161" s="239">
        <f t="shared" si="8"/>
        <v>0.5960650316891706</v>
      </c>
      <c r="N161" s="165"/>
      <c r="O161" s="165"/>
      <c r="P161" s="166"/>
      <c r="Q161" s="167"/>
      <c r="R161" s="165"/>
      <c r="S161" s="165"/>
      <c r="T161" s="166"/>
      <c r="U161" s="167"/>
      <c r="V161" s="165"/>
      <c r="W161" s="165"/>
      <c r="X161" s="166"/>
      <c r="Y161" s="167"/>
      <c r="Z161" s="165"/>
      <c r="AA161" s="165"/>
      <c r="AB161" s="166"/>
      <c r="AC161" s="167"/>
      <c r="AD161" s="165"/>
      <c r="AE161" s="165"/>
      <c r="AF161" s="166"/>
      <c r="AG161" s="167"/>
      <c r="AH161" s="169"/>
      <c r="AI161" s="169"/>
    </row>
    <row r="162" spans="1:35" s="168" customFormat="1" ht="135.75" customHeight="1">
      <c r="A162" s="160" t="s">
        <v>535</v>
      </c>
      <c r="B162" s="161" t="s">
        <v>783</v>
      </c>
      <c r="C162" s="162" t="s">
        <v>1104</v>
      </c>
      <c r="D162" s="165"/>
      <c r="E162" s="165"/>
      <c r="F162" s="166"/>
      <c r="G162" s="167"/>
      <c r="H162" s="163">
        <v>136.1</v>
      </c>
      <c r="I162" s="163"/>
      <c r="J162" s="163">
        <v>81.1</v>
      </c>
      <c r="K162" s="164">
        <f t="shared" si="7"/>
        <v>55</v>
      </c>
      <c r="L162" s="239">
        <f t="shared" si="8"/>
        <v>0.5958853783982365</v>
      </c>
      <c r="N162" s="165"/>
      <c r="O162" s="165"/>
      <c r="P162" s="166"/>
      <c r="Q162" s="167"/>
      <c r="R162" s="165"/>
      <c r="S162" s="165"/>
      <c r="T162" s="166"/>
      <c r="U162" s="167"/>
      <c r="V162" s="165"/>
      <c r="W162" s="165"/>
      <c r="X162" s="166"/>
      <c r="Y162" s="167"/>
      <c r="Z162" s="165"/>
      <c r="AA162" s="165"/>
      <c r="AB162" s="166"/>
      <c r="AC162" s="167"/>
      <c r="AD162" s="165"/>
      <c r="AE162" s="165"/>
      <c r="AF162" s="166"/>
      <c r="AG162" s="167"/>
      <c r="AH162" s="169"/>
      <c r="AI162" s="169"/>
    </row>
    <row r="163" spans="1:35" s="168" customFormat="1" ht="96">
      <c r="A163" s="160" t="s">
        <v>535</v>
      </c>
      <c r="B163" s="161" t="s">
        <v>783</v>
      </c>
      <c r="C163" s="162" t="s">
        <v>810</v>
      </c>
      <c r="D163" s="165"/>
      <c r="E163" s="165"/>
      <c r="F163" s="166"/>
      <c r="G163" s="167"/>
      <c r="H163" s="163">
        <v>245</v>
      </c>
      <c r="I163" s="163"/>
      <c r="J163" s="163">
        <v>100</v>
      </c>
      <c r="K163" s="164">
        <f t="shared" si="7"/>
        <v>145</v>
      </c>
      <c r="L163" s="239">
        <f t="shared" si="8"/>
        <v>0.40816326530612246</v>
      </c>
      <c r="N163" s="165"/>
      <c r="O163" s="165"/>
      <c r="P163" s="166"/>
      <c r="Q163" s="167"/>
      <c r="R163" s="165"/>
      <c r="S163" s="165"/>
      <c r="T163" s="166"/>
      <c r="U163" s="167"/>
      <c r="V163" s="165"/>
      <c r="W163" s="165"/>
      <c r="X163" s="166"/>
      <c r="Y163" s="167"/>
      <c r="Z163" s="165"/>
      <c r="AA163" s="165"/>
      <c r="AB163" s="166"/>
      <c r="AC163" s="167"/>
      <c r="AD163" s="165"/>
      <c r="AE163" s="165"/>
      <c r="AF163" s="166"/>
      <c r="AG163" s="167"/>
      <c r="AH163" s="169"/>
      <c r="AI163" s="169"/>
    </row>
    <row r="164" spans="1:35" s="168" customFormat="1" ht="109.5" customHeight="1">
      <c r="A164" s="160" t="s">
        <v>535</v>
      </c>
      <c r="B164" s="161" t="s">
        <v>783</v>
      </c>
      <c r="C164" s="162" t="s">
        <v>811</v>
      </c>
      <c r="D164" s="165"/>
      <c r="E164" s="165"/>
      <c r="F164" s="166"/>
      <c r="G164" s="167"/>
      <c r="H164" s="163">
        <v>3.7</v>
      </c>
      <c r="I164" s="163"/>
      <c r="J164" s="163">
        <v>1.6</v>
      </c>
      <c r="K164" s="164">
        <f t="shared" si="7"/>
        <v>2.1</v>
      </c>
      <c r="L164" s="239">
        <f t="shared" si="8"/>
        <v>0.43243243243243246</v>
      </c>
      <c r="N164" s="165"/>
      <c r="O164" s="165"/>
      <c r="P164" s="166"/>
      <c r="Q164" s="167"/>
      <c r="R164" s="165"/>
      <c r="S164" s="165"/>
      <c r="T164" s="166"/>
      <c r="U164" s="167"/>
      <c r="V164" s="165"/>
      <c r="W164" s="165"/>
      <c r="X164" s="166"/>
      <c r="Y164" s="167"/>
      <c r="Z164" s="165"/>
      <c r="AA164" s="165"/>
      <c r="AB164" s="166"/>
      <c r="AC164" s="167"/>
      <c r="AD164" s="165"/>
      <c r="AE164" s="165"/>
      <c r="AF164" s="166"/>
      <c r="AG164" s="167"/>
      <c r="AH164" s="169"/>
      <c r="AI164" s="169"/>
    </row>
    <row r="165" spans="1:35" s="168" customFormat="1" ht="108">
      <c r="A165" s="160" t="s">
        <v>535</v>
      </c>
      <c r="B165" s="161" t="s">
        <v>783</v>
      </c>
      <c r="C165" s="162" t="s">
        <v>812</v>
      </c>
      <c r="D165" s="165"/>
      <c r="E165" s="165"/>
      <c r="F165" s="166"/>
      <c r="G165" s="167"/>
      <c r="H165" s="163">
        <v>1419.2</v>
      </c>
      <c r="I165" s="163"/>
      <c r="J165" s="163">
        <v>920.8</v>
      </c>
      <c r="K165" s="164">
        <f t="shared" si="7"/>
        <v>498.4000000000001</v>
      </c>
      <c r="L165" s="239">
        <f t="shared" si="8"/>
        <v>0.6488162344983088</v>
      </c>
      <c r="N165" s="165"/>
      <c r="O165" s="165"/>
      <c r="P165" s="166"/>
      <c r="Q165" s="167"/>
      <c r="R165" s="165"/>
      <c r="S165" s="165"/>
      <c r="T165" s="166"/>
      <c r="U165" s="167"/>
      <c r="V165" s="165"/>
      <c r="W165" s="165"/>
      <c r="X165" s="166"/>
      <c r="Y165" s="167"/>
      <c r="Z165" s="165"/>
      <c r="AA165" s="165"/>
      <c r="AB165" s="166"/>
      <c r="AC165" s="167"/>
      <c r="AD165" s="165"/>
      <c r="AE165" s="165"/>
      <c r="AF165" s="166"/>
      <c r="AG165" s="167"/>
      <c r="AH165" s="169"/>
      <c r="AI165" s="169"/>
    </row>
    <row r="166" spans="1:35" s="168" customFormat="1" ht="121.5" customHeight="1">
      <c r="A166" s="160" t="s">
        <v>535</v>
      </c>
      <c r="B166" s="161" t="s">
        <v>783</v>
      </c>
      <c r="C166" s="162" t="s">
        <v>813</v>
      </c>
      <c r="D166" s="165"/>
      <c r="E166" s="165"/>
      <c r="F166" s="166"/>
      <c r="G166" s="167"/>
      <c r="H166" s="163">
        <v>21.3</v>
      </c>
      <c r="I166" s="163"/>
      <c r="J166" s="163">
        <v>13.9</v>
      </c>
      <c r="K166" s="164">
        <f t="shared" si="7"/>
        <v>7.4</v>
      </c>
      <c r="L166" s="239">
        <f t="shared" si="8"/>
        <v>0.6525821596244131</v>
      </c>
      <c r="N166" s="165"/>
      <c r="O166" s="165"/>
      <c r="P166" s="166"/>
      <c r="Q166" s="167"/>
      <c r="R166" s="165"/>
      <c r="S166" s="165"/>
      <c r="T166" s="166"/>
      <c r="U166" s="167"/>
      <c r="V166" s="165"/>
      <c r="W166" s="165"/>
      <c r="X166" s="166"/>
      <c r="Y166" s="167"/>
      <c r="Z166" s="165"/>
      <c r="AA166" s="165"/>
      <c r="AB166" s="166"/>
      <c r="AC166" s="167"/>
      <c r="AD166" s="165"/>
      <c r="AE166" s="165"/>
      <c r="AF166" s="166"/>
      <c r="AG166" s="167"/>
      <c r="AH166" s="169"/>
      <c r="AI166" s="169"/>
    </row>
    <row r="167" spans="1:35" s="168" customFormat="1" ht="120">
      <c r="A167" s="160" t="s">
        <v>535</v>
      </c>
      <c r="B167" s="161" t="s">
        <v>783</v>
      </c>
      <c r="C167" s="162" t="s">
        <v>814</v>
      </c>
      <c r="D167" s="165"/>
      <c r="E167" s="165"/>
      <c r="F167" s="166"/>
      <c r="G167" s="167"/>
      <c r="H167" s="163">
        <v>370195</v>
      </c>
      <c r="I167" s="163"/>
      <c r="J167" s="163">
        <v>200226.1</v>
      </c>
      <c r="K167" s="164">
        <f t="shared" si="7"/>
        <v>169968.9</v>
      </c>
      <c r="L167" s="239">
        <f t="shared" si="8"/>
        <v>0.540866570321047</v>
      </c>
      <c r="N167" s="165"/>
      <c r="O167" s="165"/>
      <c r="P167" s="166"/>
      <c r="Q167" s="167"/>
      <c r="R167" s="165"/>
      <c r="S167" s="165"/>
      <c r="T167" s="166"/>
      <c r="U167" s="167"/>
      <c r="V167" s="165"/>
      <c r="W167" s="165"/>
      <c r="X167" s="166"/>
      <c r="Y167" s="167"/>
      <c r="Z167" s="165"/>
      <c r="AA167" s="165"/>
      <c r="AB167" s="166"/>
      <c r="AC167" s="167"/>
      <c r="AD167" s="165"/>
      <c r="AE167" s="165"/>
      <c r="AF167" s="166"/>
      <c r="AG167" s="167"/>
      <c r="AH167" s="169"/>
      <c r="AI167" s="169"/>
    </row>
    <row r="168" spans="1:35" s="168" customFormat="1" ht="48">
      <c r="A168" s="160" t="s">
        <v>535</v>
      </c>
      <c r="B168" s="161" t="s">
        <v>783</v>
      </c>
      <c r="C168" s="162" t="s">
        <v>815</v>
      </c>
      <c r="D168" s="165"/>
      <c r="E168" s="165"/>
      <c r="F168" s="166"/>
      <c r="G168" s="167"/>
      <c r="H168" s="163">
        <v>1292.9</v>
      </c>
      <c r="I168" s="163"/>
      <c r="J168" s="163">
        <v>653.2</v>
      </c>
      <c r="K168" s="164">
        <f t="shared" si="7"/>
        <v>639.7</v>
      </c>
      <c r="L168" s="239">
        <f t="shared" si="8"/>
        <v>0.5052208214092351</v>
      </c>
      <c r="N168" s="165"/>
      <c r="O168" s="165"/>
      <c r="P168" s="166"/>
      <c r="Q168" s="167"/>
      <c r="R168" s="165"/>
      <c r="S168" s="165"/>
      <c r="T168" s="166"/>
      <c r="U168" s="167"/>
      <c r="V168" s="165"/>
      <c r="W168" s="165"/>
      <c r="X168" s="166"/>
      <c r="Y168" s="167"/>
      <c r="Z168" s="165"/>
      <c r="AA168" s="165"/>
      <c r="AB168" s="166"/>
      <c r="AC168" s="167"/>
      <c r="AD168" s="165"/>
      <c r="AE168" s="165"/>
      <c r="AF168" s="166"/>
      <c r="AG168" s="167"/>
      <c r="AH168" s="169"/>
      <c r="AI168" s="169"/>
    </row>
    <row r="169" spans="1:35" s="168" customFormat="1" ht="72">
      <c r="A169" s="160" t="s">
        <v>535</v>
      </c>
      <c r="B169" s="161" t="s">
        <v>783</v>
      </c>
      <c r="C169" s="162" t="s">
        <v>816</v>
      </c>
      <c r="D169" s="165"/>
      <c r="E169" s="165"/>
      <c r="F169" s="166"/>
      <c r="G169" s="167"/>
      <c r="H169" s="163">
        <v>19.4</v>
      </c>
      <c r="I169" s="163"/>
      <c r="J169" s="163">
        <v>9.9</v>
      </c>
      <c r="K169" s="164">
        <f t="shared" si="7"/>
        <v>9.499999999999998</v>
      </c>
      <c r="L169" s="239">
        <f t="shared" si="8"/>
        <v>0.5103092783505155</v>
      </c>
      <c r="N169" s="165"/>
      <c r="O169" s="165"/>
      <c r="P169" s="166"/>
      <c r="Q169" s="167"/>
      <c r="R169" s="165"/>
      <c r="S169" s="165"/>
      <c r="T169" s="166"/>
      <c r="U169" s="167"/>
      <c r="V169" s="165"/>
      <c r="W169" s="165"/>
      <c r="X169" s="166"/>
      <c r="Y169" s="167"/>
      <c r="Z169" s="165"/>
      <c r="AA169" s="165"/>
      <c r="AB169" s="166"/>
      <c r="AC169" s="167"/>
      <c r="AD169" s="165"/>
      <c r="AE169" s="165"/>
      <c r="AF169" s="166"/>
      <c r="AG169" s="167"/>
      <c r="AH169" s="169"/>
      <c r="AI169" s="169"/>
    </row>
    <row r="170" spans="1:35" s="168" customFormat="1" ht="24">
      <c r="A170" s="160" t="s">
        <v>535</v>
      </c>
      <c r="B170" s="161" t="s">
        <v>783</v>
      </c>
      <c r="C170" s="162" t="s">
        <v>817</v>
      </c>
      <c r="D170" s="165"/>
      <c r="E170" s="165"/>
      <c r="F170" s="166"/>
      <c r="G170" s="167"/>
      <c r="H170" s="163">
        <v>10725.8</v>
      </c>
      <c r="I170" s="163"/>
      <c r="J170" s="163">
        <v>8580.6</v>
      </c>
      <c r="K170" s="164">
        <f t="shared" si="7"/>
        <v>2145.199999999999</v>
      </c>
      <c r="L170" s="239">
        <f t="shared" si="8"/>
        <v>0.7999962706744486</v>
      </c>
      <c r="N170" s="165"/>
      <c r="O170" s="165"/>
      <c r="P170" s="166"/>
      <c r="Q170" s="167"/>
      <c r="R170" s="165"/>
      <c r="S170" s="165"/>
      <c r="T170" s="166"/>
      <c r="U170" s="167"/>
      <c r="V170" s="165"/>
      <c r="W170" s="165"/>
      <c r="X170" s="166"/>
      <c r="Y170" s="167"/>
      <c r="Z170" s="165"/>
      <c r="AA170" s="165"/>
      <c r="AB170" s="166"/>
      <c r="AC170" s="167"/>
      <c r="AD170" s="165"/>
      <c r="AE170" s="165"/>
      <c r="AF170" s="166"/>
      <c r="AG170" s="167"/>
      <c r="AH170" s="169"/>
      <c r="AI170" s="169"/>
    </row>
    <row r="171" spans="1:35" s="168" customFormat="1" ht="105.75" customHeight="1">
      <c r="A171" s="160" t="s">
        <v>535</v>
      </c>
      <c r="B171" s="161" t="s">
        <v>783</v>
      </c>
      <c r="C171" s="162" t="s">
        <v>818</v>
      </c>
      <c r="D171" s="165"/>
      <c r="E171" s="165"/>
      <c r="F171" s="166"/>
      <c r="G171" s="167"/>
      <c r="H171" s="163">
        <v>7478</v>
      </c>
      <c r="I171" s="163"/>
      <c r="J171" s="163">
        <v>3739</v>
      </c>
      <c r="K171" s="164">
        <f t="shared" si="7"/>
        <v>3739</v>
      </c>
      <c r="L171" s="239">
        <f t="shared" si="8"/>
        <v>0.5</v>
      </c>
      <c r="N171" s="165"/>
      <c r="O171" s="165"/>
      <c r="P171" s="166"/>
      <c r="Q171" s="167"/>
      <c r="R171" s="165"/>
      <c r="S171" s="165"/>
      <c r="T171" s="166"/>
      <c r="U171" s="167"/>
      <c r="V171" s="165"/>
      <c r="W171" s="165"/>
      <c r="X171" s="166"/>
      <c r="Y171" s="167"/>
      <c r="Z171" s="165"/>
      <c r="AA171" s="165"/>
      <c r="AB171" s="166"/>
      <c r="AC171" s="167"/>
      <c r="AD171" s="165"/>
      <c r="AE171" s="165"/>
      <c r="AF171" s="166"/>
      <c r="AG171" s="167"/>
      <c r="AH171" s="169"/>
      <c r="AI171" s="169"/>
    </row>
    <row r="172" spans="1:35" s="168" customFormat="1" ht="132">
      <c r="A172" s="160" t="s">
        <v>535</v>
      </c>
      <c r="B172" s="161" t="s">
        <v>783</v>
      </c>
      <c r="C172" s="162" t="s">
        <v>819</v>
      </c>
      <c r="D172" s="165"/>
      <c r="E172" s="165"/>
      <c r="F172" s="166"/>
      <c r="G172" s="167"/>
      <c r="H172" s="163">
        <v>1163.3</v>
      </c>
      <c r="I172" s="163"/>
      <c r="J172" s="163">
        <v>581.7</v>
      </c>
      <c r="K172" s="164">
        <f t="shared" si="7"/>
        <v>581.5999999999999</v>
      </c>
      <c r="L172" s="239">
        <f t="shared" si="8"/>
        <v>0.5000429811742457</v>
      </c>
      <c r="N172" s="165"/>
      <c r="O172" s="165"/>
      <c r="P172" s="166"/>
      <c r="Q172" s="167"/>
      <c r="R172" s="165"/>
      <c r="S172" s="165"/>
      <c r="T172" s="166"/>
      <c r="U172" s="167"/>
      <c r="V172" s="165"/>
      <c r="W172" s="165"/>
      <c r="X172" s="166"/>
      <c r="Y172" s="167"/>
      <c r="Z172" s="165"/>
      <c r="AA172" s="165"/>
      <c r="AB172" s="166"/>
      <c r="AC172" s="167"/>
      <c r="AD172" s="165"/>
      <c r="AE172" s="165"/>
      <c r="AF172" s="166"/>
      <c r="AG172" s="167"/>
      <c r="AH172" s="169"/>
      <c r="AI172" s="169"/>
    </row>
    <row r="173" spans="1:35" s="168" customFormat="1" ht="96">
      <c r="A173" s="160" t="s">
        <v>535</v>
      </c>
      <c r="B173" s="161" t="s">
        <v>783</v>
      </c>
      <c r="C173" s="162" t="s">
        <v>820</v>
      </c>
      <c r="D173" s="165"/>
      <c r="E173" s="165"/>
      <c r="F173" s="166"/>
      <c r="G173" s="167"/>
      <c r="H173" s="163">
        <v>97.5</v>
      </c>
      <c r="I173" s="163"/>
      <c r="J173" s="163">
        <v>0</v>
      </c>
      <c r="K173" s="164">
        <f t="shared" si="7"/>
        <v>97.5</v>
      </c>
      <c r="L173" s="239">
        <f t="shared" si="8"/>
        <v>0</v>
      </c>
      <c r="N173" s="165"/>
      <c r="O173" s="165"/>
      <c r="P173" s="166"/>
      <c r="Q173" s="167"/>
      <c r="R173" s="165"/>
      <c r="S173" s="165"/>
      <c r="T173" s="166"/>
      <c r="U173" s="167"/>
      <c r="V173" s="165"/>
      <c r="W173" s="165"/>
      <c r="X173" s="166"/>
      <c r="Y173" s="167"/>
      <c r="Z173" s="165"/>
      <c r="AA173" s="165"/>
      <c r="AB173" s="166"/>
      <c r="AC173" s="167"/>
      <c r="AD173" s="165"/>
      <c r="AE173" s="165"/>
      <c r="AF173" s="166"/>
      <c r="AG173" s="167"/>
      <c r="AH173" s="169"/>
      <c r="AI173" s="169"/>
    </row>
    <row r="174" spans="1:35" s="144" customFormat="1" ht="120" hidden="1">
      <c r="A174" s="147" t="s">
        <v>535</v>
      </c>
      <c r="B174" s="149" t="s">
        <v>821</v>
      </c>
      <c r="C174" s="140" t="s">
        <v>822</v>
      </c>
      <c r="D174" s="141"/>
      <c r="E174" s="141"/>
      <c r="F174" s="142"/>
      <c r="G174" s="143"/>
      <c r="H174" s="119">
        <f>SUM(H175:H176)</f>
        <v>0</v>
      </c>
      <c r="I174" s="119">
        <f>SUM(I175:I176)</f>
        <v>10891.7</v>
      </c>
      <c r="J174" s="119">
        <f>SUM(J175:J176)</f>
        <v>0</v>
      </c>
      <c r="K174" s="91">
        <f t="shared" si="7"/>
        <v>0</v>
      </c>
      <c r="L174" s="235" t="e">
        <f t="shared" si="8"/>
        <v>#DIV/0!</v>
      </c>
      <c r="N174" s="141"/>
      <c r="O174" s="141"/>
      <c r="P174" s="142"/>
      <c r="Q174" s="143"/>
      <c r="R174" s="141"/>
      <c r="S174" s="141"/>
      <c r="T174" s="142"/>
      <c r="U174" s="143"/>
      <c r="V174" s="141"/>
      <c r="W174" s="141"/>
      <c r="X174" s="142"/>
      <c r="Y174" s="143"/>
      <c r="Z174" s="141"/>
      <c r="AA174" s="141"/>
      <c r="AB174" s="142"/>
      <c r="AC174" s="143"/>
      <c r="AD174" s="141"/>
      <c r="AE174" s="141"/>
      <c r="AF174" s="142"/>
      <c r="AG174" s="143"/>
      <c r="AH174" s="145"/>
      <c r="AI174" s="145"/>
    </row>
    <row r="175" spans="1:35" s="176" customFormat="1" ht="120" hidden="1">
      <c r="A175" s="170" t="s">
        <v>535</v>
      </c>
      <c r="B175" s="171" t="s">
        <v>821</v>
      </c>
      <c r="C175" s="172" t="s">
        <v>822</v>
      </c>
      <c r="D175" s="173"/>
      <c r="E175" s="173"/>
      <c r="F175" s="174"/>
      <c r="G175" s="175"/>
      <c r="H175" s="163"/>
      <c r="I175" s="163">
        <v>10891.7</v>
      </c>
      <c r="J175" s="163"/>
      <c r="K175" s="91">
        <f t="shared" si="7"/>
        <v>0</v>
      </c>
      <c r="L175" s="235" t="e">
        <f t="shared" si="8"/>
        <v>#DIV/0!</v>
      </c>
      <c r="N175" s="173"/>
      <c r="O175" s="173"/>
      <c r="P175" s="174"/>
      <c r="Q175" s="175"/>
      <c r="R175" s="173"/>
      <c r="S175" s="173"/>
      <c r="T175" s="174"/>
      <c r="U175" s="175"/>
      <c r="V175" s="173"/>
      <c r="W175" s="173"/>
      <c r="X175" s="174"/>
      <c r="Y175" s="175"/>
      <c r="Z175" s="173"/>
      <c r="AA175" s="173"/>
      <c r="AB175" s="174"/>
      <c r="AC175" s="175"/>
      <c r="AD175" s="173"/>
      <c r="AE175" s="173"/>
      <c r="AF175" s="174"/>
      <c r="AG175" s="175"/>
      <c r="AH175" s="177"/>
      <c r="AI175" s="177"/>
    </row>
    <row r="176" spans="1:35" s="176" customFormat="1" ht="108" hidden="1">
      <c r="A176" s="170" t="s">
        <v>535</v>
      </c>
      <c r="B176" s="171" t="s">
        <v>821</v>
      </c>
      <c r="C176" s="172" t="s">
        <v>823</v>
      </c>
      <c r="D176" s="173"/>
      <c r="E176" s="173"/>
      <c r="F176" s="174"/>
      <c r="G176" s="175"/>
      <c r="H176" s="163"/>
      <c r="I176" s="163">
        <v>0</v>
      </c>
      <c r="J176" s="163"/>
      <c r="K176" s="91">
        <f t="shared" si="7"/>
        <v>0</v>
      </c>
      <c r="L176" s="235" t="e">
        <f t="shared" si="8"/>
        <v>#DIV/0!</v>
      </c>
      <c r="N176" s="173"/>
      <c r="O176" s="173"/>
      <c r="P176" s="174"/>
      <c r="Q176" s="175"/>
      <c r="R176" s="173"/>
      <c r="S176" s="173"/>
      <c r="T176" s="174"/>
      <c r="U176" s="175"/>
      <c r="V176" s="173"/>
      <c r="W176" s="173"/>
      <c r="X176" s="174"/>
      <c r="Y176" s="175"/>
      <c r="Z176" s="173"/>
      <c r="AA176" s="173"/>
      <c r="AB176" s="174"/>
      <c r="AC176" s="175"/>
      <c r="AD176" s="173"/>
      <c r="AE176" s="173"/>
      <c r="AF176" s="174"/>
      <c r="AG176" s="175"/>
      <c r="AH176" s="177"/>
      <c r="AI176" s="177"/>
    </row>
    <row r="177" spans="1:35" s="144" customFormat="1" ht="106.5" customHeight="1">
      <c r="A177" s="147" t="s">
        <v>535</v>
      </c>
      <c r="B177" s="149" t="s">
        <v>824</v>
      </c>
      <c r="C177" s="140" t="s">
        <v>825</v>
      </c>
      <c r="D177" s="141"/>
      <c r="E177" s="141"/>
      <c r="F177" s="142"/>
      <c r="G177" s="143"/>
      <c r="H177" s="119">
        <v>13622.3</v>
      </c>
      <c r="I177" s="119">
        <v>11100</v>
      </c>
      <c r="J177" s="119">
        <v>7222.3</v>
      </c>
      <c r="K177" s="120">
        <f t="shared" si="7"/>
        <v>6399.999999999999</v>
      </c>
      <c r="L177" s="236">
        <f t="shared" si="8"/>
        <v>0.5301821278345067</v>
      </c>
      <c r="N177" s="141"/>
      <c r="O177" s="141"/>
      <c r="P177" s="142"/>
      <c r="Q177" s="143"/>
      <c r="R177" s="141"/>
      <c r="S177" s="141"/>
      <c r="T177" s="142"/>
      <c r="U177" s="143"/>
      <c r="V177" s="141"/>
      <c r="W177" s="141"/>
      <c r="X177" s="142"/>
      <c r="Y177" s="143"/>
      <c r="Z177" s="141"/>
      <c r="AA177" s="141"/>
      <c r="AB177" s="142"/>
      <c r="AC177" s="143"/>
      <c r="AD177" s="141"/>
      <c r="AE177" s="141"/>
      <c r="AF177" s="142"/>
      <c r="AG177" s="143"/>
      <c r="AH177" s="145"/>
      <c r="AI177" s="145"/>
    </row>
    <row r="178" spans="1:35" s="144" customFormat="1" ht="96" hidden="1">
      <c r="A178" s="147" t="s">
        <v>535</v>
      </c>
      <c r="B178" s="149" t="s">
        <v>826</v>
      </c>
      <c r="C178" s="115" t="s">
        <v>827</v>
      </c>
      <c r="D178" s="141"/>
      <c r="E178" s="141"/>
      <c r="F178" s="142"/>
      <c r="G178" s="143"/>
      <c r="H178" s="119"/>
      <c r="I178" s="119"/>
      <c r="J178" s="119"/>
      <c r="K178" s="120">
        <f t="shared" si="7"/>
        <v>0</v>
      </c>
      <c r="L178" s="236" t="e">
        <f t="shared" si="8"/>
        <v>#DIV/0!</v>
      </c>
      <c r="N178" s="141"/>
      <c r="O178" s="141"/>
      <c r="P178" s="142"/>
      <c r="Q178" s="143"/>
      <c r="R178" s="141"/>
      <c r="S178" s="141"/>
      <c r="T178" s="142"/>
      <c r="U178" s="143"/>
      <c r="V178" s="141"/>
      <c r="W178" s="141"/>
      <c r="X178" s="142"/>
      <c r="Y178" s="143"/>
      <c r="Z178" s="141"/>
      <c r="AA178" s="141"/>
      <c r="AB178" s="142"/>
      <c r="AC178" s="143"/>
      <c r="AD178" s="141"/>
      <c r="AE178" s="141"/>
      <c r="AF178" s="142"/>
      <c r="AG178" s="143"/>
      <c r="AH178" s="145"/>
      <c r="AI178" s="145"/>
    </row>
    <row r="179" spans="1:35" s="144" customFormat="1" ht="84" hidden="1">
      <c r="A179" s="147" t="s">
        <v>535</v>
      </c>
      <c r="B179" s="149" t="s">
        <v>828</v>
      </c>
      <c r="C179" s="172" t="s">
        <v>829</v>
      </c>
      <c r="D179" s="141"/>
      <c r="E179" s="141"/>
      <c r="F179" s="142"/>
      <c r="G179" s="143"/>
      <c r="H179" s="119">
        <v>0</v>
      </c>
      <c r="I179" s="119">
        <v>3171.6</v>
      </c>
      <c r="J179" s="119">
        <v>0</v>
      </c>
      <c r="K179" s="120">
        <f t="shared" si="7"/>
        <v>0</v>
      </c>
      <c r="L179" s="236" t="e">
        <f t="shared" si="8"/>
        <v>#DIV/0!</v>
      </c>
      <c r="N179" s="141"/>
      <c r="O179" s="141"/>
      <c r="P179" s="142"/>
      <c r="Q179" s="143"/>
      <c r="R179" s="141"/>
      <c r="S179" s="141"/>
      <c r="T179" s="142"/>
      <c r="U179" s="143"/>
      <c r="V179" s="141"/>
      <c r="W179" s="141"/>
      <c r="X179" s="142"/>
      <c r="Y179" s="143"/>
      <c r="Z179" s="141"/>
      <c r="AA179" s="141"/>
      <c r="AB179" s="142"/>
      <c r="AC179" s="143"/>
      <c r="AD179" s="141"/>
      <c r="AE179" s="141"/>
      <c r="AF179" s="142"/>
      <c r="AG179" s="143"/>
      <c r="AH179" s="145"/>
      <c r="AI179" s="145"/>
    </row>
    <row r="180" spans="1:35" s="144" customFormat="1" ht="96" hidden="1">
      <c r="A180" s="147" t="s">
        <v>535</v>
      </c>
      <c r="B180" s="149" t="s">
        <v>828</v>
      </c>
      <c r="C180" s="172" t="s">
        <v>830</v>
      </c>
      <c r="D180" s="141"/>
      <c r="E180" s="141"/>
      <c r="F180" s="142"/>
      <c r="G180" s="143"/>
      <c r="H180" s="119">
        <v>0</v>
      </c>
      <c r="I180" s="119">
        <v>111</v>
      </c>
      <c r="J180" s="119">
        <v>0</v>
      </c>
      <c r="K180" s="120">
        <f t="shared" si="7"/>
        <v>0</v>
      </c>
      <c r="L180" s="236" t="e">
        <f t="shared" si="8"/>
        <v>#DIV/0!</v>
      </c>
      <c r="N180" s="141"/>
      <c r="O180" s="141"/>
      <c r="P180" s="142"/>
      <c r="Q180" s="143"/>
      <c r="R180" s="141"/>
      <c r="S180" s="141"/>
      <c r="T180" s="142"/>
      <c r="U180" s="143"/>
      <c r="V180" s="141"/>
      <c r="W180" s="141"/>
      <c r="X180" s="142"/>
      <c r="Y180" s="143"/>
      <c r="Z180" s="141"/>
      <c r="AA180" s="141"/>
      <c r="AB180" s="142"/>
      <c r="AC180" s="143"/>
      <c r="AD180" s="141"/>
      <c r="AE180" s="141"/>
      <c r="AF180" s="142"/>
      <c r="AG180" s="143"/>
      <c r="AH180" s="145"/>
      <c r="AI180" s="145"/>
    </row>
    <row r="181" spans="1:35" s="144" customFormat="1" ht="132">
      <c r="A181" s="147" t="s">
        <v>535</v>
      </c>
      <c r="B181" s="149" t="s">
        <v>831</v>
      </c>
      <c r="C181" s="140" t="s">
        <v>832</v>
      </c>
      <c r="D181" s="141"/>
      <c r="E181" s="141"/>
      <c r="F181" s="142"/>
      <c r="G181" s="143"/>
      <c r="H181" s="119">
        <v>2357.4</v>
      </c>
      <c r="I181" s="119">
        <v>3499.2</v>
      </c>
      <c r="J181" s="119">
        <v>2357.4</v>
      </c>
      <c r="K181" s="120">
        <f t="shared" si="7"/>
        <v>0</v>
      </c>
      <c r="L181" s="236">
        <f t="shared" si="8"/>
        <v>1</v>
      </c>
      <c r="N181" s="141"/>
      <c r="O181" s="141"/>
      <c r="P181" s="142"/>
      <c r="Q181" s="143"/>
      <c r="R181" s="141"/>
      <c r="S181" s="141"/>
      <c r="T181" s="142"/>
      <c r="U181" s="143"/>
      <c r="V181" s="141"/>
      <c r="W181" s="141"/>
      <c r="X181" s="142"/>
      <c r="Y181" s="143"/>
      <c r="Z181" s="141"/>
      <c r="AA181" s="141"/>
      <c r="AB181" s="142"/>
      <c r="AC181" s="143"/>
      <c r="AD181" s="141"/>
      <c r="AE181" s="141"/>
      <c r="AF181" s="142"/>
      <c r="AG181" s="143"/>
      <c r="AH181" s="145"/>
      <c r="AI181" s="145"/>
    </row>
    <row r="182" spans="1:35" s="144" customFormat="1" ht="120">
      <c r="A182" s="147" t="s">
        <v>535</v>
      </c>
      <c r="B182" s="149" t="s">
        <v>833</v>
      </c>
      <c r="C182" s="140" t="s">
        <v>834</v>
      </c>
      <c r="D182" s="141"/>
      <c r="E182" s="141"/>
      <c r="F182" s="142"/>
      <c r="G182" s="143"/>
      <c r="H182" s="119">
        <v>1178.7</v>
      </c>
      <c r="I182" s="119">
        <v>1166.4</v>
      </c>
      <c r="J182" s="119">
        <v>1178.7</v>
      </c>
      <c r="K182" s="120">
        <f t="shared" si="7"/>
        <v>0</v>
      </c>
      <c r="L182" s="236">
        <f t="shared" si="8"/>
        <v>1</v>
      </c>
      <c r="N182" s="141"/>
      <c r="O182" s="141"/>
      <c r="P182" s="142"/>
      <c r="Q182" s="143"/>
      <c r="R182" s="141"/>
      <c r="S182" s="141"/>
      <c r="T182" s="142"/>
      <c r="U182" s="143"/>
      <c r="V182" s="141"/>
      <c r="W182" s="141"/>
      <c r="X182" s="142"/>
      <c r="Y182" s="143"/>
      <c r="Z182" s="141"/>
      <c r="AA182" s="141"/>
      <c r="AB182" s="142"/>
      <c r="AC182" s="143"/>
      <c r="AD182" s="141"/>
      <c r="AE182" s="141"/>
      <c r="AF182" s="142"/>
      <c r="AG182" s="143"/>
      <c r="AH182" s="145"/>
      <c r="AI182" s="145"/>
    </row>
    <row r="183" spans="1:35" s="144" customFormat="1" ht="48" hidden="1">
      <c r="A183" s="147" t="s">
        <v>535</v>
      </c>
      <c r="B183" s="149" t="s">
        <v>835</v>
      </c>
      <c r="C183" s="140" t="s">
        <v>836</v>
      </c>
      <c r="D183" s="141"/>
      <c r="E183" s="141"/>
      <c r="F183" s="142"/>
      <c r="G183" s="143"/>
      <c r="H183" s="119">
        <v>0</v>
      </c>
      <c r="I183" s="119">
        <v>5316.7</v>
      </c>
      <c r="J183" s="119"/>
      <c r="K183" s="91">
        <f t="shared" si="7"/>
        <v>0</v>
      </c>
      <c r="L183" s="235" t="e">
        <f t="shared" si="8"/>
        <v>#DIV/0!</v>
      </c>
      <c r="N183" s="141"/>
      <c r="O183" s="141"/>
      <c r="P183" s="142"/>
      <c r="Q183" s="143"/>
      <c r="R183" s="141"/>
      <c r="S183" s="141"/>
      <c r="T183" s="142"/>
      <c r="U183" s="143"/>
      <c r="V183" s="141"/>
      <c r="W183" s="141"/>
      <c r="X183" s="142"/>
      <c r="Y183" s="143"/>
      <c r="Z183" s="141"/>
      <c r="AA183" s="141"/>
      <c r="AB183" s="142"/>
      <c r="AC183" s="143"/>
      <c r="AD183" s="141"/>
      <c r="AE183" s="141"/>
      <c r="AF183" s="142"/>
      <c r="AG183" s="143"/>
      <c r="AH183" s="145"/>
      <c r="AI183" s="145"/>
    </row>
    <row r="184" spans="1:35" s="144" customFormat="1" ht="60" hidden="1">
      <c r="A184" s="147" t="s">
        <v>535</v>
      </c>
      <c r="B184" s="149" t="s">
        <v>837</v>
      </c>
      <c r="C184" s="140" t="s">
        <v>838</v>
      </c>
      <c r="D184" s="141"/>
      <c r="E184" s="141"/>
      <c r="F184" s="142"/>
      <c r="G184" s="143"/>
      <c r="H184" s="119">
        <v>0</v>
      </c>
      <c r="I184" s="119">
        <v>714</v>
      </c>
      <c r="J184" s="119"/>
      <c r="K184" s="91">
        <f t="shared" si="7"/>
        <v>0</v>
      </c>
      <c r="L184" s="235" t="e">
        <f t="shared" si="8"/>
        <v>#DIV/0!</v>
      </c>
      <c r="N184" s="141"/>
      <c r="O184" s="141"/>
      <c r="P184" s="142"/>
      <c r="Q184" s="143"/>
      <c r="R184" s="141"/>
      <c r="S184" s="141"/>
      <c r="T184" s="142"/>
      <c r="U184" s="143"/>
      <c r="V184" s="141"/>
      <c r="W184" s="141"/>
      <c r="X184" s="142"/>
      <c r="Y184" s="143"/>
      <c r="Z184" s="141"/>
      <c r="AA184" s="141"/>
      <c r="AB184" s="142"/>
      <c r="AC184" s="143"/>
      <c r="AD184" s="141"/>
      <c r="AE184" s="141"/>
      <c r="AF184" s="142"/>
      <c r="AG184" s="143"/>
      <c r="AH184" s="145"/>
      <c r="AI184" s="145"/>
    </row>
    <row r="185" spans="1:35" s="144" customFormat="1" ht="24" hidden="1">
      <c r="A185" s="147" t="s">
        <v>535</v>
      </c>
      <c r="B185" s="149" t="s">
        <v>839</v>
      </c>
      <c r="C185" s="140" t="s">
        <v>840</v>
      </c>
      <c r="D185" s="141"/>
      <c r="E185" s="141"/>
      <c r="F185" s="142"/>
      <c r="G185" s="143"/>
      <c r="H185" s="119">
        <f>SUM(H186:H187)</f>
        <v>0</v>
      </c>
      <c r="I185" s="119">
        <f>SUM(I186:I187)</f>
        <v>0</v>
      </c>
      <c r="J185" s="119">
        <f>SUM(J186:J187)</f>
        <v>0</v>
      </c>
      <c r="K185" s="91">
        <f t="shared" si="7"/>
        <v>0</v>
      </c>
      <c r="L185" s="235" t="e">
        <f t="shared" si="8"/>
        <v>#DIV/0!</v>
      </c>
      <c r="N185" s="141"/>
      <c r="O185" s="141"/>
      <c r="P185" s="142"/>
      <c r="Q185" s="143"/>
      <c r="R185" s="141"/>
      <c r="S185" s="141"/>
      <c r="T185" s="142"/>
      <c r="U185" s="143"/>
      <c r="V185" s="141"/>
      <c r="W185" s="141"/>
      <c r="X185" s="142"/>
      <c r="Y185" s="143"/>
      <c r="Z185" s="141"/>
      <c r="AA185" s="141"/>
      <c r="AB185" s="142"/>
      <c r="AC185" s="143"/>
      <c r="AD185" s="141"/>
      <c r="AE185" s="141"/>
      <c r="AF185" s="142"/>
      <c r="AG185" s="143"/>
      <c r="AH185" s="145"/>
      <c r="AI185" s="145"/>
    </row>
    <row r="186" spans="1:35" s="176" customFormat="1" ht="108" hidden="1">
      <c r="A186" s="170" t="s">
        <v>535</v>
      </c>
      <c r="B186" s="171" t="s">
        <v>839</v>
      </c>
      <c r="C186" s="172" t="s">
        <v>841</v>
      </c>
      <c r="D186" s="173"/>
      <c r="E186" s="173"/>
      <c r="F186" s="174"/>
      <c r="G186" s="175"/>
      <c r="H186" s="163"/>
      <c r="I186" s="163"/>
      <c r="J186" s="163"/>
      <c r="K186" s="91">
        <f t="shared" si="7"/>
        <v>0</v>
      </c>
      <c r="L186" s="235" t="e">
        <f t="shared" si="8"/>
        <v>#DIV/0!</v>
      </c>
      <c r="N186" s="173"/>
      <c r="O186" s="173"/>
      <c r="P186" s="174"/>
      <c r="Q186" s="175"/>
      <c r="R186" s="173"/>
      <c r="S186" s="173"/>
      <c r="T186" s="174"/>
      <c r="U186" s="175"/>
      <c r="V186" s="173"/>
      <c r="W186" s="173"/>
      <c r="X186" s="174"/>
      <c r="Y186" s="175"/>
      <c r="Z186" s="173"/>
      <c r="AA186" s="173"/>
      <c r="AB186" s="174"/>
      <c r="AC186" s="175"/>
      <c r="AD186" s="173"/>
      <c r="AE186" s="173"/>
      <c r="AF186" s="174"/>
      <c r="AG186" s="175"/>
      <c r="AH186" s="177"/>
      <c r="AI186" s="177"/>
    </row>
    <row r="187" spans="1:35" s="176" customFormat="1" ht="132" hidden="1">
      <c r="A187" s="170" t="s">
        <v>535</v>
      </c>
      <c r="B187" s="171" t="s">
        <v>839</v>
      </c>
      <c r="C187" s="172" t="s">
        <v>842</v>
      </c>
      <c r="D187" s="173"/>
      <c r="E187" s="173"/>
      <c r="F187" s="174"/>
      <c r="G187" s="175"/>
      <c r="H187" s="163"/>
      <c r="I187" s="163"/>
      <c r="J187" s="163"/>
      <c r="K187" s="91">
        <f t="shared" si="7"/>
        <v>0</v>
      </c>
      <c r="L187" s="235" t="e">
        <f t="shared" si="8"/>
        <v>#DIV/0!</v>
      </c>
      <c r="N187" s="173"/>
      <c r="O187" s="173"/>
      <c r="P187" s="174"/>
      <c r="Q187" s="175"/>
      <c r="R187" s="173"/>
      <c r="S187" s="173"/>
      <c r="T187" s="174"/>
      <c r="U187" s="175"/>
      <c r="V187" s="173"/>
      <c r="W187" s="173"/>
      <c r="X187" s="174"/>
      <c r="Y187" s="175"/>
      <c r="Z187" s="173"/>
      <c r="AA187" s="173"/>
      <c r="AB187" s="174"/>
      <c r="AC187" s="175"/>
      <c r="AD187" s="173"/>
      <c r="AE187" s="173"/>
      <c r="AF187" s="174"/>
      <c r="AG187" s="175"/>
      <c r="AH187" s="177"/>
      <c r="AI187" s="177"/>
    </row>
    <row r="188" spans="1:35" s="101" customFormat="1" ht="24">
      <c r="A188" s="94" t="s">
        <v>535</v>
      </c>
      <c r="B188" s="135" t="s">
        <v>843</v>
      </c>
      <c r="C188" s="96" t="s">
        <v>844</v>
      </c>
      <c r="D188" s="97">
        <f>SUM(H188,N188)</f>
        <v>3720</v>
      </c>
      <c r="E188" s="97">
        <f>SUM(J188,O188)</f>
        <v>15674.499999999998</v>
      </c>
      <c r="F188" s="98">
        <f>E188/D188</f>
        <v>4.213575268817204</v>
      </c>
      <c r="G188" s="99">
        <f>E188-D188</f>
        <v>11954.499999999998</v>
      </c>
      <c r="H188" s="262">
        <f>H189+H190+H191+H218+H223+H219+H221+H222+H220</f>
        <v>3582.7</v>
      </c>
      <c r="I188" s="262">
        <f>I189+I190+I191+I218+I223+I219+I221+I222+I220</f>
        <v>5204.399999999999</v>
      </c>
      <c r="J188" s="262">
        <f>J189+J190+J191+J218+J223+J219+J221+J222+J220</f>
        <v>15674.499999999998</v>
      </c>
      <c r="K188" s="263">
        <f t="shared" si="7"/>
        <v>-12091.8</v>
      </c>
      <c r="L188" s="264">
        <f t="shared" si="8"/>
        <v>4.375052334831272</v>
      </c>
      <c r="N188" s="97">
        <f>SUM(R188,V188,Z188,AD188)</f>
        <v>137.29999999999998</v>
      </c>
      <c r="O188" s="97">
        <f>SUM(S188,W188,AA188,AE188)</f>
        <v>0</v>
      </c>
      <c r="P188" s="98">
        <f>O188/N188</f>
        <v>0</v>
      </c>
      <c r="Q188" s="99">
        <f>O188-N188</f>
        <v>-137.29999999999998</v>
      </c>
      <c r="R188" s="97">
        <v>78.5</v>
      </c>
      <c r="S188" s="97"/>
      <c r="T188" s="98">
        <f>S188/R188</f>
        <v>0</v>
      </c>
      <c r="U188" s="99">
        <f>S188-R188</f>
        <v>-78.5</v>
      </c>
      <c r="V188" s="97">
        <v>19.6</v>
      </c>
      <c r="W188" s="97"/>
      <c r="X188" s="98">
        <f>W188/V188</f>
        <v>0</v>
      </c>
      <c r="Y188" s="99">
        <f>W188-V188</f>
        <v>-19.6</v>
      </c>
      <c r="Z188" s="97">
        <v>19.6</v>
      </c>
      <c r="AA188" s="97"/>
      <c r="AB188" s="98">
        <f>AA188/Z188</f>
        <v>0</v>
      </c>
      <c r="AC188" s="99">
        <f>AA188-Z188</f>
        <v>-19.6</v>
      </c>
      <c r="AD188" s="97">
        <v>19.6</v>
      </c>
      <c r="AE188" s="97"/>
      <c r="AF188" s="98">
        <f>AE188/AD188</f>
        <v>0</v>
      </c>
      <c r="AG188" s="99">
        <f>AE188-AD188</f>
        <v>-19.6</v>
      </c>
      <c r="AH188" s="102"/>
      <c r="AI188" s="102"/>
    </row>
    <row r="189" spans="1:35" s="144" customFormat="1" ht="108" hidden="1">
      <c r="A189" s="147" t="s">
        <v>535</v>
      </c>
      <c r="B189" s="149" t="s">
        <v>845</v>
      </c>
      <c r="C189" s="140" t="s">
        <v>846</v>
      </c>
      <c r="D189" s="141"/>
      <c r="E189" s="141"/>
      <c r="F189" s="142"/>
      <c r="G189" s="143"/>
      <c r="H189" s="119"/>
      <c r="I189" s="119"/>
      <c r="J189" s="119"/>
      <c r="K189" s="91">
        <f t="shared" si="7"/>
        <v>0</v>
      </c>
      <c r="L189" s="235" t="e">
        <f t="shared" si="8"/>
        <v>#DIV/0!</v>
      </c>
      <c r="N189" s="141"/>
      <c r="O189" s="141"/>
      <c r="P189" s="142"/>
      <c r="Q189" s="143"/>
      <c r="R189" s="141"/>
      <c r="S189" s="141"/>
      <c r="T189" s="142"/>
      <c r="U189" s="143"/>
      <c r="V189" s="141"/>
      <c r="W189" s="141"/>
      <c r="X189" s="142"/>
      <c r="Y189" s="143"/>
      <c r="Z189" s="141"/>
      <c r="AA189" s="141"/>
      <c r="AB189" s="142"/>
      <c r="AC189" s="143"/>
      <c r="AD189" s="141"/>
      <c r="AE189" s="141"/>
      <c r="AF189" s="142"/>
      <c r="AG189" s="143"/>
      <c r="AH189" s="145"/>
      <c r="AI189" s="145"/>
    </row>
    <row r="190" spans="1:35" s="144" customFormat="1" ht="84" hidden="1">
      <c r="A190" s="147" t="s">
        <v>535</v>
      </c>
      <c r="B190" s="149" t="s">
        <v>847</v>
      </c>
      <c r="C190" s="140" t="s">
        <v>848</v>
      </c>
      <c r="D190" s="141"/>
      <c r="E190" s="141"/>
      <c r="F190" s="142"/>
      <c r="G190" s="143"/>
      <c r="H190" s="119"/>
      <c r="I190" s="119"/>
      <c r="J190" s="119"/>
      <c r="K190" s="91">
        <f t="shared" si="7"/>
        <v>0</v>
      </c>
      <c r="L190" s="235" t="e">
        <f t="shared" si="8"/>
        <v>#DIV/0!</v>
      </c>
      <c r="N190" s="141"/>
      <c r="O190" s="141"/>
      <c r="P190" s="142"/>
      <c r="Q190" s="143"/>
      <c r="R190" s="141"/>
      <c r="S190" s="141"/>
      <c r="T190" s="142"/>
      <c r="U190" s="143"/>
      <c r="V190" s="141"/>
      <c r="W190" s="141"/>
      <c r="X190" s="142"/>
      <c r="Y190" s="143"/>
      <c r="Z190" s="141"/>
      <c r="AA190" s="141"/>
      <c r="AB190" s="142"/>
      <c r="AC190" s="143"/>
      <c r="AD190" s="141"/>
      <c r="AE190" s="141"/>
      <c r="AF190" s="142"/>
      <c r="AG190" s="143"/>
      <c r="AH190" s="145"/>
      <c r="AI190" s="145"/>
    </row>
    <row r="191" spans="1:35" s="144" customFormat="1" ht="96">
      <c r="A191" s="147" t="s">
        <v>535</v>
      </c>
      <c r="B191" s="149" t="s">
        <v>849</v>
      </c>
      <c r="C191" s="140" t="s">
        <v>850</v>
      </c>
      <c r="D191" s="141"/>
      <c r="E191" s="141"/>
      <c r="F191" s="142"/>
      <c r="G191" s="143"/>
      <c r="H191" s="119">
        <v>1082.7</v>
      </c>
      <c r="I191" s="119">
        <f>SUM(I192:I217)</f>
        <v>5204.399999999999</v>
      </c>
      <c r="J191" s="119">
        <f>SUM(J192:J217)</f>
        <v>3713.2999999999997</v>
      </c>
      <c r="K191" s="120">
        <f t="shared" si="7"/>
        <v>-2630.5999999999995</v>
      </c>
      <c r="L191" s="236">
        <f t="shared" si="8"/>
        <v>3.429666574304978</v>
      </c>
      <c r="N191" s="141"/>
      <c r="O191" s="141"/>
      <c r="P191" s="142"/>
      <c r="Q191" s="143"/>
      <c r="R191" s="141"/>
      <c r="S191" s="141"/>
      <c r="T191" s="142"/>
      <c r="U191" s="143"/>
      <c r="V191" s="141"/>
      <c r="W191" s="141"/>
      <c r="X191" s="142"/>
      <c r="Y191" s="143"/>
      <c r="Z191" s="141"/>
      <c r="AA191" s="141"/>
      <c r="AB191" s="142"/>
      <c r="AC191" s="143"/>
      <c r="AD191" s="141"/>
      <c r="AE191" s="141"/>
      <c r="AF191" s="142"/>
      <c r="AG191" s="143"/>
      <c r="AH191" s="145"/>
      <c r="AI191" s="145"/>
    </row>
    <row r="192" spans="1:35" s="144" customFormat="1" ht="12">
      <c r="A192" s="170" t="s">
        <v>535</v>
      </c>
      <c r="B192" s="171" t="s">
        <v>849</v>
      </c>
      <c r="C192" s="172" t="s">
        <v>851</v>
      </c>
      <c r="D192" s="173"/>
      <c r="E192" s="173"/>
      <c r="F192" s="174"/>
      <c r="G192" s="175"/>
      <c r="H192" s="163">
        <v>0</v>
      </c>
      <c r="I192" s="163">
        <v>260.6</v>
      </c>
      <c r="J192" s="163">
        <v>210.9</v>
      </c>
      <c r="K192" s="164">
        <f t="shared" si="7"/>
        <v>-210.9</v>
      </c>
      <c r="L192" s="239" t="e">
        <f t="shared" si="8"/>
        <v>#DIV/0!</v>
      </c>
      <c r="N192" s="141"/>
      <c r="O192" s="141"/>
      <c r="P192" s="142"/>
      <c r="Q192" s="143"/>
      <c r="R192" s="141"/>
      <c r="S192" s="141"/>
      <c r="T192" s="142"/>
      <c r="U192" s="143"/>
      <c r="V192" s="141"/>
      <c r="W192" s="141"/>
      <c r="X192" s="142"/>
      <c r="Y192" s="143"/>
      <c r="Z192" s="141"/>
      <c r="AA192" s="141"/>
      <c r="AB192" s="142"/>
      <c r="AC192" s="143"/>
      <c r="AD192" s="141"/>
      <c r="AE192" s="141"/>
      <c r="AF192" s="142"/>
      <c r="AG192" s="143"/>
      <c r="AH192" s="145"/>
      <c r="AI192" s="145"/>
    </row>
    <row r="193" spans="1:35" s="144" customFormat="1" ht="36">
      <c r="A193" s="170" t="s">
        <v>535</v>
      </c>
      <c r="B193" s="171" t="s">
        <v>849</v>
      </c>
      <c r="C193" s="172" t="s">
        <v>852</v>
      </c>
      <c r="D193" s="173"/>
      <c r="E193" s="173"/>
      <c r="F193" s="174"/>
      <c r="G193" s="175"/>
      <c r="H193" s="163">
        <v>0</v>
      </c>
      <c r="I193" s="163">
        <v>3752.8</v>
      </c>
      <c r="J193" s="163">
        <v>2749.7</v>
      </c>
      <c r="K193" s="164">
        <f t="shared" si="7"/>
        <v>-2749.7</v>
      </c>
      <c r="L193" s="239" t="e">
        <f t="shared" si="8"/>
        <v>#DIV/0!</v>
      </c>
      <c r="N193" s="141"/>
      <c r="O193" s="141"/>
      <c r="P193" s="142"/>
      <c r="Q193" s="143"/>
      <c r="R193" s="141"/>
      <c r="S193" s="141"/>
      <c r="T193" s="142"/>
      <c r="U193" s="143"/>
      <c r="V193" s="141"/>
      <c r="W193" s="141"/>
      <c r="X193" s="142"/>
      <c r="Y193" s="143"/>
      <c r="Z193" s="141"/>
      <c r="AA193" s="141"/>
      <c r="AB193" s="142"/>
      <c r="AC193" s="143"/>
      <c r="AD193" s="141"/>
      <c r="AE193" s="141"/>
      <c r="AF193" s="142"/>
      <c r="AG193" s="143"/>
      <c r="AH193" s="145"/>
      <c r="AI193" s="145"/>
    </row>
    <row r="194" spans="1:35" s="144" customFormat="1" ht="24">
      <c r="A194" s="170" t="s">
        <v>535</v>
      </c>
      <c r="B194" s="171" t="s">
        <v>849</v>
      </c>
      <c r="C194" s="172" t="s">
        <v>853</v>
      </c>
      <c r="D194" s="173"/>
      <c r="E194" s="173"/>
      <c r="F194" s="174"/>
      <c r="G194" s="175"/>
      <c r="H194" s="163">
        <v>0</v>
      </c>
      <c r="I194" s="163">
        <v>300.2</v>
      </c>
      <c r="J194" s="163">
        <v>240.6</v>
      </c>
      <c r="K194" s="164">
        <f t="shared" si="7"/>
        <v>-240.6</v>
      </c>
      <c r="L194" s="239" t="e">
        <f t="shared" si="8"/>
        <v>#DIV/0!</v>
      </c>
      <c r="N194" s="141"/>
      <c r="O194" s="141"/>
      <c r="P194" s="142"/>
      <c r="Q194" s="143"/>
      <c r="R194" s="141"/>
      <c r="S194" s="141"/>
      <c r="T194" s="142"/>
      <c r="U194" s="143"/>
      <c r="V194" s="141"/>
      <c r="W194" s="141"/>
      <c r="X194" s="142"/>
      <c r="Y194" s="143"/>
      <c r="Z194" s="141"/>
      <c r="AA194" s="141"/>
      <c r="AB194" s="142"/>
      <c r="AC194" s="143"/>
      <c r="AD194" s="141"/>
      <c r="AE194" s="141"/>
      <c r="AF194" s="142"/>
      <c r="AG194" s="143"/>
      <c r="AH194" s="145"/>
      <c r="AI194" s="145"/>
    </row>
    <row r="195" spans="1:35" s="144" customFormat="1" ht="36" hidden="1">
      <c r="A195" s="170" t="s">
        <v>535</v>
      </c>
      <c r="B195" s="171" t="s">
        <v>849</v>
      </c>
      <c r="C195" s="172" t="s">
        <v>854</v>
      </c>
      <c r="D195" s="173"/>
      <c r="E195" s="173"/>
      <c r="F195" s="174"/>
      <c r="G195" s="175"/>
      <c r="H195" s="163">
        <v>0</v>
      </c>
      <c r="I195" s="163">
        <v>783.2</v>
      </c>
      <c r="J195" s="163">
        <v>0</v>
      </c>
      <c r="K195" s="164">
        <f t="shared" si="7"/>
        <v>0</v>
      </c>
      <c r="L195" s="239" t="e">
        <f t="shared" si="8"/>
        <v>#DIV/0!</v>
      </c>
      <c r="N195" s="141"/>
      <c r="O195" s="141"/>
      <c r="P195" s="142"/>
      <c r="Q195" s="143"/>
      <c r="R195" s="141"/>
      <c r="S195" s="141"/>
      <c r="T195" s="142"/>
      <c r="U195" s="143"/>
      <c r="V195" s="141"/>
      <c r="W195" s="141"/>
      <c r="X195" s="142"/>
      <c r="Y195" s="143"/>
      <c r="Z195" s="141"/>
      <c r="AA195" s="141"/>
      <c r="AB195" s="142"/>
      <c r="AC195" s="143"/>
      <c r="AD195" s="141"/>
      <c r="AE195" s="141"/>
      <c r="AF195" s="142"/>
      <c r="AG195" s="143"/>
      <c r="AH195" s="145"/>
      <c r="AI195" s="145"/>
    </row>
    <row r="196" spans="1:35" s="144" customFormat="1" ht="72">
      <c r="A196" s="170" t="s">
        <v>535</v>
      </c>
      <c r="B196" s="171" t="s">
        <v>849</v>
      </c>
      <c r="C196" s="172" t="s">
        <v>855</v>
      </c>
      <c r="D196" s="173"/>
      <c r="E196" s="173"/>
      <c r="F196" s="174"/>
      <c r="G196" s="175"/>
      <c r="H196" s="163">
        <v>0</v>
      </c>
      <c r="I196" s="163">
        <v>26.9</v>
      </c>
      <c r="J196" s="163">
        <v>30.6</v>
      </c>
      <c r="K196" s="164">
        <f t="shared" si="7"/>
        <v>-30.6</v>
      </c>
      <c r="L196" s="239" t="e">
        <f t="shared" si="8"/>
        <v>#DIV/0!</v>
      </c>
      <c r="N196" s="141"/>
      <c r="O196" s="141"/>
      <c r="P196" s="142"/>
      <c r="Q196" s="143"/>
      <c r="R196" s="141"/>
      <c r="S196" s="141"/>
      <c r="T196" s="142"/>
      <c r="U196" s="143"/>
      <c r="V196" s="141"/>
      <c r="W196" s="141"/>
      <c r="X196" s="142"/>
      <c r="Y196" s="143"/>
      <c r="Z196" s="141"/>
      <c r="AA196" s="141"/>
      <c r="AB196" s="142"/>
      <c r="AC196" s="143"/>
      <c r="AD196" s="141"/>
      <c r="AE196" s="141"/>
      <c r="AF196" s="142"/>
      <c r="AG196" s="143"/>
      <c r="AH196" s="145"/>
      <c r="AI196" s="145"/>
    </row>
    <row r="197" spans="1:35" s="144" customFormat="1" ht="24" hidden="1">
      <c r="A197" s="170" t="s">
        <v>535</v>
      </c>
      <c r="B197" s="171" t="s">
        <v>849</v>
      </c>
      <c r="C197" s="172" t="s">
        <v>856</v>
      </c>
      <c r="D197" s="173"/>
      <c r="E197" s="173"/>
      <c r="F197" s="174"/>
      <c r="G197" s="175"/>
      <c r="H197" s="163">
        <v>0</v>
      </c>
      <c r="I197" s="163"/>
      <c r="J197" s="163"/>
      <c r="K197" s="164">
        <f t="shared" si="7"/>
        <v>0</v>
      </c>
      <c r="L197" s="239" t="e">
        <f t="shared" si="8"/>
        <v>#DIV/0!</v>
      </c>
      <c r="N197" s="141"/>
      <c r="O197" s="141"/>
      <c r="P197" s="142"/>
      <c r="Q197" s="143"/>
      <c r="R197" s="141"/>
      <c r="S197" s="141"/>
      <c r="T197" s="142"/>
      <c r="U197" s="143"/>
      <c r="V197" s="141"/>
      <c r="W197" s="141"/>
      <c r="X197" s="142"/>
      <c r="Y197" s="143"/>
      <c r="Z197" s="141"/>
      <c r="AA197" s="141"/>
      <c r="AB197" s="142"/>
      <c r="AC197" s="143"/>
      <c r="AD197" s="141"/>
      <c r="AE197" s="141"/>
      <c r="AF197" s="142"/>
      <c r="AG197" s="143"/>
      <c r="AH197" s="145"/>
      <c r="AI197" s="145"/>
    </row>
    <row r="198" spans="1:35" s="144" customFormat="1" ht="132" hidden="1">
      <c r="A198" s="170" t="s">
        <v>535</v>
      </c>
      <c r="B198" s="171" t="s">
        <v>849</v>
      </c>
      <c r="C198" s="172" t="s">
        <v>857</v>
      </c>
      <c r="D198" s="173"/>
      <c r="E198" s="173"/>
      <c r="F198" s="174"/>
      <c r="G198" s="175"/>
      <c r="H198" s="163">
        <v>0</v>
      </c>
      <c r="I198" s="163">
        <v>26.9</v>
      </c>
      <c r="J198" s="163">
        <v>0</v>
      </c>
      <c r="K198" s="164">
        <f t="shared" si="7"/>
        <v>0</v>
      </c>
      <c r="L198" s="239" t="e">
        <f t="shared" si="8"/>
        <v>#DIV/0!</v>
      </c>
      <c r="N198" s="141"/>
      <c r="O198" s="141"/>
      <c r="P198" s="142"/>
      <c r="Q198" s="143"/>
      <c r="R198" s="141"/>
      <c r="S198" s="141"/>
      <c r="T198" s="142"/>
      <c r="U198" s="143"/>
      <c r="V198" s="141"/>
      <c r="W198" s="141"/>
      <c r="X198" s="142"/>
      <c r="Y198" s="143"/>
      <c r="Z198" s="141"/>
      <c r="AA198" s="141"/>
      <c r="AB198" s="142"/>
      <c r="AC198" s="143"/>
      <c r="AD198" s="141"/>
      <c r="AE198" s="141"/>
      <c r="AF198" s="142"/>
      <c r="AG198" s="143"/>
      <c r="AH198" s="145"/>
      <c r="AI198" s="145"/>
    </row>
    <row r="199" spans="1:35" s="144" customFormat="1" ht="110.25" customHeight="1">
      <c r="A199" s="170" t="s">
        <v>535</v>
      </c>
      <c r="B199" s="171" t="s">
        <v>849</v>
      </c>
      <c r="C199" s="172" t="s">
        <v>858</v>
      </c>
      <c r="D199" s="173"/>
      <c r="E199" s="173"/>
      <c r="F199" s="174"/>
      <c r="G199" s="175"/>
      <c r="H199" s="163">
        <v>0</v>
      </c>
      <c r="I199" s="163">
        <v>26.9</v>
      </c>
      <c r="J199" s="163">
        <v>51.5</v>
      </c>
      <c r="K199" s="164">
        <f t="shared" si="7"/>
        <v>-51.5</v>
      </c>
      <c r="L199" s="239" t="e">
        <f t="shared" si="8"/>
        <v>#DIV/0!</v>
      </c>
      <c r="N199" s="141"/>
      <c r="O199" s="141"/>
      <c r="P199" s="142"/>
      <c r="Q199" s="143"/>
      <c r="R199" s="141"/>
      <c r="S199" s="141"/>
      <c r="T199" s="142"/>
      <c r="U199" s="143"/>
      <c r="V199" s="141"/>
      <c r="W199" s="141"/>
      <c r="X199" s="142"/>
      <c r="Y199" s="143"/>
      <c r="Z199" s="141"/>
      <c r="AA199" s="141"/>
      <c r="AB199" s="142"/>
      <c r="AC199" s="143"/>
      <c r="AD199" s="141"/>
      <c r="AE199" s="141"/>
      <c r="AF199" s="142"/>
      <c r="AG199" s="143"/>
      <c r="AH199" s="145"/>
      <c r="AI199" s="145"/>
    </row>
    <row r="200" spans="1:35" s="144" customFormat="1" ht="36" hidden="1">
      <c r="A200" s="170" t="s">
        <v>535</v>
      </c>
      <c r="B200" s="171" t="s">
        <v>849</v>
      </c>
      <c r="C200" s="172" t="s">
        <v>859</v>
      </c>
      <c r="D200" s="173"/>
      <c r="E200" s="173"/>
      <c r="F200" s="174"/>
      <c r="G200" s="175"/>
      <c r="H200" s="163">
        <v>0</v>
      </c>
      <c r="I200" s="163">
        <v>26.9</v>
      </c>
      <c r="J200" s="163">
        <v>0</v>
      </c>
      <c r="K200" s="120">
        <f t="shared" si="7"/>
        <v>0</v>
      </c>
      <c r="L200" s="236" t="e">
        <f t="shared" si="8"/>
        <v>#DIV/0!</v>
      </c>
      <c r="N200" s="141"/>
      <c r="O200" s="141"/>
      <c r="P200" s="142"/>
      <c r="Q200" s="143"/>
      <c r="R200" s="141"/>
      <c r="S200" s="141"/>
      <c r="T200" s="142"/>
      <c r="U200" s="143"/>
      <c r="V200" s="141"/>
      <c r="W200" s="141"/>
      <c r="X200" s="142"/>
      <c r="Y200" s="143"/>
      <c r="Z200" s="141"/>
      <c r="AA200" s="141"/>
      <c r="AB200" s="142"/>
      <c r="AC200" s="143"/>
      <c r="AD200" s="141"/>
      <c r="AE200" s="141"/>
      <c r="AF200" s="142"/>
      <c r="AG200" s="143"/>
      <c r="AH200" s="145"/>
      <c r="AI200" s="145"/>
    </row>
    <row r="201" spans="1:35" s="144" customFormat="1" ht="24" hidden="1">
      <c r="A201" s="170" t="s">
        <v>535</v>
      </c>
      <c r="B201" s="171" t="s">
        <v>849</v>
      </c>
      <c r="C201" s="172" t="s">
        <v>860</v>
      </c>
      <c r="D201" s="173"/>
      <c r="E201" s="173"/>
      <c r="F201" s="174"/>
      <c r="G201" s="175"/>
      <c r="H201" s="163"/>
      <c r="I201" s="163"/>
      <c r="J201" s="163"/>
      <c r="K201" s="120">
        <f t="shared" si="7"/>
        <v>0</v>
      </c>
      <c r="L201" s="236" t="e">
        <f t="shared" si="8"/>
        <v>#DIV/0!</v>
      </c>
      <c r="N201" s="141"/>
      <c r="O201" s="141"/>
      <c r="P201" s="142"/>
      <c r="Q201" s="143"/>
      <c r="R201" s="141"/>
      <c r="S201" s="141"/>
      <c r="T201" s="142"/>
      <c r="U201" s="143"/>
      <c r="V201" s="141"/>
      <c r="W201" s="141"/>
      <c r="X201" s="142"/>
      <c r="Y201" s="143"/>
      <c r="Z201" s="141"/>
      <c r="AA201" s="141"/>
      <c r="AB201" s="142"/>
      <c r="AC201" s="143"/>
      <c r="AD201" s="141"/>
      <c r="AE201" s="141"/>
      <c r="AF201" s="142"/>
      <c r="AG201" s="143"/>
      <c r="AH201" s="145"/>
      <c r="AI201" s="145"/>
    </row>
    <row r="202" spans="1:35" s="144" customFormat="1" ht="24" hidden="1">
      <c r="A202" s="170" t="s">
        <v>535</v>
      </c>
      <c r="B202" s="171" t="s">
        <v>849</v>
      </c>
      <c r="C202" s="172" t="s">
        <v>861</v>
      </c>
      <c r="D202" s="173"/>
      <c r="E202" s="173"/>
      <c r="F202" s="174"/>
      <c r="G202" s="175"/>
      <c r="H202" s="163"/>
      <c r="I202" s="163"/>
      <c r="J202" s="163"/>
      <c r="K202" s="120">
        <f t="shared" si="7"/>
        <v>0</v>
      </c>
      <c r="L202" s="236" t="e">
        <f t="shared" si="8"/>
        <v>#DIV/0!</v>
      </c>
      <c r="N202" s="141"/>
      <c r="O202" s="141"/>
      <c r="P202" s="142"/>
      <c r="Q202" s="143"/>
      <c r="R202" s="141"/>
      <c r="S202" s="141"/>
      <c r="T202" s="142"/>
      <c r="U202" s="143"/>
      <c r="V202" s="141"/>
      <c r="W202" s="141"/>
      <c r="X202" s="142"/>
      <c r="Y202" s="143"/>
      <c r="Z202" s="141"/>
      <c r="AA202" s="141"/>
      <c r="AB202" s="142"/>
      <c r="AC202" s="143"/>
      <c r="AD202" s="141"/>
      <c r="AE202" s="141"/>
      <c r="AF202" s="142"/>
      <c r="AG202" s="143"/>
      <c r="AH202" s="145"/>
      <c r="AI202" s="145"/>
    </row>
    <row r="203" spans="1:35" s="144" customFormat="1" ht="12" hidden="1">
      <c r="A203" s="170" t="s">
        <v>535</v>
      </c>
      <c r="B203" s="171" t="s">
        <v>849</v>
      </c>
      <c r="C203" s="172" t="s">
        <v>1101</v>
      </c>
      <c r="D203" s="173"/>
      <c r="E203" s="173"/>
      <c r="F203" s="174"/>
      <c r="G203" s="175"/>
      <c r="H203" s="163"/>
      <c r="I203" s="163"/>
      <c r="J203" s="163"/>
      <c r="K203" s="120">
        <f t="shared" si="7"/>
        <v>0</v>
      </c>
      <c r="L203" s="236" t="e">
        <f t="shared" si="8"/>
        <v>#DIV/0!</v>
      </c>
      <c r="N203" s="141"/>
      <c r="O203" s="141"/>
      <c r="P203" s="142"/>
      <c r="Q203" s="143"/>
      <c r="R203" s="141"/>
      <c r="S203" s="141"/>
      <c r="T203" s="142"/>
      <c r="U203" s="143"/>
      <c r="V203" s="141"/>
      <c r="W203" s="141"/>
      <c r="X203" s="142"/>
      <c r="Y203" s="143"/>
      <c r="Z203" s="141"/>
      <c r="AA203" s="141"/>
      <c r="AB203" s="142"/>
      <c r="AC203" s="143"/>
      <c r="AD203" s="141"/>
      <c r="AE203" s="141"/>
      <c r="AF203" s="142"/>
      <c r="AG203" s="143"/>
      <c r="AH203" s="145"/>
      <c r="AI203" s="145"/>
    </row>
    <row r="204" spans="1:35" s="144" customFormat="1" ht="24" hidden="1">
      <c r="A204" s="170" t="s">
        <v>535</v>
      </c>
      <c r="B204" s="171" t="s">
        <v>849</v>
      </c>
      <c r="C204" s="172" t="s">
        <v>862</v>
      </c>
      <c r="D204" s="173"/>
      <c r="E204" s="173"/>
      <c r="F204" s="174"/>
      <c r="G204" s="175"/>
      <c r="H204" s="163"/>
      <c r="I204" s="163"/>
      <c r="J204" s="163"/>
      <c r="K204" s="120">
        <f aca="true" t="shared" si="9" ref="K204:K272">H204-J204</f>
        <v>0</v>
      </c>
      <c r="L204" s="236" t="e">
        <f aca="true" t="shared" si="10" ref="L204:L264">J204/H204</f>
        <v>#DIV/0!</v>
      </c>
      <c r="N204" s="141"/>
      <c r="O204" s="141"/>
      <c r="P204" s="142"/>
      <c r="Q204" s="143"/>
      <c r="R204" s="141"/>
      <c r="S204" s="141"/>
      <c r="T204" s="142"/>
      <c r="U204" s="143"/>
      <c r="V204" s="141"/>
      <c r="W204" s="141"/>
      <c r="X204" s="142"/>
      <c r="Y204" s="143"/>
      <c r="Z204" s="141"/>
      <c r="AA204" s="141"/>
      <c r="AB204" s="142"/>
      <c r="AC204" s="143"/>
      <c r="AD204" s="141"/>
      <c r="AE204" s="141"/>
      <c r="AF204" s="142"/>
      <c r="AG204" s="143"/>
      <c r="AH204" s="145"/>
      <c r="AI204" s="145"/>
    </row>
    <row r="205" spans="1:35" s="144" customFormat="1" ht="36" hidden="1">
      <c r="A205" s="170" t="s">
        <v>535</v>
      </c>
      <c r="B205" s="171" t="s">
        <v>849</v>
      </c>
      <c r="C205" s="172" t="s">
        <v>863</v>
      </c>
      <c r="D205" s="173"/>
      <c r="E205" s="173"/>
      <c r="F205" s="174"/>
      <c r="G205" s="175"/>
      <c r="H205" s="163"/>
      <c r="I205" s="163"/>
      <c r="J205" s="163"/>
      <c r="K205" s="120">
        <f t="shared" si="9"/>
        <v>0</v>
      </c>
      <c r="L205" s="236" t="e">
        <f t="shared" si="10"/>
        <v>#DIV/0!</v>
      </c>
      <c r="N205" s="141"/>
      <c r="O205" s="141"/>
      <c r="P205" s="142"/>
      <c r="Q205" s="143"/>
      <c r="R205" s="141"/>
      <c r="S205" s="141"/>
      <c r="T205" s="142"/>
      <c r="U205" s="143"/>
      <c r="V205" s="141"/>
      <c r="W205" s="141"/>
      <c r="X205" s="142"/>
      <c r="Y205" s="143"/>
      <c r="Z205" s="141"/>
      <c r="AA205" s="141"/>
      <c r="AB205" s="142"/>
      <c r="AC205" s="143"/>
      <c r="AD205" s="141"/>
      <c r="AE205" s="141"/>
      <c r="AF205" s="142"/>
      <c r="AG205" s="143"/>
      <c r="AH205" s="145"/>
      <c r="AI205" s="145"/>
    </row>
    <row r="206" spans="1:35" s="144" customFormat="1" ht="24" hidden="1">
      <c r="A206" s="170" t="s">
        <v>535</v>
      </c>
      <c r="B206" s="171" t="s">
        <v>849</v>
      </c>
      <c r="C206" s="172" t="s">
        <v>864</v>
      </c>
      <c r="D206" s="173"/>
      <c r="E206" s="173"/>
      <c r="F206" s="174"/>
      <c r="G206" s="175"/>
      <c r="H206" s="163"/>
      <c r="I206" s="163"/>
      <c r="J206" s="163"/>
      <c r="K206" s="120">
        <f t="shared" si="9"/>
        <v>0</v>
      </c>
      <c r="L206" s="236" t="e">
        <f t="shared" si="10"/>
        <v>#DIV/0!</v>
      </c>
      <c r="N206" s="141"/>
      <c r="O206" s="141"/>
      <c r="P206" s="142"/>
      <c r="Q206" s="143"/>
      <c r="R206" s="141"/>
      <c r="S206" s="141"/>
      <c r="T206" s="142"/>
      <c r="U206" s="143"/>
      <c r="V206" s="141"/>
      <c r="W206" s="141"/>
      <c r="X206" s="142"/>
      <c r="Y206" s="143"/>
      <c r="Z206" s="141"/>
      <c r="AA206" s="141"/>
      <c r="AB206" s="142"/>
      <c r="AC206" s="143"/>
      <c r="AD206" s="141"/>
      <c r="AE206" s="141"/>
      <c r="AF206" s="142"/>
      <c r="AG206" s="143"/>
      <c r="AH206" s="145"/>
      <c r="AI206" s="145"/>
    </row>
    <row r="207" spans="1:35" s="144" customFormat="1" ht="12" customHeight="1" hidden="1">
      <c r="A207" s="170" t="s">
        <v>535</v>
      </c>
      <c r="B207" s="171" t="s">
        <v>849</v>
      </c>
      <c r="C207" s="172" t="s">
        <v>865</v>
      </c>
      <c r="D207" s="173"/>
      <c r="E207" s="173"/>
      <c r="F207" s="174"/>
      <c r="G207" s="175"/>
      <c r="H207" s="163"/>
      <c r="I207" s="163"/>
      <c r="J207" s="163"/>
      <c r="K207" s="120">
        <f t="shared" si="9"/>
        <v>0</v>
      </c>
      <c r="L207" s="236" t="e">
        <f t="shared" si="10"/>
        <v>#DIV/0!</v>
      </c>
      <c r="N207" s="141"/>
      <c r="O207" s="141"/>
      <c r="P207" s="142"/>
      <c r="Q207" s="143"/>
      <c r="R207" s="141"/>
      <c r="S207" s="141"/>
      <c r="T207" s="142"/>
      <c r="U207" s="143"/>
      <c r="V207" s="141"/>
      <c r="W207" s="141"/>
      <c r="X207" s="142"/>
      <c r="Y207" s="143"/>
      <c r="Z207" s="141"/>
      <c r="AA207" s="141"/>
      <c r="AB207" s="142"/>
      <c r="AC207" s="143"/>
      <c r="AD207" s="141"/>
      <c r="AE207" s="141"/>
      <c r="AF207" s="142"/>
      <c r="AG207" s="143"/>
      <c r="AH207" s="145"/>
      <c r="AI207" s="145"/>
    </row>
    <row r="208" spans="1:35" s="144" customFormat="1" ht="24">
      <c r="A208" s="170" t="s">
        <v>535</v>
      </c>
      <c r="B208" s="171" t="s">
        <v>849</v>
      </c>
      <c r="C208" s="172" t="s">
        <v>866</v>
      </c>
      <c r="D208" s="173"/>
      <c r="E208" s="173"/>
      <c r="F208" s="174"/>
      <c r="G208" s="175"/>
      <c r="H208" s="163">
        <v>0</v>
      </c>
      <c r="I208" s="163"/>
      <c r="J208" s="163">
        <v>80</v>
      </c>
      <c r="K208" s="120">
        <f t="shared" si="9"/>
        <v>-80</v>
      </c>
      <c r="L208" s="236" t="e">
        <f t="shared" si="10"/>
        <v>#DIV/0!</v>
      </c>
      <c r="N208" s="141"/>
      <c r="O208" s="141"/>
      <c r="P208" s="142"/>
      <c r="Q208" s="143"/>
      <c r="R208" s="141"/>
      <c r="S208" s="141"/>
      <c r="T208" s="142"/>
      <c r="U208" s="143"/>
      <c r="V208" s="141"/>
      <c r="W208" s="141"/>
      <c r="X208" s="142"/>
      <c r="Y208" s="143"/>
      <c r="Z208" s="141"/>
      <c r="AA208" s="141"/>
      <c r="AB208" s="142"/>
      <c r="AC208" s="143"/>
      <c r="AD208" s="141"/>
      <c r="AE208" s="141"/>
      <c r="AF208" s="142"/>
      <c r="AG208" s="143"/>
      <c r="AH208" s="145"/>
      <c r="AI208" s="145"/>
    </row>
    <row r="209" spans="1:35" s="144" customFormat="1" ht="36">
      <c r="A209" s="170" t="s">
        <v>535</v>
      </c>
      <c r="B209" s="171" t="s">
        <v>849</v>
      </c>
      <c r="C209" s="172" t="s">
        <v>1074</v>
      </c>
      <c r="D209" s="173"/>
      <c r="E209" s="173"/>
      <c r="F209" s="174"/>
      <c r="G209" s="175"/>
      <c r="H209" s="163">
        <v>0</v>
      </c>
      <c r="I209" s="163"/>
      <c r="J209" s="163">
        <v>300</v>
      </c>
      <c r="K209" s="120">
        <f>H209-J209</f>
        <v>-300</v>
      </c>
      <c r="L209" s="236" t="e">
        <f>J209/H209</f>
        <v>#DIV/0!</v>
      </c>
      <c r="N209" s="141"/>
      <c r="O209" s="141"/>
      <c r="P209" s="142"/>
      <c r="Q209" s="143"/>
      <c r="R209" s="141"/>
      <c r="S209" s="141"/>
      <c r="T209" s="142"/>
      <c r="U209" s="143"/>
      <c r="V209" s="141"/>
      <c r="W209" s="141"/>
      <c r="X209" s="142"/>
      <c r="Y209" s="143"/>
      <c r="Z209" s="141"/>
      <c r="AA209" s="141"/>
      <c r="AB209" s="142"/>
      <c r="AC209" s="143"/>
      <c r="AD209" s="141"/>
      <c r="AE209" s="141"/>
      <c r="AF209" s="142"/>
      <c r="AG209" s="143"/>
      <c r="AH209" s="145"/>
      <c r="AI209" s="145"/>
    </row>
    <row r="210" spans="1:35" s="144" customFormat="1" ht="48">
      <c r="A210" s="170" t="s">
        <v>535</v>
      </c>
      <c r="B210" s="171" t="s">
        <v>849</v>
      </c>
      <c r="C210" s="172" t="s">
        <v>1090</v>
      </c>
      <c r="D210" s="173"/>
      <c r="E210" s="173"/>
      <c r="F210" s="174"/>
      <c r="G210" s="175"/>
      <c r="H210" s="163">
        <v>0</v>
      </c>
      <c r="I210" s="163"/>
      <c r="J210" s="163">
        <v>50</v>
      </c>
      <c r="K210" s="120">
        <f>H210-J210</f>
        <v>-50</v>
      </c>
      <c r="L210" s="236" t="e">
        <f>J210/H210</f>
        <v>#DIV/0!</v>
      </c>
      <c r="N210" s="141"/>
      <c r="O210" s="141"/>
      <c r="P210" s="142"/>
      <c r="Q210" s="143"/>
      <c r="R210" s="141"/>
      <c r="S210" s="141"/>
      <c r="T210" s="142"/>
      <c r="U210" s="143"/>
      <c r="V210" s="141"/>
      <c r="W210" s="141"/>
      <c r="X210" s="142"/>
      <c r="Y210" s="143"/>
      <c r="Z210" s="141"/>
      <c r="AA210" s="141"/>
      <c r="AB210" s="142"/>
      <c r="AC210" s="143"/>
      <c r="AD210" s="141"/>
      <c r="AE210" s="141"/>
      <c r="AF210" s="142"/>
      <c r="AG210" s="143"/>
      <c r="AH210" s="145"/>
      <c r="AI210" s="145"/>
    </row>
    <row r="211" spans="1:35" s="144" customFormat="1" ht="36" hidden="1">
      <c r="A211" s="170" t="s">
        <v>535</v>
      </c>
      <c r="B211" s="171" t="s">
        <v>849</v>
      </c>
      <c r="C211" s="172" t="s">
        <v>867</v>
      </c>
      <c r="D211" s="173"/>
      <c r="E211" s="173"/>
      <c r="F211" s="174"/>
      <c r="G211" s="175"/>
      <c r="H211" s="163"/>
      <c r="I211" s="163"/>
      <c r="J211" s="163"/>
      <c r="K211" s="120">
        <f t="shared" si="9"/>
        <v>0</v>
      </c>
      <c r="L211" s="236" t="e">
        <f t="shared" si="10"/>
        <v>#DIV/0!</v>
      </c>
      <c r="N211" s="141"/>
      <c r="O211" s="141"/>
      <c r="P211" s="142"/>
      <c r="Q211" s="143"/>
      <c r="R211" s="141"/>
      <c r="S211" s="141"/>
      <c r="T211" s="142"/>
      <c r="U211" s="143"/>
      <c r="V211" s="141"/>
      <c r="W211" s="141"/>
      <c r="X211" s="142"/>
      <c r="Y211" s="143"/>
      <c r="Z211" s="141"/>
      <c r="AA211" s="141"/>
      <c r="AB211" s="142"/>
      <c r="AC211" s="143"/>
      <c r="AD211" s="141"/>
      <c r="AE211" s="141"/>
      <c r="AF211" s="142"/>
      <c r="AG211" s="143"/>
      <c r="AH211" s="145"/>
      <c r="AI211" s="145"/>
    </row>
    <row r="212" spans="1:35" s="144" customFormat="1" ht="60" hidden="1">
      <c r="A212" s="170" t="s">
        <v>535</v>
      </c>
      <c r="B212" s="171" t="s">
        <v>849</v>
      </c>
      <c r="C212" s="172" t="s">
        <v>868</v>
      </c>
      <c r="D212" s="173"/>
      <c r="E212" s="173"/>
      <c r="F212" s="174"/>
      <c r="G212" s="175"/>
      <c r="H212" s="163"/>
      <c r="I212" s="163"/>
      <c r="J212" s="163"/>
      <c r="K212" s="120">
        <f t="shared" si="9"/>
        <v>0</v>
      </c>
      <c r="L212" s="236" t="e">
        <f t="shared" si="10"/>
        <v>#DIV/0!</v>
      </c>
      <c r="N212" s="141"/>
      <c r="O212" s="141"/>
      <c r="P212" s="142"/>
      <c r="Q212" s="143"/>
      <c r="R212" s="141"/>
      <c r="S212" s="141"/>
      <c r="T212" s="142"/>
      <c r="U212" s="143"/>
      <c r="V212" s="141"/>
      <c r="W212" s="141"/>
      <c r="X212" s="142"/>
      <c r="Y212" s="143"/>
      <c r="Z212" s="141"/>
      <c r="AA212" s="141"/>
      <c r="AB212" s="142"/>
      <c r="AC212" s="143"/>
      <c r="AD212" s="141"/>
      <c r="AE212" s="141"/>
      <c r="AF212" s="142"/>
      <c r="AG212" s="143"/>
      <c r="AH212" s="145"/>
      <c r="AI212" s="145"/>
    </row>
    <row r="213" spans="1:35" s="144" customFormat="1" ht="24" hidden="1">
      <c r="A213" s="170" t="s">
        <v>535</v>
      </c>
      <c r="B213" s="171" t="s">
        <v>849</v>
      </c>
      <c r="C213" s="172" t="s">
        <v>869</v>
      </c>
      <c r="D213" s="173"/>
      <c r="E213" s="173"/>
      <c r="F213" s="174"/>
      <c r="G213" s="175"/>
      <c r="H213" s="163"/>
      <c r="I213" s="163"/>
      <c r="J213" s="163"/>
      <c r="K213" s="120">
        <f t="shared" si="9"/>
        <v>0</v>
      </c>
      <c r="L213" s="236" t="e">
        <f t="shared" si="10"/>
        <v>#DIV/0!</v>
      </c>
      <c r="N213" s="141"/>
      <c r="O213" s="141"/>
      <c r="P213" s="142"/>
      <c r="Q213" s="143"/>
      <c r="R213" s="141"/>
      <c r="S213" s="141"/>
      <c r="T213" s="142"/>
      <c r="U213" s="143"/>
      <c r="V213" s="141"/>
      <c r="W213" s="141"/>
      <c r="X213" s="142"/>
      <c r="Y213" s="143"/>
      <c r="Z213" s="141"/>
      <c r="AA213" s="141"/>
      <c r="AB213" s="142"/>
      <c r="AC213" s="143"/>
      <c r="AD213" s="141"/>
      <c r="AE213" s="141"/>
      <c r="AF213" s="142"/>
      <c r="AG213" s="143"/>
      <c r="AH213" s="145"/>
      <c r="AI213" s="145"/>
    </row>
    <row r="214" spans="1:35" s="144" customFormat="1" ht="24" hidden="1">
      <c r="A214" s="170" t="s">
        <v>535</v>
      </c>
      <c r="B214" s="171" t="s">
        <v>849</v>
      </c>
      <c r="C214" s="172" t="s">
        <v>870</v>
      </c>
      <c r="D214" s="173"/>
      <c r="E214" s="173"/>
      <c r="F214" s="174"/>
      <c r="G214" s="175"/>
      <c r="H214" s="163"/>
      <c r="I214" s="163"/>
      <c r="J214" s="163"/>
      <c r="K214" s="120">
        <f t="shared" si="9"/>
        <v>0</v>
      </c>
      <c r="L214" s="236" t="e">
        <f t="shared" si="10"/>
        <v>#DIV/0!</v>
      </c>
      <c r="N214" s="141"/>
      <c r="O214" s="141"/>
      <c r="P214" s="142"/>
      <c r="Q214" s="143"/>
      <c r="R214" s="141"/>
      <c r="S214" s="141"/>
      <c r="T214" s="142"/>
      <c r="U214" s="143"/>
      <c r="V214" s="141"/>
      <c r="W214" s="141"/>
      <c r="X214" s="142"/>
      <c r="Y214" s="143"/>
      <c r="Z214" s="141"/>
      <c r="AA214" s="141"/>
      <c r="AB214" s="142"/>
      <c r="AC214" s="143"/>
      <c r="AD214" s="141"/>
      <c r="AE214" s="141"/>
      <c r="AF214" s="142"/>
      <c r="AG214" s="143"/>
      <c r="AH214" s="145"/>
      <c r="AI214" s="145"/>
    </row>
    <row r="215" spans="1:35" s="144" customFormat="1" ht="24" hidden="1">
      <c r="A215" s="170" t="s">
        <v>535</v>
      </c>
      <c r="B215" s="171" t="s">
        <v>849</v>
      </c>
      <c r="C215" s="172" t="s">
        <v>871</v>
      </c>
      <c r="D215" s="173"/>
      <c r="E215" s="173"/>
      <c r="F215" s="174"/>
      <c r="G215" s="175"/>
      <c r="H215" s="163"/>
      <c r="I215" s="163"/>
      <c r="J215" s="163"/>
      <c r="K215" s="120">
        <f t="shared" si="9"/>
        <v>0</v>
      </c>
      <c r="L215" s="236" t="e">
        <f t="shared" si="10"/>
        <v>#DIV/0!</v>
      </c>
      <c r="N215" s="141"/>
      <c r="O215" s="141"/>
      <c r="P215" s="142"/>
      <c r="Q215" s="143"/>
      <c r="R215" s="141"/>
      <c r="S215" s="141"/>
      <c r="T215" s="142"/>
      <c r="U215" s="143"/>
      <c r="V215" s="141"/>
      <c r="W215" s="141"/>
      <c r="X215" s="142"/>
      <c r="Y215" s="143"/>
      <c r="Z215" s="141"/>
      <c r="AA215" s="141"/>
      <c r="AB215" s="142"/>
      <c r="AC215" s="143"/>
      <c r="AD215" s="141"/>
      <c r="AE215" s="141"/>
      <c r="AF215" s="142"/>
      <c r="AG215" s="143"/>
      <c r="AH215" s="145"/>
      <c r="AI215" s="145"/>
    </row>
    <row r="216" spans="1:35" s="144" customFormat="1" ht="12.75" customHeight="1" hidden="1">
      <c r="A216" s="170" t="s">
        <v>535</v>
      </c>
      <c r="B216" s="171" t="s">
        <v>849</v>
      </c>
      <c r="C216" s="172" t="s">
        <v>872</v>
      </c>
      <c r="D216" s="173"/>
      <c r="E216" s="173"/>
      <c r="F216" s="174"/>
      <c r="G216" s="175"/>
      <c r="H216" s="163"/>
      <c r="I216" s="163"/>
      <c r="J216" s="163"/>
      <c r="K216" s="120">
        <f t="shared" si="9"/>
        <v>0</v>
      </c>
      <c r="L216" s="236" t="e">
        <f t="shared" si="10"/>
        <v>#DIV/0!</v>
      </c>
      <c r="N216" s="141"/>
      <c r="O216" s="141"/>
      <c r="P216" s="142"/>
      <c r="Q216" s="143"/>
      <c r="R216" s="141"/>
      <c r="S216" s="141"/>
      <c r="T216" s="142"/>
      <c r="U216" s="143"/>
      <c r="V216" s="141"/>
      <c r="W216" s="141"/>
      <c r="X216" s="142"/>
      <c r="Y216" s="143"/>
      <c r="Z216" s="141"/>
      <c r="AA216" s="141"/>
      <c r="AB216" s="142"/>
      <c r="AC216" s="143"/>
      <c r="AD216" s="141"/>
      <c r="AE216" s="141"/>
      <c r="AF216" s="142"/>
      <c r="AG216" s="143"/>
      <c r="AH216" s="145"/>
      <c r="AI216" s="145"/>
    </row>
    <row r="217" spans="1:35" s="144" customFormat="1" ht="24" hidden="1">
      <c r="A217" s="170" t="s">
        <v>535</v>
      </c>
      <c r="B217" s="171" t="s">
        <v>849</v>
      </c>
      <c r="C217" s="172" t="s">
        <v>873</v>
      </c>
      <c r="D217" s="173"/>
      <c r="E217" s="173"/>
      <c r="F217" s="174"/>
      <c r="G217" s="175"/>
      <c r="H217" s="163"/>
      <c r="I217" s="163"/>
      <c r="J217" s="163"/>
      <c r="K217" s="120">
        <f t="shared" si="9"/>
        <v>0</v>
      </c>
      <c r="L217" s="236" t="e">
        <f t="shared" si="10"/>
        <v>#DIV/0!</v>
      </c>
      <c r="N217" s="141"/>
      <c r="O217" s="141"/>
      <c r="P217" s="142"/>
      <c r="Q217" s="143"/>
      <c r="R217" s="141"/>
      <c r="S217" s="141"/>
      <c r="T217" s="142"/>
      <c r="U217" s="143"/>
      <c r="V217" s="141"/>
      <c r="W217" s="141"/>
      <c r="X217" s="142"/>
      <c r="Y217" s="143"/>
      <c r="Z217" s="141"/>
      <c r="AA217" s="141"/>
      <c r="AB217" s="142"/>
      <c r="AC217" s="143"/>
      <c r="AD217" s="141"/>
      <c r="AE217" s="141"/>
      <c r="AF217" s="142"/>
      <c r="AG217" s="143"/>
      <c r="AH217" s="145"/>
      <c r="AI217" s="145"/>
    </row>
    <row r="218" spans="1:35" s="144" customFormat="1" ht="72" hidden="1">
      <c r="A218" s="147" t="s">
        <v>535</v>
      </c>
      <c r="B218" s="149" t="s">
        <v>874</v>
      </c>
      <c r="C218" s="140" t="s">
        <v>875</v>
      </c>
      <c r="D218" s="141"/>
      <c r="E218" s="141"/>
      <c r="F218" s="142"/>
      <c r="G218" s="143"/>
      <c r="H218" s="119"/>
      <c r="I218" s="119"/>
      <c r="J218" s="119"/>
      <c r="K218" s="120">
        <f t="shared" si="9"/>
        <v>0</v>
      </c>
      <c r="L218" s="236" t="e">
        <f t="shared" si="10"/>
        <v>#DIV/0!</v>
      </c>
      <c r="N218" s="141"/>
      <c r="O218" s="141"/>
      <c r="P218" s="142"/>
      <c r="Q218" s="143"/>
      <c r="R218" s="141"/>
      <c r="S218" s="141"/>
      <c r="T218" s="142"/>
      <c r="U218" s="143"/>
      <c r="V218" s="141"/>
      <c r="W218" s="141"/>
      <c r="X218" s="142"/>
      <c r="Y218" s="143"/>
      <c r="Z218" s="141"/>
      <c r="AA218" s="141"/>
      <c r="AB218" s="142"/>
      <c r="AC218" s="143"/>
      <c r="AD218" s="141"/>
      <c r="AE218" s="141"/>
      <c r="AF218" s="142"/>
      <c r="AG218" s="143"/>
      <c r="AH218" s="145"/>
      <c r="AI218" s="145"/>
    </row>
    <row r="219" spans="1:35" s="144" customFormat="1" ht="108" hidden="1">
      <c r="A219" s="147" t="s">
        <v>535</v>
      </c>
      <c r="B219" s="149" t="s">
        <v>876</v>
      </c>
      <c r="C219" s="140" t="s">
        <v>877</v>
      </c>
      <c r="D219" s="141"/>
      <c r="E219" s="141"/>
      <c r="F219" s="142"/>
      <c r="G219" s="143"/>
      <c r="H219" s="119"/>
      <c r="I219" s="119"/>
      <c r="J219" s="119"/>
      <c r="K219" s="120">
        <f t="shared" si="9"/>
        <v>0</v>
      </c>
      <c r="L219" s="236" t="e">
        <f t="shared" si="10"/>
        <v>#DIV/0!</v>
      </c>
      <c r="N219" s="141"/>
      <c r="O219" s="141"/>
      <c r="P219" s="142"/>
      <c r="Q219" s="143"/>
      <c r="R219" s="141"/>
      <c r="S219" s="141"/>
      <c r="T219" s="142"/>
      <c r="U219" s="143"/>
      <c r="V219" s="141"/>
      <c r="W219" s="141"/>
      <c r="X219" s="142"/>
      <c r="Y219" s="143"/>
      <c r="Z219" s="141"/>
      <c r="AA219" s="141"/>
      <c r="AB219" s="142"/>
      <c r="AC219" s="143"/>
      <c r="AD219" s="141"/>
      <c r="AE219" s="141"/>
      <c r="AF219" s="142"/>
      <c r="AG219" s="143"/>
      <c r="AH219" s="145"/>
      <c r="AI219" s="145"/>
    </row>
    <row r="220" spans="1:35" s="144" customFormat="1" ht="24" hidden="1">
      <c r="A220" s="147" t="s">
        <v>535</v>
      </c>
      <c r="B220" s="149" t="s">
        <v>878</v>
      </c>
      <c r="C220" s="140" t="s">
        <v>879</v>
      </c>
      <c r="D220" s="141"/>
      <c r="E220" s="141"/>
      <c r="F220" s="142"/>
      <c r="G220" s="143"/>
      <c r="H220" s="119">
        <v>0</v>
      </c>
      <c r="I220" s="119"/>
      <c r="J220" s="119"/>
      <c r="K220" s="120">
        <f t="shared" si="9"/>
        <v>0</v>
      </c>
      <c r="L220" s="236" t="e">
        <f t="shared" si="10"/>
        <v>#DIV/0!</v>
      </c>
      <c r="N220" s="141"/>
      <c r="O220" s="141"/>
      <c r="P220" s="142"/>
      <c r="Q220" s="143"/>
      <c r="R220" s="141"/>
      <c r="S220" s="141"/>
      <c r="T220" s="142"/>
      <c r="U220" s="143"/>
      <c r="V220" s="141"/>
      <c r="W220" s="141"/>
      <c r="X220" s="142"/>
      <c r="Y220" s="143"/>
      <c r="Z220" s="141"/>
      <c r="AA220" s="141"/>
      <c r="AB220" s="142"/>
      <c r="AC220" s="143"/>
      <c r="AD220" s="141"/>
      <c r="AE220" s="141"/>
      <c r="AF220" s="142"/>
      <c r="AG220" s="143"/>
      <c r="AH220" s="145"/>
      <c r="AI220" s="145"/>
    </row>
    <row r="221" spans="1:35" s="144" customFormat="1" ht="120">
      <c r="A221" s="147" t="s">
        <v>535</v>
      </c>
      <c r="B221" s="149" t="s">
        <v>880</v>
      </c>
      <c r="C221" s="140" t="s">
        <v>881</v>
      </c>
      <c r="D221" s="141"/>
      <c r="E221" s="141"/>
      <c r="F221" s="142"/>
      <c r="G221" s="143"/>
      <c r="H221" s="119">
        <v>0</v>
      </c>
      <c r="I221" s="119"/>
      <c r="J221" s="119">
        <v>100</v>
      </c>
      <c r="K221" s="120">
        <f t="shared" si="9"/>
        <v>-100</v>
      </c>
      <c r="L221" s="236" t="e">
        <f t="shared" si="10"/>
        <v>#DIV/0!</v>
      </c>
      <c r="N221" s="141"/>
      <c r="O221" s="141"/>
      <c r="P221" s="142"/>
      <c r="Q221" s="143"/>
      <c r="R221" s="141"/>
      <c r="S221" s="141"/>
      <c r="T221" s="142"/>
      <c r="U221" s="143"/>
      <c r="V221" s="141"/>
      <c r="W221" s="141"/>
      <c r="X221" s="142"/>
      <c r="Y221" s="143"/>
      <c r="Z221" s="141"/>
      <c r="AA221" s="141"/>
      <c r="AB221" s="142"/>
      <c r="AC221" s="143"/>
      <c r="AD221" s="141"/>
      <c r="AE221" s="141"/>
      <c r="AF221" s="142"/>
      <c r="AG221" s="143"/>
      <c r="AH221" s="145"/>
      <c r="AI221" s="145"/>
    </row>
    <row r="222" spans="1:35" s="144" customFormat="1" ht="120" hidden="1">
      <c r="A222" s="147" t="s">
        <v>535</v>
      </c>
      <c r="B222" s="149" t="s">
        <v>882</v>
      </c>
      <c r="C222" s="140" t="s">
        <v>881</v>
      </c>
      <c r="D222" s="141"/>
      <c r="E222" s="141"/>
      <c r="F222" s="142"/>
      <c r="G222" s="143"/>
      <c r="H222" s="119">
        <v>0</v>
      </c>
      <c r="I222" s="119"/>
      <c r="J222" s="119"/>
      <c r="K222" s="120">
        <f t="shared" si="9"/>
        <v>0</v>
      </c>
      <c r="L222" s="236" t="e">
        <f t="shared" si="10"/>
        <v>#DIV/0!</v>
      </c>
      <c r="N222" s="141"/>
      <c r="O222" s="141"/>
      <c r="P222" s="142"/>
      <c r="Q222" s="143"/>
      <c r="R222" s="141"/>
      <c r="S222" s="141"/>
      <c r="T222" s="142"/>
      <c r="U222" s="143"/>
      <c r="V222" s="141"/>
      <c r="W222" s="141"/>
      <c r="X222" s="142"/>
      <c r="Y222" s="143"/>
      <c r="Z222" s="141"/>
      <c r="AA222" s="141"/>
      <c r="AB222" s="142"/>
      <c r="AC222" s="143"/>
      <c r="AD222" s="141"/>
      <c r="AE222" s="141"/>
      <c r="AF222" s="142"/>
      <c r="AG222" s="143"/>
      <c r="AH222" s="145"/>
      <c r="AI222" s="145"/>
    </row>
    <row r="223" spans="1:35" s="144" customFormat="1" ht="48">
      <c r="A223" s="147" t="s">
        <v>535</v>
      </c>
      <c r="B223" s="149" t="s">
        <v>883</v>
      </c>
      <c r="C223" s="140" t="s">
        <v>884</v>
      </c>
      <c r="D223" s="141"/>
      <c r="E223" s="141"/>
      <c r="F223" s="142"/>
      <c r="G223" s="143"/>
      <c r="H223" s="119">
        <f>SUM(H224:H251)</f>
        <v>2500</v>
      </c>
      <c r="I223" s="119">
        <f>SUM(I224:I251)</f>
        <v>0</v>
      </c>
      <c r="J223" s="119">
        <f>SUM(J224:J251)</f>
        <v>11861.199999999999</v>
      </c>
      <c r="K223" s="119">
        <f t="shared" si="9"/>
        <v>-9361.199999999999</v>
      </c>
      <c r="L223" s="265">
        <f t="shared" si="10"/>
        <v>4.744479999999999</v>
      </c>
      <c r="N223" s="141"/>
      <c r="O223" s="141"/>
      <c r="P223" s="142"/>
      <c r="Q223" s="143"/>
      <c r="R223" s="141"/>
      <c r="S223" s="141"/>
      <c r="T223" s="142"/>
      <c r="U223" s="143"/>
      <c r="V223" s="141"/>
      <c r="W223" s="141"/>
      <c r="X223" s="142"/>
      <c r="Y223" s="143"/>
      <c r="Z223" s="141"/>
      <c r="AA223" s="141"/>
      <c r="AB223" s="142"/>
      <c r="AC223" s="143"/>
      <c r="AD223" s="141"/>
      <c r="AE223" s="141"/>
      <c r="AF223" s="142"/>
      <c r="AG223" s="143"/>
      <c r="AH223" s="145"/>
      <c r="AI223" s="145"/>
    </row>
    <row r="224" spans="1:35" s="168" customFormat="1" ht="39" customHeight="1" hidden="1">
      <c r="A224" s="160" t="s">
        <v>535</v>
      </c>
      <c r="B224" s="161" t="s">
        <v>883</v>
      </c>
      <c r="C224" s="162" t="s">
        <v>885</v>
      </c>
      <c r="D224" s="165"/>
      <c r="E224" s="165"/>
      <c r="F224" s="166"/>
      <c r="G224" s="167"/>
      <c r="H224" s="163"/>
      <c r="I224" s="163"/>
      <c r="J224" s="163"/>
      <c r="K224" s="120">
        <f t="shared" si="9"/>
        <v>0</v>
      </c>
      <c r="L224" s="236" t="e">
        <f t="shared" si="10"/>
        <v>#DIV/0!</v>
      </c>
      <c r="N224" s="165"/>
      <c r="O224" s="165"/>
      <c r="P224" s="166"/>
      <c r="Q224" s="167"/>
      <c r="R224" s="165"/>
      <c r="S224" s="165"/>
      <c r="T224" s="166"/>
      <c r="U224" s="167"/>
      <c r="V224" s="165"/>
      <c r="W224" s="165"/>
      <c r="X224" s="166"/>
      <c r="Y224" s="167"/>
      <c r="Z224" s="165"/>
      <c r="AA224" s="165"/>
      <c r="AB224" s="166"/>
      <c r="AC224" s="167"/>
      <c r="AD224" s="165"/>
      <c r="AE224" s="165"/>
      <c r="AF224" s="166"/>
      <c r="AG224" s="167"/>
      <c r="AH224" s="169"/>
      <c r="AI224" s="169"/>
    </row>
    <row r="225" spans="1:35" s="121" customFormat="1" ht="96">
      <c r="A225" s="160" t="s">
        <v>535</v>
      </c>
      <c r="B225" s="161" t="s">
        <v>883</v>
      </c>
      <c r="C225" s="162" t="s">
        <v>510</v>
      </c>
      <c r="D225" s="165"/>
      <c r="E225" s="165"/>
      <c r="F225" s="166"/>
      <c r="G225" s="167"/>
      <c r="H225" s="163">
        <v>0</v>
      </c>
      <c r="I225" s="163"/>
      <c r="J225" s="163">
        <v>536.9</v>
      </c>
      <c r="K225" s="120">
        <f t="shared" si="9"/>
        <v>-536.9</v>
      </c>
      <c r="L225" s="236" t="e">
        <f t="shared" si="10"/>
        <v>#DIV/0!</v>
      </c>
      <c r="N225" s="116"/>
      <c r="O225" s="116"/>
      <c r="P225" s="117"/>
      <c r="Q225" s="118"/>
      <c r="R225" s="116"/>
      <c r="S225" s="116"/>
      <c r="T225" s="117"/>
      <c r="U225" s="118"/>
      <c r="V225" s="116"/>
      <c r="W225" s="116"/>
      <c r="X225" s="117"/>
      <c r="Y225" s="118"/>
      <c r="Z225" s="116"/>
      <c r="AA225" s="116"/>
      <c r="AB225" s="117"/>
      <c r="AC225" s="118"/>
      <c r="AD225" s="116"/>
      <c r="AE225" s="116"/>
      <c r="AF225" s="117"/>
      <c r="AG225" s="118"/>
      <c r="AH225" s="122"/>
      <c r="AI225" s="122"/>
    </row>
    <row r="226" spans="1:35" s="121" customFormat="1" ht="60">
      <c r="A226" s="160" t="s">
        <v>535</v>
      </c>
      <c r="B226" s="161" t="s">
        <v>883</v>
      </c>
      <c r="C226" s="162" t="s">
        <v>886</v>
      </c>
      <c r="D226" s="165"/>
      <c r="E226" s="165"/>
      <c r="F226" s="166"/>
      <c r="G226" s="167"/>
      <c r="H226" s="163">
        <v>1350</v>
      </c>
      <c r="I226" s="163"/>
      <c r="J226" s="163">
        <v>710</v>
      </c>
      <c r="K226" s="164">
        <f t="shared" si="9"/>
        <v>640</v>
      </c>
      <c r="L226" s="239">
        <f t="shared" si="10"/>
        <v>0.5259259259259259</v>
      </c>
      <c r="N226" s="116"/>
      <c r="O226" s="116"/>
      <c r="P226" s="117"/>
      <c r="Q226" s="118"/>
      <c r="R226" s="116"/>
      <c r="S226" s="116"/>
      <c r="T226" s="117"/>
      <c r="U226" s="118"/>
      <c r="V226" s="116"/>
      <c r="W226" s="116"/>
      <c r="X226" s="117"/>
      <c r="Y226" s="118"/>
      <c r="Z226" s="116"/>
      <c r="AA226" s="116"/>
      <c r="AB226" s="117"/>
      <c r="AC226" s="118"/>
      <c r="AD226" s="116"/>
      <c r="AE226" s="116"/>
      <c r="AF226" s="117"/>
      <c r="AG226" s="118"/>
      <c r="AH226" s="122"/>
      <c r="AI226" s="122"/>
    </row>
    <row r="227" spans="1:35" s="121" customFormat="1" ht="84">
      <c r="A227" s="160" t="s">
        <v>535</v>
      </c>
      <c r="B227" s="161" t="s">
        <v>883</v>
      </c>
      <c r="C227" s="162" t="s">
        <v>887</v>
      </c>
      <c r="D227" s="165"/>
      <c r="E227" s="165"/>
      <c r="F227" s="166"/>
      <c r="G227" s="167"/>
      <c r="H227" s="163">
        <v>1150</v>
      </c>
      <c r="I227" s="163"/>
      <c r="J227" s="163">
        <v>630</v>
      </c>
      <c r="K227" s="164">
        <f t="shared" si="9"/>
        <v>520</v>
      </c>
      <c r="L227" s="239">
        <f t="shared" si="10"/>
        <v>0.5478260869565217</v>
      </c>
      <c r="N227" s="116"/>
      <c r="O227" s="116"/>
      <c r="P227" s="117"/>
      <c r="Q227" s="118"/>
      <c r="R227" s="116"/>
      <c r="S227" s="116"/>
      <c r="T227" s="117"/>
      <c r="U227" s="118"/>
      <c r="V227" s="116"/>
      <c r="W227" s="116"/>
      <c r="X227" s="117"/>
      <c r="Y227" s="118"/>
      <c r="Z227" s="116"/>
      <c r="AA227" s="116"/>
      <c r="AB227" s="117"/>
      <c r="AC227" s="118"/>
      <c r="AD227" s="116"/>
      <c r="AE227" s="116"/>
      <c r="AF227" s="117"/>
      <c r="AG227" s="118"/>
      <c r="AH227" s="122"/>
      <c r="AI227" s="122"/>
    </row>
    <row r="228" spans="1:35" s="121" customFormat="1" ht="60">
      <c r="A228" s="160" t="s">
        <v>535</v>
      </c>
      <c r="B228" s="161" t="s">
        <v>883</v>
      </c>
      <c r="C228" s="162" t="s">
        <v>1091</v>
      </c>
      <c r="D228" s="165"/>
      <c r="E228" s="165"/>
      <c r="F228" s="166"/>
      <c r="G228" s="167"/>
      <c r="H228" s="163">
        <v>0</v>
      </c>
      <c r="I228" s="163"/>
      <c r="J228" s="163">
        <v>186</v>
      </c>
      <c r="K228" s="164">
        <f>H228-J228</f>
        <v>-186</v>
      </c>
      <c r="L228" s="239" t="e">
        <f>J228/H228</f>
        <v>#DIV/0!</v>
      </c>
      <c r="N228" s="116"/>
      <c r="O228" s="116"/>
      <c r="P228" s="117"/>
      <c r="Q228" s="118"/>
      <c r="R228" s="116"/>
      <c r="S228" s="116"/>
      <c r="T228" s="117"/>
      <c r="U228" s="118"/>
      <c r="V228" s="116"/>
      <c r="W228" s="116"/>
      <c r="X228" s="117"/>
      <c r="Y228" s="118"/>
      <c r="Z228" s="116"/>
      <c r="AA228" s="116"/>
      <c r="AB228" s="117"/>
      <c r="AC228" s="118"/>
      <c r="AD228" s="116"/>
      <c r="AE228" s="116"/>
      <c r="AF228" s="117"/>
      <c r="AG228" s="118"/>
      <c r="AH228" s="122"/>
      <c r="AI228" s="122"/>
    </row>
    <row r="229" spans="1:35" s="121" customFormat="1" ht="24">
      <c r="A229" s="160" t="s">
        <v>535</v>
      </c>
      <c r="B229" s="161" t="s">
        <v>883</v>
      </c>
      <c r="C229" s="162" t="s">
        <v>1093</v>
      </c>
      <c r="D229" s="165"/>
      <c r="E229" s="165"/>
      <c r="F229" s="166"/>
      <c r="G229" s="167"/>
      <c r="H229" s="163">
        <v>0</v>
      </c>
      <c r="I229" s="163"/>
      <c r="J229" s="163">
        <v>635.7</v>
      </c>
      <c r="K229" s="164">
        <f>H229-J229</f>
        <v>-635.7</v>
      </c>
      <c r="L229" s="239" t="e">
        <f>J229/H229</f>
        <v>#DIV/0!</v>
      </c>
      <c r="N229" s="116"/>
      <c r="O229" s="116"/>
      <c r="P229" s="117"/>
      <c r="Q229" s="118"/>
      <c r="R229" s="116"/>
      <c r="S229" s="116"/>
      <c r="T229" s="117"/>
      <c r="U229" s="118"/>
      <c r="V229" s="116"/>
      <c r="W229" s="116"/>
      <c r="X229" s="117"/>
      <c r="Y229" s="118"/>
      <c r="Z229" s="116"/>
      <c r="AA229" s="116"/>
      <c r="AB229" s="117"/>
      <c r="AC229" s="118"/>
      <c r="AD229" s="116"/>
      <c r="AE229" s="116"/>
      <c r="AF229" s="117"/>
      <c r="AG229" s="118"/>
      <c r="AH229" s="122"/>
      <c r="AI229" s="122"/>
    </row>
    <row r="230" spans="1:35" s="121" customFormat="1" ht="60">
      <c r="A230" s="160" t="s">
        <v>535</v>
      </c>
      <c r="B230" s="161" t="s">
        <v>883</v>
      </c>
      <c r="C230" s="162" t="s">
        <v>1094</v>
      </c>
      <c r="D230" s="165"/>
      <c r="E230" s="165"/>
      <c r="F230" s="166"/>
      <c r="G230" s="167"/>
      <c r="H230" s="163">
        <v>0</v>
      </c>
      <c r="I230" s="163"/>
      <c r="J230" s="163">
        <v>401</v>
      </c>
      <c r="K230" s="164">
        <f>H230-J230</f>
        <v>-401</v>
      </c>
      <c r="L230" s="239" t="e">
        <f>J230/H230</f>
        <v>#DIV/0!</v>
      </c>
      <c r="N230" s="116"/>
      <c r="O230" s="116"/>
      <c r="P230" s="117"/>
      <c r="Q230" s="118"/>
      <c r="R230" s="116"/>
      <c r="S230" s="116"/>
      <c r="T230" s="117"/>
      <c r="U230" s="118"/>
      <c r="V230" s="116"/>
      <c r="W230" s="116"/>
      <c r="X230" s="117"/>
      <c r="Y230" s="118"/>
      <c r="Z230" s="116"/>
      <c r="AA230" s="116"/>
      <c r="AB230" s="117"/>
      <c r="AC230" s="118"/>
      <c r="AD230" s="116"/>
      <c r="AE230" s="116"/>
      <c r="AF230" s="117"/>
      <c r="AG230" s="118"/>
      <c r="AH230" s="122"/>
      <c r="AI230" s="122"/>
    </row>
    <row r="231" spans="1:35" s="121" customFormat="1" ht="62.25" customHeight="1">
      <c r="A231" s="160" t="s">
        <v>535</v>
      </c>
      <c r="B231" s="161" t="s">
        <v>883</v>
      </c>
      <c r="C231" s="162" t="s">
        <v>1092</v>
      </c>
      <c r="D231" s="165"/>
      <c r="E231" s="165"/>
      <c r="F231" s="166"/>
      <c r="G231" s="167"/>
      <c r="H231" s="163">
        <v>0</v>
      </c>
      <c r="I231" s="163"/>
      <c r="J231" s="163">
        <v>4239.7</v>
      </c>
      <c r="K231" s="164">
        <f t="shared" si="9"/>
        <v>-4239.7</v>
      </c>
      <c r="L231" s="239" t="e">
        <f t="shared" si="10"/>
        <v>#DIV/0!</v>
      </c>
      <c r="N231" s="116"/>
      <c r="O231" s="116"/>
      <c r="P231" s="117"/>
      <c r="Q231" s="118"/>
      <c r="R231" s="116"/>
      <c r="S231" s="116"/>
      <c r="T231" s="117"/>
      <c r="U231" s="118"/>
      <c r="V231" s="116"/>
      <c r="W231" s="116"/>
      <c r="X231" s="117"/>
      <c r="Y231" s="118"/>
      <c r="Z231" s="116"/>
      <c r="AA231" s="116"/>
      <c r="AB231" s="117"/>
      <c r="AC231" s="118"/>
      <c r="AD231" s="116"/>
      <c r="AE231" s="116"/>
      <c r="AF231" s="117"/>
      <c r="AG231" s="118"/>
      <c r="AH231" s="122"/>
      <c r="AI231" s="122"/>
    </row>
    <row r="232" spans="1:35" s="121" customFormat="1" ht="108" hidden="1">
      <c r="A232" s="160" t="s">
        <v>535</v>
      </c>
      <c r="B232" s="161" t="s">
        <v>883</v>
      </c>
      <c r="C232" s="162" t="s">
        <v>888</v>
      </c>
      <c r="D232" s="165"/>
      <c r="E232" s="165"/>
      <c r="F232" s="166"/>
      <c r="G232" s="167"/>
      <c r="H232" s="163"/>
      <c r="I232" s="163"/>
      <c r="J232" s="163"/>
      <c r="K232" s="164">
        <f t="shared" si="9"/>
        <v>0</v>
      </c>
      <c r="L232" s="239" t="e">
        <f t="shared" si="10"/>
        <v>#DIV/0!</v>
      </c>
      <c r="N232" s="116"/>
      <c r="O232" s="116"/>
      <c r="P232" s="117"/>
      <c r="Q232" s="118"/>
      <c r="R232" s="116"/>
      <c r="S232" s="116"/>
      <c r="T232" s="117"/>
      <c r="U232" s="118"/>
      <c r="V232" s="116"/>
      <c r="W232" s="116"/>
      <c r="X232" s="117"/>
      <c r="Y232" s="118"/>
      <c r="Z232" s="116"/>
      <c r="AA232" s="116"/>
      <c r="AB232" s="117"/>
      <c r="AC232" s="118"/>
      <c r="AD232" s="116"/>
      <c r="AE232" s="116"/>
      <c r="AF232" s="117"/>
      <c r="AG232" s="118"/>
      <c r="AH232" s="122"/>
      <c r="AI232" s="122"/>
    </row>
    <row r="233" spans="1:35" s="121" customFormat="1" ht="48" hidden="1">
      <c r="A233" s="160" t="s">
        <v>535</v>
      </c>
      <c r="B233" s="161" t="s">
        <v>883</v>
      </c>
      <c r="C233" s="162" t="s">
        <v>889</v>
      </c>
      <c r="D233" s="165"/>
      <c r="E233" s="165"/>
      <c r="F233" s="166"/>
      <c r="G233" s="167"/>
      <c r="H233" s="163"/>
      <c r="I233" s="163"/>
      <c r="J233" s="163"/>
      <c r="K233" s="164">
        <f t="shared" si="9"/>
        <v>0</v>
      </c>
      <c r="L233" s="239" t="e">
        <f t="shared" si="10"/>
        <v>#DIV/0!</v>
      </c>
      <c r="N233" s="116"/>
      <c r="O233" s="116"/>
      <c r="P233" s="117"/>
      <c r="Q233" s="118"/>
      <c r="R233" s="116"/>
      <c r="S233" s="116"/>
      <c r="T233" s="117"/>
      <c r="U233" s="118"/>
      <c r="V233" s="116"/>
      <c r="W233" s="116"/>
      <c r="X233" s="117"/>
      <c r="Y233" s="118"/>
      <c r="Z233" s="116"/>
      <c r="AA233" s="116"/>
      <c r="AB233" s="117"/>
      <c r="AC233" s="118"/>
      <c r="AD233" s="116"/>
      <c r="AE233" s="116"/>
      <c r="AF233" s="117"/>
      <c r="AG233" s="118"/>
      <c r="AH233" s="122"/>
      <c r="AI233" s="122"/>
    </row>
    <row r="234" spans="1:35" s="121" customFormat="1" ht="39" customHeight="1" hidden="1">
      <c r="A234" s="160" t="s">
        <v>535</v>
      </c>
      <c r="B234" s="161" t="s">
        <v>883</v>
      </c>
      <c r="C234" s="162" t="s">
        <v>890</v>
      </c>
      <c r="D234" s="165"/>
      <c r="E234" s="165"/>
      <c r="F234" s="166"/>
      <c r="G234" s="167"/>
      <c r="H234" s="163"/>
      <c r="I234" s="163"/>
      <c r="J234" s="163"/>
      <c r="K234" s="164">
        <f t="shared" si="9"/>
        <v>0</v>
      </c>
      <c r="L234" s="239" t="e">
        <f t="shared" si="10"/>
        <v>#DIV/0!</v>
      </c>
      <c r="N234" s="116"/>
      <c r="O234" s="116"/>
      <c r="P234" s="117"/>
      <c r="Q234" s="118"/>
      <c r="R234" s="116"/>
      <c r="S234" s="116"/>
      <c r="T234" s="117"/>
      <c r="U234" s="118"/>
      <c r="V234" s="116"/>
      <c r="W234" s="116"/>
      <c r="X234" s="117"/>
      <c r="Y234" s="118"/>
      <c r="Z234" s="116"/>
      <c r="AA234" s="116"/>
      <c r="AB234" s="117"/>
      <c r="AC234" s="118"/>
      <c r="AD234" s="116"/>
      <c r="AE234" s="116"/>
      <c r="AF234" s="117"/>
      <c r="AG234" s="118"/>
      <c r="AH234" s="122"/>
      <c r="AI234" s="122"/>
    </row>
    <row r="235" spans="1:35" s="121" customFormat="1" ht="144" hidden="1">
      <c r="A235" s="160" t="s">
        <v>535</v>
      </c>
      <c r="B235" s="161" t="s">
        <v>883</v>
      </c>
      <c r="C235" s="162" t="s">
        <v>891</v>
      </c>
      <c r="D235" s="165"/>
      <c r="E235" s="165"/>
      <c r="F235" s="166"/>
      <c r="G235" s="167"/>
      <c r="H235" s="163"/>
      <c r="I235" s="163"/>
      <c r="J235" s="163"/>
      <c r="K235" s="164">
        <f t="shared" si="9"/>
        <v>0</v>
      </c>
      <c r="L235" s="239" t="e">
        <f t="shared" si="10"/>
        <v>#DIV/0!</v>
      </c>
      <c r="N235" s="116"/>
      <c r="O235" s="116"/>
      <c r="P235" s="117"/>
      <c r="Q235" s="118"/>
      <c r="R235" s="116"/>
      <c r="S235" s="116"/>
      <c r="T235" s="117"/>
      <c r="U235" s="118"/>
      <c r="V235" s="116"/>
      <c r="W235" s="116"/>
      <c r="X235" s="117"/>
      <c r="Y235" s="118"/>
      <c r="Z235" s="116"/>
      <c r="AA235" s="116"/>
      <c r="AB235" s="117"/>
      <c r="AC235" s="118"/>
      <c r="AD235" s="116"/>
      <c r="AE235" s="116"/>
      <c r="AF235" s="117"/>
      <c r="AG235" s="118"/>
      <c r="AH235" s="122"/>
      <c r="AI235" s="122"/>
    </row>
    <row r="236" spans="1:35" s="121" customFormat="1" ht="72" hidden="1">
      <c r="A236" s="160" t="s">
        <v>535</v>
      </c>
      <c r="B236" s="161" t="s">
        <v>883</v>
      </c>
      <c r="C236" s="162" t="s">
        <v>892</v>
      </c>
      <c r="D236" s="165"/>
      <c r="E236" s="165"/>
      <c r="F236" s="166"/>
      <c r="G236" s="167"/>
      <c r="H236" s="163"/>
      <c r="I236" s="163"/>
      <c r="J236" s="163"/>
      <c r="K236" s="164">
        <f t="shared" si="9"/>
        <v>0</v>
      </c>
      <c r="L236" s="239" t="e">
        <f t="shared" si="10"/>
        <v>#DIV/0!</v>
      </c>
      <c r="N236" s="116"/>
      <c r="O236" s="116"/>
      <c r="P236" s="117"/>
      <c r="Q236" s="118"/>
      <c r="R236" s="116"/>
      <c r="S236" s="116"/>
      <c r="T236" s="117"/>
      <c r="U236" s="118"/>
      <c r="V236" s="116"/>
      <c r="W236" s="116"/>
      <c r="X236" s="117"/>
      <c r="Y236" s="118"/>
      <c r="Z236" s="116"/>
      <c r="AA236" s="116"/>
      <c r="AB236" s="117"/>
      <c r="AC236" s="118"/>
      <c r="AD236" s="116"/>
      <c r="AE236" s="116"/>
      <c r="AF236" s="117"/>
      <c r="AG236" s="118"/>
      <c r="AH236" s="122"/>
      <c r="AI236" s="122"/>
    </row>
    <row r="237" spans="1:35" s="121" customFormat="1" ht="72" hidden="1">
      <c r="A237" s="160" t="s">
        <v>535</v>
      </c>
      <c r="B237" s="161" t="s">
        <v>883</v>
      </c>
      <c r="C237" s="162" t="s">
        <v>893</v>
      </c>
      <c r="D237" s="165"/>
      <c r="E237" s="165"/>
      <c r="F237" s="166"/>
      <c r="G237" s="167"/>
      <c r="H237" s="163"/>
      <c r="I237" s="163"/>
      <c r="J237" s="163"/>
      <c r="K237" s="164">
        <f t="shared" si="9"/>
        <v>0</v>
      </c>
      <c r="L237" s="239" t="e">
        <f t="shared" si="10"/>
        <v>#DIV/0!</v>
      </c>
      <c r="N237" s="116"/>
      <c r="O237" s="116"/>
      <c r="P237" s="117"/>
      <c r="Q237" s="118"/>
      <c r="R237" s="116"/>
      <c r="S237" s="116"/>
      <c r="T237" s="117"/>
      <c r="U237" s="118"/>
      <c r="V237" s="116"/>
      <c r="W237" s="116"/>
      <c r="X237" s="117"/>
      <c r="Y237" s="118"/>
      <c r="Z237" s="116"/>
      <c r="AA237" s="116"/>
      <c r="AB237" s="117"/>
      <c r="AC237" s="118"/>
      <c r="AD237" s="116"/>
      <c r="AE237" s="116"/>
      <c r="AF237" s="117"/>
      <c r="AG237" s="118"/>
      <c r="AH237" s="122"/>
      <c r="AI237" s="122"/>
    </row>
    <row r="238" spans="1:35" s="121" customFormat="1" ht="60" hidden="1">
      <c r="A238" s="160" t="s">
        <v>535</v>
      </c>
      <c r="B238" s="161" t="s">
        <v>883</v>
      </c>
      <c r="C238" s="162" t="s">
        <v>894</v>
      </c>
      <c r="D238" s="165"/>
      <c r="E238" s="165"/>
      <c r="F238" s="166"/>
      <c r="G238" s="167"/>
      <c r="H238" s="163"/>
      <c r="I238" s="163"/>
      <c r="J238" s="163"/>
      <c r="K238" s="164">
        <f t="shared" si="9"/>
        <v>0</v>
      </c>
      <c r="L238" s="239" t="e">
        <f t="shared" si="10"/>
        <v>#DIV/0!</v>
      </c>
      <c r="N238" s="116"/>
      <c r="O238" s="116"/>
      <c r="P238" s="117"/>
      <c r="Q238" s="118"/>
      <c r="R238" s="116"/>
      <c r="S238" s="116"/>
      <c r="T238" s="117"/>
      <c r="U238" s="118"/>
      <c r="V238" s="116"/>
      <c r="W238" s="116"/>
      <c r="X238" s="117"/>
      <c r="Y238" s="118"/>
      <c r="Z238" s="116"/>
      <c r="AA238" s="116"/>
      <c r="AB238" s="117"/>
      <c r="AC238" s="118"/>
      <c r="AD238" s="116"/>
      <c r="AE238" s="116"/>
      <c r="AF238" s="117"/>
      <c r="AG238" s="118"/>
      <c r="AH238" s="122"/>
      <c r="AI238" s="122"/>
    </row>
    <row r="239" spans="1:35" s="121" customFormat="1" ht="108" hidden="1">
      <c r="A239" s="160" t="s">
        <v>535</v>
      </c>
      <c r="B239" s="161" t="s">
        <v>883</v>
      </c>
      <c r="C239" s="162" t="s">
        <v>895</v>
      </c>
      <c r="D239" s="165"/>
      <c r="E239" s="165"/>
      <c r="F239" s="166"/>
      <c r="G239" s="167"/>
      <c r="H239" s="163"/>
      <c r="I239" s="163"/>
      <c r="J239" s="163"/>
      <c r="K239" s="164">
        <f t="shared" si="9"/>
        <v>0</v>
      </c>
      <c r="L239" s="239" t="e">
        <f t="shared" si="10"/>
        <v>#DIV/0!</v>
      </c>
      <c r="N239" s="116"/>
      <c r="O239" s="116"/>
      <c r="P239" s="117"/>
      <c r="Q239" s="118"/>
      <c r="R239" s="116"/>
      <c r="S239" s="116"/>
      <c r="T239" s="117"/>
      <c r="U239" s="118"/>
      <c r="V239" s="116"/>
      <c r="W239" s="116"/>
      <c r="X239" s="117"/>
      <c r="Y239" s="118"/>
      <c r="Z239" s="116"/>
      <c r="AA239" s="116"/>
      <c r="AB239" s="117"/>
      <c r="AC239" s="118"/>
      <c r="AD239" s="116"/>
      <c r="AE239" s="116"/>
      <c r="AF239" s="117"/>
      <c r="AG239" s="118"/>
      <c r="AH239" s="122"/>
      <c r="AI239" s="122"/>
    </row>
    <row r="240" spans="1:35" s="121" customFormat="1" ht="48" hidden="1">
      <c r="A240" s="160" t="s">
        <v>535</v>
      </c>
      <c r="B240" s="161" t="s">
        <v>883</v>
      </c>
      <c r="C240" s="162" t="s">
        <v>896</v>
      </c>
      <c r="D240" s="165"/>
      <c r="E240" s="165"/>
      <c r="F240" s="166"/>
      <c r="G240" s="167"/>
      <c r="H240" s="163"/>
      <c r="I240" s="163"/>
      <c r="J240" s="163"/>
      <c r="K240" s="164">
        <f t="shared" si="9"/>
        <v>0</v>
      </c>
      <c r="L240" s="239" t="e">
        <f t="shared" si="10"/>
        <v>#DIV/0!</v>
      </c>
      <c r="N240" s="116"/>
      <c r="O240" s="116"/>
      <c r="P240" s="117"/>
      <c r="Q240" s="118"/>
      <c r="R240" s="116"/>
      <c r="S240" s="116"/>
      <c r="T240" s="117"/>
      <c r="U240" s="118"/>
      <c r="V240" s="116"/>
      <c r="W240" s="116"/>
      <c r="X240" s="117"/>
      <c r="Y240" s="118"/>
      <c r="Z240" s="116"/>
      <c r="AA240" s="116"/>
      <c r="AB240" s="117"/>
      <c r="AC240" s="118"/>
      <c r="AD240" s="116"/>
      <c r="AE240" s="116"/>
      <c r="AF240" s="117"/>
      <c r="AG240" s="118"/>
      <c r="AH240" s="122"/>
      <c r="AI240" s="122"/>
    </row>
    <row r="241" spans="1:35" s="121" customFormat="1" ht="72" hidden="1">
      <c r="A241" s="160" t="s">
        <v>535</v>
      </c>
      <c r="B241" s="161" t="s">
        <v>883</v>
      </c>
      <c r="C241" s="162" t="s">
        <v>897</v>
      </c>
      <c r="D241" s="165"/>
      <c r="E241" s="165"/>
      <c r="F241" s="166"/>
      <c r="G241" s="167"/>
      <c r="H241" s="163"/>
      <c r="I241" s="163"/>
      <c r="J241" s="163"/>
      <c r="K241" s="164">
        <f t="shared" si="9"/>
        <v>0</v>
      </c>
      <c r="L241" s="239" t="e">
        <f t="shared" si="10"/>
        <v>#DIV/0!</v>
      </c>
      <c r="N241" s="116"/>
      <c r="O241" s="116"/>
      <c r="P241" s="117"/>
      <c r="Q241" s="118"/>
      <c r="R241" s="116"/>
      <c r="S241" s="116"/>
      <c r="T241" s="117"/>
      <c r="U241" s="118"/>
      <c r="V241" s="116"/>
      <c r="W241" s="116"/>
      <c r="X241" s="117"/>
      <c r="Y241" s="118"/>
      <c r="Z241" s="116"/>
      <c r="AA241" s="116"/>
      <c r="AB241" s="117"/>
      <c r="AC241" s="118"/>
      <c r="AD241" s="116"/>
      <c r="AE241" s="116"/>
      <c r="AF241" s="117"/>
      <c r="AG241" s="118"/>
      <c r="AH241" s="122"/>
      <c r="AI241" s="122"/>
    </row>
    <row r="242" spans="1:35" s="121" customFormat="1" ht="96" hidden="1">
      <c r="A242" s="160" t="s">
        <v>535</v>
      </c>
      <c r="B242" s="161" t="s">
        <v>883</v>
      </c>
      <c r="C242" s="162" t="s">
        <v>898</v>
      </c>
      <c r="D242" s="165"/>
      <c r="E242" s="165"/>
      <c r="F242" s="166"/>
      <c r="G242" s="167"/>
      <c r="H242" s="163"/>
      <c r="I242" s="163"/>
      <c r="J242" s="163"/>
      <c r="K242" s="164">
        <f t="shared" si="9"/>
        <v>0</v>
      </c>
      <c r="L242" s="239" t="e">
        <f t="shared" si="10"/>
        <v>#DIV/0!</v>
      </c>
      <c r="N242" s="116"/>
      <c r="O242" s="116"/>
      <c r="P242" s="117"/>
      <c r="Q242" s="118"/>
      <c r="R242" s="116"/>
      <c r="S242" s="116"/>
      <c r="T242" s="117"/>
      <c r="U242" s="118"/>
      <c r="V242" s="116"/>
      <c r="W242" s="116"/>
      <c r="X242" s="117"/>
      <c r="Y242" s="118"/>
      <c r="Z242" s="116"/>
      <c r="AA242" s="116"/>
      <c r="AB242" s="117"/>
      <c r="AC242" s="118"/>
      <c r="AD242" s="116"/>
      <c r="AE242" s="116"/>
      <c r="AF242" s="117"/>
      <c r="AG242" s="118"/>
      <c r="AH242" s="122"/>
      <c r="AI242" s="122"/>
    </row>
    <row r="243" spans="1:35" s="121" customFormat="1" ht="24" hidden="1">
      <c r="A243" s="160" t="s">
        <v>535</v>
      </c>
      <c r="B243" s="161" t="s">
        <v>883</v>
      </c>
      <c r="C243" s="162" t="s">
        <v>899</v>
      </c>
      <c r="D243" s="165"/>
      <c r="E243" s="165"/>
      <c r="F243" s="166"/>
      <c r="G243" s="167"/>
      <c r="H243" s="163"/>
      <c r="I243" s="163"/>
      <c r="J243" s="163"/>
      <c r="K243" s="164">
        <f t="shared" si="9"/>
        <v>0</v>
      </c>
      <c r="L243" s="239" t="e">
        <f t="shared" si="10"/>
        <v>#DIV/0!</v>
      </c>
      <c r="N243" s="116"/>
      <c r="O243" s="116"/>
      <c r="P243" s="117"/>
      <c r="Q243" s="118"/>
      <c r="R243" s="116"/>
      <c r="S243" s="116"/>
      <c r="T243" s="117"/>
      <c r="U243" s="118"/>
      <c r="V243" s="116"/>
      <c r="W243" s="116"/>
      <c r="X243" s="117"/>
      <c r="Y243" s="118"/>
      <c r="Z243" s="116"/>
      <c r="AA243" s="116"/>
      <c r="AB243" s="117"/>
      <c r="AC243" s="118"/>
      <c r="AD243" s="116"/>
      <c r="AE243" s="116"/>
      <c r="AF243" s="117"/>
      <c r="AG243" s="118"/>
      <c r="AH243" s="122"/>
      <c r="AI243" s="122"/>
    </row>
    <row r="244" spans="1:35" s="121" customFormat="1" ht="96">
      <c r="A244" s="160" t="s">
        <v>535</v>
      </c>
      <c r="B244" s="161" t="s">
        <v>883</v>
      </c>
      <c r="C244" s="162" t="s">
        <v>900</v>
      </c>
      <c r="D244" s="165"/>
      <c r="E244" s="165"/>
      <c r="F244" s="166"/>
      <c r="G244" s="167"/>
      <c r="H244" s="163">
        <v>0</v>
      </c>
      <c r="I244" s="163"/>
      <c r="J244" s="163">
        <v>914.5</v>
      </c>
      <c r="K244" s="164">
        <f t="shared" si="9"/>
        <v>-914.5</v>
      </c>
      <c r="L244" s="239" t="e">
        <f t="shared" si="10"/>
        <v>#DIV/0!</v>
      </c>
      <c r="N244" s="116"/>
      <c r="O244" s="116"/>
      <c r="P244" s="117"/>
      <c r="Q244" s="118"/>
      <c r="R244" s="116"/>
      <c r="S244" s="116"/>
      <c r="T244" s="117"/>
      <c r="U244" s="118"/>
      <c r="V244" s="116"/>
      <c r="W244" s="116"/>
      <c r="X244" s="117"/>
      <c r="Y244" s="118"/>
      <c r="Z244" s="116"/>
      <c r="AA244" s="116"/>
      <c r="AB244" s="117"/>
      <c r="AC244" s="118"/>
      <c r="AD244" s="116"/>
      <c r="AE244" s="116"/>
      <c r="AF244" s="117"/>
      <c r="AG244" s="118"/>
      <c r="AH244" s="122"/>
      <c r="AI244" s="122"/>
    </row>
    <row r="245" spans="1:35" s="121" customFormat="1" ht="96">
      <c r="A245" s="160" t="s">
        <v>535</v>
      </c>
      <c r="B245" s="161" t="s">
        <v>883</v>
      </c>
      <c r="C245" s="162" t="s">
        <v>901</v>
      </c>
      <c r="D245" s="165"/>
      <c r="E245" s="165"/>
      <c r="F245" s="166"/>
      <c r="G245" s="167"/>
      <c r="H245" s="163">
        <v>0</v>
      </c>
      <c r="I245" s="163"/>
      <c r="J245" s="163">
        <v>3607.4</v>
      </c>
      <c r="K245" s="164">
        <f t="shared" si="9"/>
        <v>-3607.4</v>
      </c>
      <c r="L245" s="239" t="e">
        <f t="shared" si="10"/>
        <v>#DIV/0!</v>
      </c>
      <c r="N245" s="116"/>
      <c r="O245" s="116"/>
      <c r="P245" s="117"/>
      <c r="Q245" s="118"/>
      <c r="R245" s="116"/>
      <c r="S245" s="116"/>
      <c r="T245" s="117"/>
      <c r="U245" s="118"/>
      <c r="V245" s="116"/>
      <c r="W245" s="116"/>
      <c r="X245" s="117"/>
      <c r="Y245" s="118"/>
      <c r="Z245" s="116"/>
      <c r="AA245" s="116"/>
      <c r="AB245" s="117"/>
      <c r="AC245" s="118"/>
      <c r="AD245" s="116"/>
      <c r="AE245" s="116"/>
      <c r="AF245" s="117"/>
      <c r="AG245" s="118"/>
      <c r="AH245" s="122"/>
      <c r="AI245" s="122"/>
    </row>
    <row r="246" spans="1:35" s="121" customFormat="1" ht="48" hidden="1">
      <c r="A246" s="160" t="s">
        <v>535</v>
      </c>
      <c r="B246" s="161" t="s">
        <v>883</v>
      </c>
      <c r="C246" s="162" t="s">
        <v>902</v>
      </c>
      <c r="D246" s="165"/>
      <c r="E246" s="165"/>
      <c r="F246" s="166"/>
      <c r="G246" s="167"/>
      <c r="H246" s="163"/>
      <c r="I246" s="163"/>
      <c r="J246" s="163"/>
      <c r="K246" s="91">
        <f t="shared" si="9"/>
        <v>0</v>
      </c>
      <c r="L246" s="235" t="e">
        <f t="shared" si="10"/>
        <v>#DIV/0!</v>
      </c>
      <c r="N246" s="116"/>
      <c r="O246" s="116"/>
      <c r="P246" s="117"/>
      <c r="Q246" s="118"/>
      <c r="R246" s="116"/>
      <c r="S246" s="116"/>
      <c r="T246" s="117"/>
      <c r="U246" s="118"/>
      <c r="V246" s="116"/>
      <c r="W246" s="116"/>
      <c r="X246" s="117"/>
      <c r="Y246" s="118"/>
      <c r="Z246" s="116"/>
      <c r="AA246" s="116"/>
      <c r="AB246" s="117"/>
      <c r="AC246" s="118"/>
      <c r="AD246" s="116"/>
      <c r="AE246" s="116"/>
      <c r="AF246" s="117"/>
      <c r="AG246" s="118"/>
      <c r="AH246" s="122"/>
      <c r="AI246" s="122"/>
    </row>
    <row r="247" spans="1:35" s="121" customFormat="1" ht="24" hidden="1">
      <c r="A247" s="160" t="s">
        <v>535</v>
      </c>
      <c r="B247" s="161" t="s">
        <v>883</v>
      </c>
      <c r="C247" s="162" t="s">
        <v>903</v>
      </c>
      <c r="D247" s="165"/>
      <c r="E247" s="165"/>
      <c r="F247" s="166"/>
      <c r="G247" s="167"/>
      <c r="H247" s="163"/>
      <c r="I247" s="163"/>
      <c r="J247" s="163"/>
      <c r="K247" s="91">
        <f t="shared" si="9"/>
        <v>0</v>
      </c>
      <c r="L247" s="235" t="e">
        <f t="shared" si="10"/>
        <v>#DIV/0!</v>
      </c>
      <c r="N247" s="116"/>
      <c r="O247" s="116"/>
      <c r="P247" s="117"/>
      <c r="Q247" s="118"/>
      <c r="R247" s="116"/>
      <c r="S247" s="116"/>
      <c r="T247" s="117"/>
      <c r="U247" s="118"/>
      <c r="V247" s="116"/>
      <c r="W247" s="116"/>
      <c r="X247" s="117"/>
      <c r="Y247" s="118"/>
      <c r="Z247" s="116"/>
      <c r="AA247" s="116"/>
      <c r="AB247" s="117"/>
      <c r="AC247" s="118"/>
      <c r="AD247" s="116"/>
      <c r="AE247" s="116"/>
      <c r="AF247" s="117"/>
      <c r="AG247" s="118"/>
      <c r="AH247" s="122"/>
      <c r="AI247" s="122"/>
    </row>
    <row r="248" spans="1:35" s="121" customFormat="1" ht="96" hidden="1">
      <c r="A248" s="160" t="s">
        <v>535</v>
      </c>
      <c r="B248" s="161" t="s">
        <v>883</v>
      </c>
      <c r="C248" s="162" t="s">
        <v>904</v>
      </c>
      <c r="D248" s="165"/>
      <c r="E248" s="165"/>
      <c r="F248" s="166"/>
      <c r="G248" s="167"/>
      <c r="H248" s="163"/>
      <c r="I248" s="163"/>
      <c r="J248" s="163"/>
      <c r="K248" s="91">
        <f t="shared" si="9"/>
        <v>0</v>
      </c>
      <c r="L248" s="235" t="e">
        <f t="shared" si="10"/>
        <v>#DIV/0!</v>
      </c>
      <c r="N248" s="116"/>
      <c r="O248" s="116"/>
      <c r="P248" s="117"/>
      <c r="Q248" s="118"/>
      <c r="R248" s="116"/>
      <c r="S248" s="116"/>
      <c r="T248" s="117"/>
      <c r="U248" s="118"/>
      <c r="V248" s="116"/>
      <c r="W248" s="116"/>
      <c r="X248" s="117"/>
      <c r="Y248" s="118"/>
      <c r="Z248" s="116"/>
      <c r="AA248" s="116"/>
      <c r="AB248" s="117"/>
      <c r="AC248" s="118"/>
      <c r="AD248" s="116"/>
      <c r="AE248" s="116"/>
      <c r="AF248" s="117"/>
      <c r="AG248" s="118"/>
      <c r="AH248" s="122"/>
      <c r="AI248" s="122"/>
    </row>
    <row r="249" spans="1:35" s="121" customFormat="1" ht="72" hidden="1">
      <c r="A249" s="160" t="s">
        <v>535</v>
      </c>
      <c r="B249" s="161" t="s">
        <v>883</v>
      </c>
      <c r="C249" s="162" t="s">
        <v>897</v>
      </c>
      <c r="D249" s="165"/>
      <c r="E249" s="165"/>
      <c r="F249" s="166"/>
      <c r="G249" s="167"/>
      <c r="H249" s="163"/>
      <c r="I249" s="163"/>
      <c r="J249" s="163"/>
      <c r="K249" s="91">
        <f t="shared" si="9"/>
        <v>0</v>
      </c>
      <c r="L249" s="235" t="e">
        <f t="shared" si="10"/>
        <v>#DIV/0!</v>
      </c>
      <c r="N249" s="116"/>
      <c r="O249" s="116"/>
      <c r="P249" s="117"/>
      <c r="Q249" s="118"/>
      <c r="R249" s="116"/>
      <c r="S249" s="116"/>
      <c r="T249" s="117"/>
      <c r="U249" s="118"/>
      <c r="V249" s="116"/>
      <c r="W249" s="116"/>
      <c r="X249" s="117"/>
      <c r="Y249" s="118"/>
      <c r="Z249" s="116"/>
      <c r="AA249" s="116"/>
      <c r="AB249" s="117"/>
      <c r="AC249" s="118"/>
      <c r="AD249" s="116"/>
      <c r="AE249" s="116"/>
      <c r="AF249" s="117"/>
      <c r="AG249" s="118"/>
      <c r="AH249" s="122"/>
      <c r="AI249" s="122"/>
    </row>
    <row r="250" spans="1:35" s="121" customFormat="1" ht="24" hidden="1">
      <c r="A250" s="160" t="s">
        <v>535</v>
      </c>
      <c r="B250" s="161" t="s">
        <v>883</v>
      </c>
      <c r="C250" s="162" t="s">
        <v>905</v>
      </c>
      <c r="D250" s="165"/>
      <c r="E250" s="165"/>
      <c r="F250" s="166"/>
      <c r="G250" s="167"/>
      <c r="H250" s="163"/>
      <c r="I250" s="163"/>
      <c r="J250" s="163"/>
      <c r="K250" s="91">
        <f t="shared" si="9"/>
        <v>0</v>
      </c>
      <c r="L250" s="235" t="e">
        <f t="shared" si="10"/>
        <v>#DIV/0!</v>
      </c>
      <c r="N250" s="116"/>
      <c r="O250" s="116"/>
      <c r="P250" s="117"/>
      <c r="Q250" s="118"/>
      <c r="R250" s="116"/>
      <c r="S250" s="116"/>
      <c r="T250" s="117"/>
      <c r="U250" s="118"/>
      <c r="V250" s="116"/>
      <c r="W250" s="116"/>
      <c r="X250" s="117"/>
      <c r="Y250" s="118"/>
      <c r="Z250" s="116"/>
      <c r="AA250" s="116"/>
      <c r="AB250" s="117"/>
      <c r="AC250" s="118"/>
      <c r="AD250" s="116"/>
      <c r="AE250" s="116"/>
      <c r="AF250" s="117"/>
      <c r="AG250" s="118"/>
      <c r="AH250" s="122"/>
      <c r="AI250" s="122"/>
    </row>
    <row r="251" spans="1:35" s="121" customFormat="1" ht="60" hidden="1">
      <c r="A251" s="160" t="s">
        <v>535</v>
      </c>
      <c r="B251" s="161" t="s">
        <v>883</v>
      </c>
      <c r="C251" s="162" t="s">
        <v>906</v>
      </c>
      <c r="D251" s="165"/>
      <c r="E251" s="165"/>
      <c r="F251" s="166"/>
      <c r="G251" s="167"/>
      <c r="H251" s="163"/>
      <c r="I251" s="163"/>
      <c r="J251" s="163"/>
      <c r="K251" s="91">
        <f t="shared" si="9"/>
        <v>0</v>
      </c>
      <c r="L251" s="235" t="e">
        <f t="shared" si="10"/>
        <v>#DIV/0!</v>
      </c>
      <c r="N251" s="116"/>
      <c r="O251" s="116"/>
      <c r="P251" s="117"/>
      <c r="Q251" s="118"/>
      <c r="R251" s="116"/>
      <c r="S251" s="116"/>
      <c r="T251" s="117"/>
      <c r="U251" s="118"/>
      <c r="V251" s="116"/>
      <c r="W251" s="116"/>
      <c r="X251" s="117"/>
      <c r="Y251" s="118"/>
      <c r="Z251" s="116"/>
      <c r="AA251" s="116"/>
      <c r="AB251" s="117"/>
      <c r="AC251" s="118"/>
      <c r="AD251" s="116"/>
      <c r="AE251" s="116"/>
      <c r="AF251" s="117"/>
      <c r="AG251" s="118"/>
      <c r="AH251" s="122"/>
      <c r="AI251" s="122"/>
    </row>
    <row r="252" spans="1:35" s="121" customFormat="1" ht="12" hidden="1">
      <c r="A252" s="160" t="s">
        <v>535</v>
      </c>
      <c r="B252" s="161" t="s">
        <v>883</v>
      </c>
      <c r="C252" s="162"/>
      <c r="D252" s="165"/>
      <c r="E252" s="165"/>
      <c r="F252" s="166"/>
      <c r="G252" s="167"/>
      <c r="H252" s="163"/>
      <c r="I252" s="163"/>
      <c r="J252" s="163"/>
      <c r="K252" s="91">
        <f t="shared" si="9"/>
        <v>0</v>
      </c>
      <c r="L252" s="235" t="e">
        <f t="shared" si="10"/>
        <v>#DIV/0!</v>
      </c>
      <c r="N252" s="116"/>
      <c r="O252" s="116"/>
      <c r="P252" s="117"/>
      <c r="Q252" s="118"/>
      <c r="R252" s="116"/>
      <c r="S252" s="116"/>
      <c r="T252" s="117"/>
      <c r="U252" s="118"/>
      <c r="V252" s="116"/>
      <c r="W252" s="116"/>
      <c r="X252" s="117"/>
      <c r="Y252" s="118"/>
      <c r="Z252" s="116"/>
      <c r="AA252" s="116"/>
      <c r="AB252" s="117"/>
      <c r="AC252" s="118"/>
      <c r="AD252" s="116"/>
      <c r="AE252" s="116"/>
      <c r="AF252" s="117"/>
      <c r="AG252" s="118"/>
      <c r="AH252" s="122"/>
      <c r="AI252" s="122"/>
    </row>
    <row r="253" spans="1:35" s="101" customFormat="1" ht="24">
      <c r="A253" s="94" t="s">
        <v>535</v>
      </c>
      <c r="B253" s="135" t="s">
        <v>907</v>
      </c>
      <c r="C253" s="96" t="s">
        <v>908</v>
      </c>
      <c r="D253" s="97">
        <f>SUM(H253,N253)</f>
        <v>2662</v>
      </c>
      <c r="E253" s="97">
        <f>SUM(J253,O253)</f>
        <v>2500</v>
      </c>
      <c r="F253" s="98">
        <f>E253/D253</f>
        <v>0.9391435011269722</v>
      </c>
      <c r="G253" s="99">
        <f>E253-D253</f>
        <v>-162</v>
      </c>
      <c r="H253" s="100">
        <f>SUM(H254:H256)</f>
        <v>0</v>
      </c>
      <c r="I253" s="100">
        <f>SUM(I254:I256)</f>
        <v>99.9</v>
      </c>
      <c r="J253" s="100">
        <f>SUM(J254:J256)</f>
        <v>2500</v>
      </c>
      <c r="K253" s="91">
        <f t="shared" si="9"/>
        <v>-2500</v>
      </c>
      <c r="L253" s="235" t="e">
        <f t="shared" si="10"/>
        <v>#DIV/0!</v>
      </c>
      <c r="N253" s="97">
        <f>SUM(R253,V253,Z253,AD253)</f>
        <v>2662</v>
      </c>
      <c r="O253" s="97">
        <f>SUM(S253,W253,AA253,AE253)</f>
        <v>0</v>
      </c>
      <c r="P253" s="98">
        <f>O253/N253</f>
        <v>0</v>
      </c>
      <c r="Q253" s="99">
        <f>O253-N253</f>
        <v>-2662</v>
      </c>
      <c r="R253" s="97"/>
      <c r="S253" s="97"/>
      <c r="T253" s="98" t="e">
        <f>S253/R253</f>
        <v>#DIV/0!</v>
      </c>
      <c r="U253" s="99">
        <f>S253-R253</f>
        <v>0</v>
      </c>
      <c r="V253" s="97"/>
      <c r="W253" s="97"/>
      <c r="X253" s="98" t="e">
        <f>W253/V253</f>
        <v>#DIV/0!</v>
      </c>
      <c r="Y253" s="99">
        <f>W253-V253</f>
        <v>0</v>
      </c>
      <c r="Z253" s="97">
        <v>2662</v>
      </c>
      <c r="AA253" s="97"/>
      <c r="AB253" s="98">
        <f>AA253/Z253</f>
        <v>0</v>
      </c>
      <c r="AC253" s="99">
        <f>AA253-Z253</f>
        <v>-2662</v>
      </c>
      <c r="AD253" s="97"/>
      <c r="AE253" s="97"/>
      <c r="AF253" s="98" t="e">
        <f>AE253/AD253</f>
        <v>#DIV/0!</v>
      </c>
      <c r="AG253" s="99">
        <f>AE253-AD253</f>
        <v>0</v>
      </c>
      <c r="AH253" s="102"/>
      <c r="AI253" s="102"/>
    </row>
    <row r="254" spans="1:35" s="182" customFormat="1" ht="72">
      <c r="A254" s="147" t="s">
        <v>535</v>
      </c>
      <c r="B254" s="149" t="s">
        <v>909</v>
      </c>
      <c r="C254" s="178" t="s">
        <v>910</v>
      </c>
      <c r="D254" s="179"/>
      <c r="E254" s="179"/>
      <c r="F254" s="180"/>
      <c r="G254" s="181"/>
      <c r="H254" s="119">
        <v>0</v>
      </c>
      <c r="I254" s="119">
        <v>99.9</v>
      </c>
      <c r="J254" s="119">
        <v>2500</v>
      </c>
      <c r="K254" s="120">
        <f t="shared" si="9"/>
        <v>-2500</v>
      </c>
      <c r="L254" s="236" t="e">
        <f t="shared" si="10"/>
        <v>#DIV/0!</v>
      </c>
      <c r="N254" s="179"/>
      <c r="O254" s="179"/>
      <c r="P254" s="180"/>
      <c r="Q254" s="181"/>
      <c r="R254" s="179"/>
      <c r="S254" s="179"/>
      <c r="T254" s="180"/>
      <c r="U254" s="181"/>
      <c r="V254" s="179"/>
      <c r="W254" s="179"/>
      <c r="X254" s="180"/>
      <c r="Y254" s="181"/>
      <c r="Z254" s="179"/>
      <c r="AA254" s="179"/>
      <c r="AB254" s="180"/>
      <c r="AC254" s="181"/>
      <c r="AD254" s="179"/>
      <c r="AE254" s="179"/>
      <c r="AF254" s="180"/>
      <c r="AG254" s="181"/>
      <c r="AH254" s="179"/>
      <c r="AI254" s="179"/>
    </row>
    <row r="255" spans="1:35" s="182" customFormat="1" ht="48" hidden="1">
      <c r="A255" s="147" t="s">
        <v>535</v>
      </c>
      <c r="B255" s="149" t="s">
        <v>911</v>
      </c>
      <c r="C255" s="178" t="s">
        <v>912</v>
      </c>
      <c r="D255" s="179"/>
      <c r="E255" s="179"/>
      <c r="F255" s="180"/>
      <c r="G255" s="181"/>
      <c r="H255" s="119"/>
      <c r="I255" s="119"/>
      <c r="J255" s="119"/>
      <c r="K255" s="91">
        <f t="shared" si="9"/>
        <v>0</v>
      </c>
      <c r="L255" s="235" t="e">
        <f t="shared" si="10"/>
        <v>#DIV/0!</v>
      </c>
      <c r="N255" s="179"/>
      <c r="O255" s="179"/>
      <c r="P255" s="180"/>
      <c r="Q255" s="181"/>
      <c r="R255" s="179"/>
      <c r="S255" s="179"/>
      <c r="T255" s="180"/>
      <c r="U255" s="181"/>
      <c r="V255" s="179"/>
      <c r="W255" s="179"/>
      <c r="X255" s="180"/>
      <c r="Y255" s="181"/>
      <c r="Z255" s="179"/>
      <c r="AA255" s="179"/>
      <c r="AB255" s="180"/>
      <c r="AC255" s="181"/>
      <c r="AD255" s="179"/>
      <c r="AE255" s="179"/>
      <c r="AF255" s="180"/>
      <c r="AG255" s="181"/>
      <c r="AH255" s="179"/>
      <c r="AI255" s="179"/>
    </row>
    <row r="256" spans="1:35" s="182" customFormat="1" ht="48" hidden="1">
      <c r="A256" s="147" t="s">
        <v>535</v>
      </c>
      <c r="B256" s="149" t="s">
        <v>911</v>
      </c>
      <c r="C256" s="178" t="s">
        <v>913</v>
      </c>
      <c r="D256" s="179"/>
      <c r="E256" s="179"/>
      <c r="F256" s="180"/>
      <c r="G256" s="181"/>
      <c r="H256" s="119"/>
      <c r="I256" s="119"/>
      <c r="J256" s="119"/>
      <c r="K256" s="91">
        <f t="shared" si="9"/>
        <v>0</v>
      </c>
      <c r="L256" s="235" t="e">
        <f t="shared" si="10"/>
        <v>#DIV/0!</v>
      </c>
      <c r="N256" s="179"/>
      <c r="O256" s="179"/>
      <c r="P256" s="180"/>
      <c r="Q256" s="181"/>
      <c r="R256" s="179"/>
      <c r="S256" s="179"/>
      <c r="T256" s="180"/>
      <c r="U256" s="181"/>
      <c r="V256" s="179"/>
      <c r="W256" s="179"/>
      <c r="X256" s="180"/>
      <c r="Y256" s="181"/>
      <c r="Z256" s="179"/>
      <c r="AA256" s="179"/>
      <c r="AB256" s="180"/>
      <c r="AC256" s="181"/>
      <c r="AD256" s="179"/>
      <c r="AE256" s="179"/>
      <c r="AF256" s="180"/>
      <c r="AG256" s="181"/>
      <c r="AH256" s="179"/>
      <c r="AI256" s="179"/>
    </row>
    <row r="257" spans="1:35" s="156" customFormat="1" ht="96.75" customHeight="1">
      <c r="A257" s="158" t="s">
        <v>535</v>
      </c>
      <c r="B257" s="95" t="s">
        <v>914</v>
      </c>
      <c r="C257" s="152" t="s">
        <v>915</v>
      </c>
      <c r="D257" s="153"/>
      <c r="E257" s="153"/>
      <c r="F257" s="154"/>
      <c r="G257" s="155"/>
      <c r="H257" s="100">
        <f>SUM(H258:I262)</f>
        <v>0</v>
      </c>
      <c r="I257" s="100">
        <f>SUM(I258:I262)</f>
        <v>0</v>
      </c>
      <c r="J257" s="100">
        <f>SUM(J258:J262)</f>
        <v>5950.3</v>
      </c>
      <c r="K257" s="91">
        <f t="shared" si="9"/>
        <v>-5950.3</v>
      </c>
      <c r="L257" s="235" t="e">
        <f t="shared" si="10"/>
        <v>#DIV/0!</v>
      </c>
      <c r="N257" s="153"/>
      <c r="O257" s="153"/>
      <c r="P257" s="154"/>
      <c r="Q257" s="155"/>
      <c r="R257" s="153"/>
      <c r="S257" s="153"/>
      <c r="T257" s="154"/>
      <c r="U257" s="155"/>
      <c r="V257" s="153"/>
      <c r="W257" s="153"/>
      <c r="X257" s="154"/>
      <c r="Y257" s="155"/>
      <c r="Z257" s="153"/>
      <c r="AA257" s="153"/>
      <c r="AB257" s="154"/>
      <c r="AC257" s="155"/>
      <c r="AD257" s="153"/>
      <c r="AE257" s="153"/>
      <c r="AF257" s="154"/>
      <c r="AG257" s="155"/>
      <c r="AH257" s="157"/>
      <c r="AI257" s="157"/>
    </row>
    <row r="258" spans="1:35" s="121" customFormat="1" ht="83.25" customHeight="1">
      <c r="A258" s="123" t="s">
        <v>535</v>
      </c>
      <c r="B258" s="114" t="s">
        <v>916</v>
      </c>
      <c r="C258" s="115" t="s">
        <v>917</v>
      </c>
      <c r="D258" s="116"/>
      <c r="E258" s="116"/>
      <c r="F258" s="117"/>
      <c r="G258" s="118"/>
      <c r="H258" s="119">
        <v>0</v>
      </c>
      <c r="I258" s="119">
        <v>0</v>
      </c>
      <c r="J258" s="119">
        <v>2233.9</v>
      </c>
      <c r="K258" s="120">
        <f t="shared" si="9"/>
        <v>-2233.9</v>
      </c>
      <c r="L258" s="236" t="e">
        <f t="shared" si="10"/>
        <v>#DIV/0!</v>
      </c>
      <c r="N258" s="116"/>
      <c r="O258" s="116"/>
      <c r="P258" s="117"/>
      <c r="Q258" s="118"/>
      <c r="R258" s="116"/>
      <c r="S258" s="116"/>
      <c r="T258" s="117"/>
      <c r="U258" s="118"/>
      <c r="V258" s="116"/>
      <c r="W258" s="116"/>
      <c r="X258" s="117"/>
      <c r="Y258" s="118"/>
      <c r="Z258" s="116"/>
      <c r="AA258" s="116"/>
      <c r="AB258" s="117"/>
      <c r="AC258" s="118"/>
      <c r="AD258" s="116"/>
      <c r="AE258" s="116"/>
      <c r="AF258" s="117"/>
      <c r="AG258" s="118"/>
      <c r="AH258" s="122"/>
      <c r="AI258" s="122"/>
    </row>
    <row r="259" spans="1:35" s="121" customFormat="1" ht="50.25" customHeight="1">
      <c r="A259" s="123" t="s">
        <v>535</v>
      </c>
      <c r="B259" s="114" t="s">
        <v>918</v>
      </c>
      <c r="C259" s="115" t="s">
        <v>919</v>
      </c>
      <c r="D259" s="116"/>
      <c r="E259" s="116"/>
      <c r="F259" s="117"/>
      <c r="G259" s="118"/>
      <c r="H259" s="119">
        <v>0</v>
      </c>
      <c r="I259" s="119">
        <v>0</v>
      </c>
      <c r="J259" s="119">
        <v>1753.8</v>
      </c>
      <c r="K259" s="120">
        <f t="shared" si="9"/>
        <v>-1753.8</v>
      </c>
      <c r="L259" s="236" t="e">
        <f t="shared" si="10"/>
        <v>#DIV/0!</v>
      </c>
      <c r="N259" s="116"/>
      <c r="O259" s="116"/>
      <c r="P259" s="117"/>
      <c r="Q259" s="118"/>
      <c r="R259" s="116"/>
      <c r="S259" s="116"/>
      <c r="T259" s="117"/>
      <c r="U259" s="118"/>
      <c r="V259" s="116"/>
      <c r="W259" s="116"/>
      <c r="X259" s="117"/>
      <c r="Y259" s="118"/>
      <c r="Z259" s="116"/>
      <c r="AA259" s="116"/>
      <c r="AB259" s="117"/>
      <c r="AC259" s="118"/>
      <c r="AD259" s="116"/>
      <c r="AE259" s="116"/>
      <c r="AF259" s="117"/>
      <c r="AG259" s="118"/>
      <c r="AH259" s="122"/>
      <c r="AI259" s="122"/>
    </row>
    <row r="260" spans="1:35" s="121" customFormat="1" ht="51" customHeight="1">
      <c r="A260" s="123" t="s">
        <v>535</v>
      </c>
      <c r="B260" s="114" t="s">
        <v>920</v>
      </c>
      <c r="C260" s="115" t="s">
        <v>921</v>
      </c>
      <c r="D260" s="116"/>
      <c r="E260" s="116"/>
      <c r="F260" s="117"/>
      <c r="G260" s="118"/>
      <c r="H260" s="119">
        <v>0</v>
      </c>
      <c r="I260" s="119">
        <v>0</v>
      </c>
      <c r="J260" s="119">
        <v>1935.4</v>
      </c>
      <c r="K260" s="120">
        <f t="shared" si="9"/>
        <v>-1935.4</v>
      </c>
      <c r="L260" s="236" t="e">
        <f t="shared" si="10"/>
        <v>#DIV/0!</v>
      </c>
      <c r="N260" s="116"/>
      <c r="O260" s="116"/>
      <c r="P260" s="117"/>
      <c r="Q260" s="118"/>
      <c r="R260" s="116"/>
      <c r="S260" s="116"/>
      <c r="T260" s="117"/>
      <c r="U260" s="118"/>
      <c r="V260" s="116"/>
      <c r="W260" s="116"/>
      <c r="X260" s="117"/>
      <c r="Y260" s="118"/>
      <c r="Z260" s="116"/>
      <c r="AA260" s="116"/>
      <c r="AB260" s="117"/>
      <c r="AC260" s="118"/>
      <c r="AD260" s="116"/>
      <c r="AE260" s="116"/>
      <c r="AF260" s="117"/>
      <c r="AG260" s="118"/>
      <c r="AH260" s="122"/>
      <c r="AI260" s="122"/>
    </row>
    <row r="261" spans="1:35" s="121" customFormat="1" ht="48">
      <c r="A261" s="123" t="s">
        <v>535</v>
      </c>
      <c r="B261" s="114" t="s">
        <v>922</v>
      </c>
      <c r="C261" s="115" t="s">
        <v>923</v>
      </c>
      <c r="D261" s="116"/>
      <c r="E261" s="116"/>
      <c r="F261" s="117"/>
      <c r="G261" s="118"/>
      <c r="H261" s="119">
        <v>0</v>
      </c>
      <c r="I261" s="119">
        <v>0</v>
      </c>
      <c r="J261" s="119">
        <v>27.2</v>
      </c>
      <c r="K261" s="120">
        <f t="shared" si="9"/>
        <v>-27.2</v>
      </c>
      <c r="L261" s="236" t="e">
        <f t="shared" si="10"/>
        <v>#DIV/0!</v>
      </c>
      <c r="N261" s="116"/>
      <c r="O261" s="116"/>
      <c r="P261" s="117"/>
      <c r="Q261" s="118"/>
      <c r="R261" s="116"/>
      <c r="S261" s="116"/>
      <c r="T261" s="117"/>
      <c r="U261" s="118"/>
      <c r="V261" s="116"/>
      <c r="W261" s="116"/>
      <c r="X261" s="117"/>
      <c r="Y261" s="118"/>
      <c r="Z261" s="116"/>
      <c r="AA261" s="116"/>
      <c r="AB261" s="117"/>
      <c r="AC261" s="118"/>
      <c r="AD261" s="116"/>
      <c r="AE261" s="116"/>
      <c r="AF261" s="117"/>
      <c r="AG261" s="118"/>
      <c r="AH261" s="122"/>
      <c r="AI261" s="122"/>
    </row>
    <row r="262" spans="1:35" s="121" customFormat="1" ht="84" hidden="1">
      <c r="A262" s="123" t="s">
        <v>924</v>
      </c>
      <c r="B262" s="114" t="s">
        <v>925</v>
      </c>
      <c r="C262" s="115" t="s">
        <v>926</v>
      </c>
      <c r="D262" s="116"/>
      <c r="E262" s="116"/>
      <c r="F262" s="117"/>
      <c r="G262" s="118"/>
      <c r="H262" s="119">
        <v>0</v>
      </c>
      <c r="I262" s="119">
        <v>0</v>
      </c>
      <c r="J262" s="119">
        <v>0</v>
      </c>
      <c r="K262" s="91">
        <f t="shared" si="9"/>
        <v>0</v>
      </c>
      <c r="L262" s="235" t="e">
        <f t="shared" si="10"/>
        <v>#DIV/0!</v>
      </c>
      <c r="N262" s="116"/>
      <c r="O262" s="116"/>
      <c r="P262" s="117"/>
      <c r="Q262" s="118"/>
      <c r="R262" s="116"/>
      <c r="S262" s="116"/>
      <c r="T262" s="117"/>
      <c r="U262" s="118"/>
      <c r="V262" s="116"/>
      <c r="W262" s="116"/>
      <c r="X262" s="117"/>
      <c r="Y262" s="118"/>
      <c r="Z262" s="116"/>
      <c r="AA262" s="116"/>
      <c r="AB262" s="117"/>
      <c r="AC262" s="118"/>
      <c r="AD262" s="116"/>
      <c r="AE262" s="116"/>
      <c r="AF262" s="117"/>
      <c r="AG262" s="118"/>
      <c r="AH262" s="122"/>
      <c r="AI262" s="122"/>
    </row>
    <row r="263" spans="1:35" s="121" customFormat="1" ht="72">
      <c r="A263" s="158" t="s">
        <v>535</v>
      </c>
      <c r="B263" s="124" t="s">
        <v>927</v>
      </c>
      <c r="C263" s="96" t="s">
        <v>928</v>
      </c>
      <c r="D263" s="116"/>
      <c r="E263" s="116"/>
      <c r="F263" s="117"/>
      <c r="G263" s="118"/>
      <c r="H263" s="100">
        <v>0</v>
      </c>
      <c r="I263" s="100">
        <v>0</v>
      </c>
      <c r="J263" s="100">
        <v>-16875.3</v>
      </c>
      <c r="K263" s="91">
        <f t="shared" si="9"/>
        <v>16875.3</v>
      </c>
      <c r="L263" s="235" t="e">
        <f t="shared" si="10"/>
        <v>#DIV/0!</v>
      </c>
      <c r="N263" s="116"/>
      <c r="O263" s="116"/>
      <c r="P263" s="117"/>
      <c r="Q263" s="118"/>
      <c r="R263" s="116"/>
      <c r="S263" s="116"/>
      <c r="T263" s="117"/>
      <c r="U263" s="118"/>
      <c r="V263" s="116"/>
      <c r="W263" s="116"/>
      <c r="X263" s="117"/>
      <c r="Y263" s="118"/>
      <c r="Z263" s="116"/>
      <c r="AA263" s="116"/>
      <c r="AB263" s="117"/>
      <c r="AC263" s="118"/>
      <c r="AD263" s="116"/>
      <c r="AE263" s="116"/>
      <c r="AF263" s="117"/>
      <c r="AG263" s="118"/>
      <c r="AH263" s="122"/>
      <c r="AI263" s="122"/>
    </row>
    <row r="264" spans="1:38" s="92" customFormat="1" ht="15" customHeight="1">
      <c r="A264" s="266" t="s">
        <v>929</v>
      </c>
      <c r="B264" s="267"/>
      <c r="C264" s="268"/>
      <c r="D264" s="88">
        <v>1086067.2</v>
      </c>
      <c r="E264" s="88">
        <v>203388.9</v>
      </c>
      <c r="F264" s="89">
        <f>E264/D264</f>
        <v>0.18727100864476895</v>
      </c>
      <c r="G264" s="90">
        <f>E264-D264</f>
        <v>-882678.2999999999</v>
      </c>
      <c r="H264" s="91">
        <f>H106+H11</f>
        <v>1137775.0000000002</v>
      </c>
      <c r="I264" s="91">
        <f>I106+I11</f>
        <v>1138644.5</v>
      </c>
      <c r="J264" s="91">
        <f>J106+J11</f>
        <v>604584.8000000002</v>
      </c>
      <c r="K264" s="91">
        <f t="shared" si="9"/>
        <v>533190.2000000001</v>
      </c>
      <c r="L264" s="235">
        <f t="shared" si="10"/>
        <v>0.5313746566764079</v>
      </c>
      <c r="N264" s="88">
        <v>246001.9</v>
      </c>
      <c r="O264" s="88">
        <v>46788.1</v>
      </c>
      <c r="P264" s="89">
        <f>O264/N264</f>
        <v>0.1901940594767764</v>
      </c>
      <c r="Q264" s="90">
        <f>O264-N264</f>
        <v>-199213.8</v>
      </c>
      <c r="R264" s="88">
        <v>163030.1</v>
      </c>
      <c r="S264" s="88">
        <v>36787.3</v>
      </c>
      <c r="T264" s="89">
        <f>S264/R264</f>
        <v>0.22564728844550794</v>
      </c>
      <c r="U264" s="90">
        <f>S264-R264</f>
        <v>-126242.8</v>
      </c>
      <c r="V264" s="88">
        <v>36349</v>
      </c>
      <c r="W264" s="88">
        <v>4226.2</v>
      </c>
      <c r="X264" s="89">
        <f>W264/V264</f>
        <v>0.11626729758727887</v>
      </c>
      <c r="Y264" s="90">
        <f>W264-V264</f>
        <v>-32122.8</v>
      </c>
      <c r="Z264" s="88">
        <v>28999.4</v>
      </c>
      <c r="AA264" s="88">
        <v>4246.6</v>
      </c>
      <c r="AB264" s="89">
        <f>AA264/Z264</f>
        <v>0.14643751250025863</v>
      </c>
      <c r="AC264" s="90">
        <f>AA264-Z264</f>
        <v>-24752.800000000003</v>
      </c>
      <c r="AD264" s="88">
        <v>17623.3</v>
      </c>
      <c r="AE264" s="88">
        <v>1528.3</v>
      </c>
      <c r="AF264" s="89">
        <f>AE264/AD264</f>
        <v>0.08672042126049037</v>
      </c>
      <c r="AG264" s="90">
        <f>AE264-AD264</f>
        <v>-16095</v>
      </c>
      <c r="AH264" s="93">
        <f>SUM(R264,V264,Z264,AD264)</f>
        <v>246001.8</v>
      </c>
      <c r="AI264" s="93">
        <f>SUM(S264,W264,AA264,AE264)</f>
        <v>46788.4</v>
      </c>
      <c r="AK264" s="183"/>
      <c r="AL264" s="183"/>
    </row>
    <row r="265" spans="1:35" s="83" customFormat="1" ht="12" hidden="1">
      <c r="A265" s="85"/>
      <c r="B265" s="82"/>
      <c r="C265" s="184"/>
      <c r="D265" s="82"/>
      <c r="E265" s="82"/>
      <c r="F265" s="82"/>
      <c r="G265" s="82"/>
      <c r="H265" s="91"/>
      <c r="I265" s="91"/>
      <c r="J265" s="91"/>
      <c r="K265" s="91">
        <f t="shared" si="9"/>
        <v>0</v>
      </c>
      <c r="L265" s="91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4"/>
      <c r="AI265" s="84"/>
    </row>
    <row r="266" spans="1:35" s="186" customFormat="1" ht="12" hidden="1">
      <c r="A266" s="85" t="s">
        <v>535</v>
      </c>
      <c r="B266" s="151" t="s">
        <v>38</v>
      </c>
      <c r="C266" s="185" t="s">
        <v>930</v>
      </c>
      <c r="D266" s="88">
        <f aca="true" t="shared" si="11" ref="D266:D315">SUM(H266,N266)</f>
        <v>54915.600000000006</v>
      </c>
      <c r="E266" s="88">
        <f aca="true" t="shared" si="12" ref="E266:E315">SUM(J266,O266)</f>
        <v>51072.99999999999</v>
      </c>
      <c r="F266" s="154">
        <f aca="true" t="shared" si="13" ref="F266:F316">E266/D266</f>
        <v>0.9300271689647384</v>
      </c>
      <c r="G266" s="153">
        <f aca="true" t="shared" si="14" ref="G266:G316">E266-D266</f>
        <v>-3842.600000000013</v>
      </c>
      <c r="H266" s="91"/>
      <c r="I266" s="91"/>
      <c r="J266" s="91"/>
      <c r="K266" s="91">
        <f t="shared" si="9"/>
        <v>0</v>
      </c>
      <c r="L266" s="91"/>
      <c r="N266" s="88">
        <f aca="true" t="shared" si="15" ref="N266:O269">SUM(R266,V266,Z266,AD266)</f>
        <v>54915.600000000006</v>
      </c>
      <c r="O266" s="88">
        <f t="shared" si="15"/>
        <v>51072.99999999999</v>
      </c>
      <c r="P266" s="154">
        <f aca="true" t="shared" si="16" ref="P266:P316">O266/N266</f>
        <v>0.9300271689647384</v>
      </c>
      <c r="Q266" s="153">
        <f aca="true" t="shared" si="17" ref="Q266:Q316">O266-N266</f>
        <v>-3842.600000000013</v>
      </c>
      <c r="R266" s="153">
        <f>SUM(R267:R275)</f>
        <v>36211.4</v>
      </c>
      <c r="S266" s="153">
        <f>SUM(S267:S275)</f>
        <v>33198</v>
      </c>
      <c r="T266" s="154">
        <f aca="true" t="shared" si="18" ref="T266:T316">S266/R266</f>
        <v>0.9167831125004833</v>
      </c>
      <c r="U266" s="153">
        <f aca="true" t="shared" si="19" ref="U266:U316">S266-R266</f>
        <v>-3013.4000000000015</v>
      </c>
      <c r="V266" s="153">
        <f>SUM(V267:V275)</f>
        <v>8645.9</v>
      </c>
      <c r="W266" s="153">
        <f>SUM(W267:W275)</f>
        <v>7889.699999999999</v>
      </c>
      <c r="X266" s="154">
        <f aca="true" t="shared" si="20" ref="X266:X316">W266/V266</f>
        <v>0.9125365780312055</v>
      </c>
      <c r="Y266" s="155">
        <f aca="true" t="shared" si="21" ref="Y266:Y316">W266-V266</f>
        <v>-756.2000000000007</v>
      </c>
      <c r="Z266" s="185">
        <f>SUM(Z267:Z275)</f>
        <v>6734.5</v>
      </c>
      <c r="AA266" s="185">
        <f>SUM(AA267:AA275)</f>
        <v>6699.7</v>
      </c>
      <c r="AB266" s="154">
        <f aca="true" t="shared" si="22" ref="AB266:AB316">AA266/Z266</f>
        <v>0.9948325785136238</v>
      </c>
      <c r="AC266" s="155">
        <f aca="true" t="shared" si="23" ref="AC266:AC316">AA266-Z266</f>
        <v>-34.80000000000018</v>
      </c>
      <c r="AD266" s="185">
        <f>SUM(AD267:AD275)</f>
        <v>3323.8</v>
      </c>
      <c r="AE266" s="185">
        <f>SUM(AE267:AE275)</f>
        <v>3285.6</v>
      </c>
      <c r="AF266" s="154">
        <f aca="true" t="shared" si="24" ref="AF266:AF281">AE266/AD266</f>
        <v>0.9885071303929237</v>
      </c>
      <c r="AG266" s="155">
        <f aca="true" t="shared" si="25" ref="AG266:AG281">AE266-AD266</f>
        <v>-38.20000000000027</v>
      </c>
      <c r="AH266" s="187">
        <f>SUM(R266,V266,Z266,AD266)</f>
        <v>54915.600000000006</v>
      </c>
      <c r="AI266" s="187">
        <f>SUM(S266,W266,AA266,AE266)</f>
        <v>51072.99999999999</v>
      </c>
    </row>
    <row r="267" spans="1:35" s="121" customFormat="1" ht="36" hidden="1">
      <c r="A267" s="85" t="s">
        <v>535</v>
      </c>
      <c r="B267" s="137" t="s">
        <v>40</v>
      </c>
      <c r="C267" s="115" t="s">
        <v>931</v>
      </c>
      <c r="D267" s="188">
        <f t="shared" si="11"/>
        <v>2222.7</v>
      </c>
      <c r="E267" s="188">
        <f t="shared" si="12"/>
        <v>2092.3</v>
      </c>
      <c r="F267" s="117">
        <f t="shared" si="13"/>
        <v>0.9413326134881003</v>
      </c>
      <c r="G267" s="116">
        <f t="shared" si="14"/>
        <v>-130.39999999999964</v>
      </c>
      <c r="H267" s="91"/>
      <c r="I267" s="91"/>
      <c r="J267" s="91"/>
      <c r="K267" s="91">
        <f t="shared" si="9"/>
        <v>0</v>
      </c>
      <c r="L267" s="91"/>
      <c r="N267" s="188">
        <f t="shared" si="15"/>
        <v>2222.7</v>
      </c>
      <c r="O267" s="188">
        <f t="shared" si="15"/>
        <v>2092.3</v>
      </c>
      <c r="P267" s="189">
        <f t="shared" si="16"/>
        <v>0.9413326134881003</v>
      </c>
      <c r="Q267" s="190">
        <f t="shared" si="17"/>
        <v>-130.39999999999964</v>
      </c>
      <c r="R267" s="188">
        <v>881</v>
      </c>
      <c r="S267" s="188">
        <v>806.1</v>
      </c>
      <c r="T267" s="189">
        <f t="shared" si="18"/>
        <v>0.9149829738933031</v>
      </c>
      <c r="U267" s="190">
        <f t="shared" si="19"/>
        <v>-74.89999999999998</v>
      </c>
      <c r="V267" s="116">
        <v>528.6</v>
      </c>
      <c r="W267" s="191">
        <v>480.8</v>
      </c>
      <c r="X267" s="117">
        <f t="shared" si="20"/>
        <v>0.9095724555429436</v>
      </c>
      <c r="Y267" s="118">
        <f t="shared" si="21"/>
        <v>-47.80000000000001</v>
      </c>
      <c r="Z267" s="116">
        <v>435.1</v>
      </c>
      <c r="AA267" s="116">
        <v>434</v>
      </c>
      <c r="AB267" s="189">
        <f t="shared" si="22"/>
        <v>0.9974718455527465</v>
      </c>
      <c r="AC267" s="190">
        <f t="shared" si="23"/>
        <v>-1.1000000000000227</v>
      </c>
      <c r="AD267" s="116">
        <v>378</v>
      </c>
      <c r="AE267" s="116">
        <v>371.4</v>
      </c>
      <c r="AF267" s="117">
        <f t="shared" si="24"/>
        <v>0.9825396825396825</v>
      </c>
      <c r="AG267" s="118">
        <f t="shared" si="25"/>
        <v>-6.600000000000023</v>
      </c>
      <c r="AH267" s="122"/>
      <c r="AI267" s="122"/>
    </row>
    <row r="268" spans="1:35" s="121" customFormat="1" ht="72" hidden="1">
      <c r="A268" s="85" t="s">
        <v>535</v>
      </c>
      <c r="B268" s="137" t="s">
        <v>46</v>
      </c>
      <c r="C268" s="115" t="s">
        <v>183</v>
      </c>
      <c r="D268" s="188">
        <f t="shared" si="11"/>
        <v>4414.4</v>
      </c>
      <c r="E268" s="188">
        <f t="shared" si="12"/>
        <v>4362.4</v>
      </c>
      <c r="F268" s="117">
        <f t="shared" si="13"/>
        <v>0.9882203696991664</v>
      </c>
      <c r="G268" s="116">
        <f t="shared" si="14"/>
        <v>-52</v>
      </c>
      <c r="H268" s="91"/>
      <c r="I268" s="91"/>
      <c r="J268" s="91"/>
      <c r="K268" s="91">
        <f t="shared" si="9"/>
        <v>0</v>
      </c>
      <c r="L268" s="91"/>
      <c r="N268" s="188">
        <f t="shared" si="15"/>
        <v>4414.4</v>
      </c>
      <c r="O268" s="188">
        <f t="shared" si="15"/>
        <v>4362.4</v>
      </c>
      <c r="P268" s="189">
        <f t="shared" si="16"/>
        <v>0.9882203696991664</v>
      </c>
      <c r="Q268" s="190">
        <f t="shared" si="17"/>
        <v>-52</v>
      </c>
      <c r="R268" s="188">
        <v>3167.6</v>
      </c>
      <c r="S268" s="188">
        <v>3163.7</v>
      </c>
      <c r="T268" s="189">
        <f t="shared" si="18"/>
        <v>0.9987687839373658</v>
      </c>
      <c r="U268" s="190">
        <f t="shared" si="19"/>
        <v>-3.900000000000091</v>
      </c>
      <c r="V268" s="116">
        <v>547.4</v>
      </c>
      <c r="W268" s="116">
        <v>512.9</v>
      </c>
      <c r="X268" s="117">
        <f t="shared" si="20"/>
        <v>0.9369747899159664</v>
      </c>
      <c r="Y268" s="118">
        <f t="shared" si="21"/>
        <v>-34.5</v>
      </c>
      <c r="Z268" s="116">
        <v>463.5</v>
      </c>
      <c r="AA268" s="191">
        <v>454.4</v>
      </c>
      <c r="AB268" s="189">
        <f t="shared" si="22"/>
        <v>0.9803667745415318</v>
      </c>
      <c r="AC268" s="190">
        <f t="shared" si="23"/>
        <v>-9.100000000000023</v>
      </c>
      <c r="AD268" s="116">
        <v>235.9</v>
      </c>
      <c r="AE268" s="116">
        <v>231.4</v>
      </c>
      <c r="AF268" s="117">
        <f t="shared" si="24"/>
        <v>0.9809241203899958</v>
      </c>
      <c r="AG268" s="118">
        <f t="shared" si="25"/>
        <v>-4.5</v>
      </c>
      <c r="AH268" s="122"/>
      <c r="AI268" s="122"/>
    </row>
    <row r="269" spans="1:35" s="121" customFormat="1" ht="72" hidden="1">
      <c r="A269" s="85" t="s">
        <v>535</v>
      </c>
      <c r="B269" s="137" t="s">
        <v>51</v>
      </c>
      <c r="C269" s="115" t="s">
        <v>932</v>
      </c>
      <c r="D269" s="188">
        <f t="shared" si="11"/>
        <v>26816.1</v>
      </c>
      <c r="E269" s="188">
        <f t="shared" si="12"/>
        <v>26281.7</v>
      </c>
      <c r="F269" s="117">
        <f t="shared" si="13"/>
        <v>0.9800716733604067</v>
      </c>
      <c r="G269" s="116">
        <f t="shared" si="14"/>
        <v>-534.3999999999978</v>
      </c>
      <c r="H269" s="91"/>
      <c r="I269" s="91"/>
      <c r="J269" s="91"/>
      <c r="K269" s="91">
        <f t="shared" si="9"/>
        <v>0</v>
      </c>
      <c r="L269" s="91"/>
      <c r="N269" s="188">
        <f t="shared" si="15"/>
        <v>26816.1</v>
      </c>
      <c r="O269" s="188">
        <f t="shared" si="15"/>
        <v>26281.7</v>
      </c>
      <c r="P269" s="189">
        <f t="shared" si="16"/>
        <v>0.9800716733604067</v>
      </c>
      <c r="Q269" s="190">
        <f t="shared" si="17"/>
        <v>-534.3999999999978</v>
      </c>
      <c r="R269" s="188">
        <v>15506.9</v>
      </c>
      <c r="S269" s="188">
        <v>15423.5</v>
      </c>
      <c r="T269" s="189">
        <f t="shared" si="18"/>
        <v>0.9946217490278522</v>
      </c>
      <c r="U269" s="190">
        <f t="shared" si="19"/>
        <v>-83.39999999999964</v>
      </c>
      <c r="V269" s="116">
        <v>5472.9</v>
      </c>
      <c r="W269" s="116">
        <v>5057.4</v>
      </c>
      <c r="X269" s="117">
        <f t="shared" si="20"/>
        <v>0.9240804692210711</v>
      </c>
      <c r="Y269" s="118">
        <f t="shared" si="21"/>
        <v>-415.5</v>
      </c>
      <c r="Z269" s="191">
        <v>3898.2</v>
      </c>
      <c r="AA269" s="116">
        <v>3880.6</v>
      </c>
      <c r="AB269" s="189">
        <f t="shared" si="22"/>
        <v>0.9954850956851881</v>
      </c>
      <c r="AC269" s="190">
        <f t="shared" si="23"/>
        <v>-17.59999999999991</v>
      </c>
      <c r="AD269" s="116">
        <v>1938.1</v>
      </c>
      <c r="AE269" s="191">
        <v>1920.2</v>
      </c>
      <c r="AF269" s="117">
        <f t="shared" si="24"/>
        <v>0.9907641504566329</v>
      </c>
      <c r="AG269" s="118">
        <f t="shared" si="25"/>
        <v>-17.899999999999864</v>
      </c>
      <c r="AH269" s="122"/>
      <c r="AI269" s="122"/>
    </row>
    <row r="270" spans="1:35" s="121" customFormat="1" ht="12" hidden="1">
      <c r="A270" s="85" t="s">
        <v>535</v>
      </c>
      <c r="B270" s="137" t="s">
        <v>933</v>
      </c>
      <c r="C270" s="115" t="s">
        <v>934</v>
      </c>
      <c r="D270" s="188">
        <f t="shared" si="11"/>
        <v>0</v>
      </c>
      <c r="E270" s="188">
        <f t="shared" si="12"/>
        <v>0</v>
      </c>
      <c r="F270" s="117" t="e">
        <f t="shared" si="13"/>
        <v>#DIV/0!</v>
      </c>
      <c r="G270" s="116">
        <f t="shared" si="14"/>
        <v>0</v>
      </c>
      <c r="H270" s="91"/>
      <c r="I270" s="91"/>
      <c r="J270" s="91"/>
      <c r="K270" s="91">
        <f t="shared" si="9"/>
        <v>0</v>
      </c>
      <c r="L270" s="91"/>
      <c r="N270" s="188"/>
      <c r="O270" s="188"/>
      <c r="P270" s="189" t="e">
        <f t="shared" si="16"/>
        <v>#DIV/0!</v>
      </c>
      <c r="Q270" s="190">
        <f t="shared" si="17"/>
        <v>0</v>
      </c>
      <c r="R270" s="188"/>
      <c r="S270" s="188"/>
      <c r="T270" s="189" t="e">
        <f t="shared" si="18"/>
        <v>#DIV/0!</v>
      </c>
      <c r="U270" s="190">
        <f t="shared" si="19"/>
        <v>0</v>
      </c>
      <c r="V270" s="116"/>
      <c r="W270" s="116"/>
      <c r="X270" s="117" t="e">
        <f t="shared" si="20"/>
        <v>#DIV/0!</v>
      </c>
      <c r="Y270" s="118">
        <f t="shared" si="21"/>
        <v>0</v>
      </c>
      <c r="Z270" s="191"/>
      <c r="AA270" s="116"/>
      <c r="AB270" s="189" t="e">
        <f t="shared" si="22"/>
        <v>#DIV/0!</v>
      </c>
      <c r="AC270" s="190">
        <f t="shared" si="23"/>
        <v>0</v>
      </c>
      <c r="AD270" s="116"/>
      <c r="AE270" s="191"/>
      <c r="AF270" s="117" t="e">
        <f t="shared" si="24"/>
        <v>#DIV/0!</v>
      </c>
      <c r="AG270" s="118">
        <f t="shared" si="25"/>
        <v>0</v>
      </c>
      <c r="AH270" s="122"/>
      <c r="AI270" s="122"/>
    </row>
    <row r="271" spans="1:35" s="121" customFormat="1" ht="60" hidden="1">
      <c r="A271" s="85" t="s">
        <v>535</v>
      </c>
      <c r="B271" s="137" t="s">
        <v>52</v>
      </c>
      <c r="C271" s="115" t="s">
        <v>935</v>
      </c>
      <c r="D271" s="188">
        <f t="shared" si="11"/>
        <v>2518.5</v>
      </c>
      <c r="E271" s="188">
        <f t="shared" si="12"/>
        <v>2512.4</v>
      </c>
      <c r="F271" s="117">
        <f t="shared" si="13"/>
        <v>0.9975779233670836</v>
      </c>
      <c r="G271" s="116">
        <f t="shared" si="14"/>
        <v>-6.099999999999909</v>
      </c>
      <c r="H271" s="91"/>
      <c r="I271" s="91"/>
      <c r="J271" s="91"/>
      <c r="K271" s="91">
        <f t="shared" si="9"/>
        <v>0</v>
      </c>
      <c r="L271" s="91"/>
      <c r="N271" s="188">
        <f aca="true" t="shared" si="26" ref="N271:O315">SUM(R271,V271,Z271,AD271)</f>
        <v>2518.5</v>
      </c>
      <c r="O271" s="188">
        <f t="shared" si="26"/>
        <v>2512.4</v>
      </c>
      <c r="P271" s="189">
        <f t="shared" si="16"/>
        <v>0.9975779233670836</v>
      </c>
      <c r="Q271" s="190">
        <f t="shared" si="17"/>
        <v>-6.099999999999909</v>
      </c>
      <c r="R271" s="188">
        <v>2518.5</v>
      </c>
      <c r="S271" s="188">
        <v>2512.4</v>
      </c>
      <c r="T271" s="189">
        <f t="shared" si="18"/>
        <v>0.9975779233670836</v>
      </c>
      <c r="U271" s="190">
        <f t="shared" si="19"/>
        <v>-6.099999999999909</v>
      </c>
      <c r="V271" s="116">
        <v>0</v>
      </c>
      <c r="W271" s="116">
        <v>0</v>
      </c>
      <c r="X271" s="117" t="e">
        <f t="shared" si="20"/>
        <v>#DIV/0!</v>
      </c>
      <c r="Y271" s="118">
        <f t="shared" si="21"/>
        <v>0</v>
      </c>
      <c r="Z271" s="116">
        <v>0</v>
      </c>
      <c r="AA271" s="116">
        <v>0</v>
      </c>
      <c r="AB271" s="189" t="e">
        <f t="shared" si="22"/>
        <v>#DIV/0!</v>
      </c>
      <c r="AC271" s="190">
        <f t="shared" si="23"/>
        <v>0</v>
      </c>
      <c r="AD271" s="116"/>
      <c r="AE271" s="116"/>
      <c r="AF271" s="117" t="e">
        <f t="shared" si="24"/>
        <v>#DIV/0!</v>
      </c>
      <c r="AG271" s="118">
        <f t="shared" si="25"/>
        <v>0</v>
      </c>
      <c r="AH271" s="122"/>
      <c r="AI271" s="122"/>
    </row>
    <row r="272" spans="1:35" s="121" customFormat="1" ht="24" hidden="1">
      <c r="A272" s="85" t="s">
        <v>535</v>
      </c>
      <c r="B272" s="137" t="s">
        <v>936</v>
      </c>
      <c r="C272" s="115" t="s">
        <v>937</v>
      </c>
      <c r="D272" s="188">
        <f t="shared" si="11"/>
        <v>248</v>
      </c>
      <c r="E272" s="188">
        <f t="shared" si="12"/>
        <v>211.6</v>
      </c>
      <c r="F272" s="117">
        <f t="shared" si="13"/>
        <v>0.8532258064516128</v>
      </c>
      <c r="G272" s="116">
        <f t="shared" si="14"/>
        <v>-36.400000000000006</v>
      </c>
      <c r="H272" s="91"/>
      <c r="I272" s="91"/>
      <c r="J272" s="91"/>
      <c r="K272" s="91">
        <f t="shared" si="9"/>
        <v>0</v>
      </c>
      <c r="L272" s="91"/>
      <c r="N272" s="188">
        <f t="shared" si="26"/>
        <v>248</v>
      </c>
      <c r="O272" s="188">
        <f t="shared" si="26"/>
        <v>211.6</v>
      </c>
      <c r="P272" s="189">
        <f t="shared" si="16"/>
        <v>0.8532258064516128</v>
      </c>
      <c r="Q272" s="190">
        <f t="shared" si="17"/>
        <v>-36.400000000000006</v>
      </c>
      <c r="R272" s="116">
        <v>248</v>
      </c>
      <c r="S272" s="116">
        <v>211.6</v>
      </c>
      <c r="T272" s="189">
        <f t="shared" si="18"/>
        <v>0.8532258064516128</v>
      </c>
      <c r="U272" s="190">
        <f t="shared" si="19"/>
        <v>-36.400000000000006</v>
      </c>
      <c r="V272" s="116">
        <v>0</v>
      </c>
      <c r="W272" s="116">
        <v>0</v>
      </c>
      <c r="X272" s="117" t="e">
        <f t="shared" si="20"/>
        <v>#DIV/0!</v>
      </c>
      <c r="Y272" s="118">
        <f t="shared" si="21"/>
        <v>0</v>
      </c>
      <c r="Z272" s="116">
        <v>0</v>
      </c>
      <c r="AA272" s="116">
        <v>0</v>
      </c>
      <c r="AB272" s="189" t="e">
        <f t="shared" si="22"/>
        <v>#DIV/0!</v>
      </c>
      <c r="AC272" s="190">
        <f t="shared" si="23"/>
        <v>0</v>
      </c>
      <c r="AD272" s="116"/>
      <c r="AE272" s="116"/>
      <c r="AF272" s="117" t="e">
        <f t="shared" si="24"/>
        <v>#DIV/0!</v>
      </c>
      <c r="AG272" s="118">
        <f t="shared" si="25"/>
        <v>0</v>
      </c>
      <c r="AH272" s="122"/>
      <c r="AI272" s="122"/>
    </row>
    <row r="273" spans="1:35" s="121" customFormat="1" ht="24" hidden="1">
      <c r="A273" s="85" t="s">
        <v>535</v>
      </c>
      <c r="B273" s="137" t="s">
        <v>56</v>
      </c>
      <c r="C273" s="115" t="s">
        <v>938</v>
      </c>
      <c r="D273" s="188">
        <f t="shared" si="11"/>
        <v>699.7</v>
      </c>
      <c r="E273" s="188">
        <f t="shared" si="12"/>
        <v>0</v>
      </c>
      <c r="F273" s="117">
        <f t="shared" si="13"/>
        <v>0</v>
      </c>
      <c r="G273" s="116">
        <f t="shared" si="14"/>
        <v>-699.7</v>
      </c>
      <c r="H273" s="91"/>
      <c r="I273" s="91"/>
      <c r="J273" s="91"/>
      <c r="K273" s="91">
        <f aca="true" t="shared" si="27" ref="K273:K316">H273-J273</f>
        <v>0</v>
      </c>
      <c r="L273" s="91"/>
      <c r="N273" s="188">
        <f t="shared" si="26"/>
        <v>699.7</v>
      </c>
      <c r="O273" s="188">
        <f t="shared" si="26"/>
        <v>0</v>
      </c>
      <c r="P273" s="189">
        <f t="shared" si="16"/>
        <v>0</v>
      </c>
      <c r="Q273" s="190">
        <f t="shared" si="17"/>
        <v>-699.7</v>
      </c>
      <c r="R273" s="188">
        <v>699.7</v>
      </c>
      <c r="S273" s="116"/>
      <c r="T273" s="189">
        <f t="shared" si="18"/>
        <v>0</v>
      </c>
      <c r="U273" s="190">
        <f t="shared" si="19"/>
        <v>-699.7</v>
      </c>
      <c r="V273" s="116">
        <v>0</v>
      </c>
      <c r="W273" s="116">
        <v>0</v>
      </c>
      <c r="X273" s="117" t="e">
        <f t="shared" si="20"/>
        <v>#DIV/0!</v>
      </c>
      <c r="Y273" s="118">
        <f t="shared" si="21"/>
        <v>0</v>
      </c>
      <c r="Z273" s="116">
        <v>0</v>
      </c>
      <c r="AA273" s="116">
        <v>0</v>
      </c>
      <c r="AB273" s="189" t="e">
        <f t="shared" si="22"/>
        <v>#DIV/0!</v>
      </c>
      <c r="AC273" s="190">
        <f t="shared" si="23"/>
        <v>0</v>
      </c>
      <c r="AD273" s="116"/>
      <c r="AE273" s="116"/>
      <c r="AF273" s="117" t="e">
        <f t="shared" si="24"/>
        <v>#DIV/0!</v>
      </c>
      <c r="AG273" s="118">
        <f t="shared" si="25"/>
        <v>0</v>
      </c>
      <c r="AH273" s="122"/>
      <c r="AI273" s="122"/>
    </row>
    <row r="274" spans="1:35" s="121" customFormat="1" ht="12" hidden="1">
      <c r="A274" s="85" t="s">
        <v>535</v>
      </c>
      <c r="B274" s="137" t="s">
        <v>939</v>
      </c>
      <c r="C274" s="115" t="s">
        <v>57</v>
      </c>
      <c r="D274" s="188">
        <f t="shared" si="11"/>
        <v>1390.5</v>
      </c>
      <c r="E274" s="188">
        <f t="shared" si="12"/>
        <v>0</v>
      </c>
      <c r="F274" s="117">
        <f t="shared" si="13"/>
        <v>0</v>
      </c>
      <c r="G274" s="116">
        <f t="shared" si="14"/>
        <v>-1390.5</v>
      </c>
      <c r="H274" s="91"/>
      <c r="I274" s="91"/>
      <c r="J274" s="91"/>
      <c r="K274" s="91">
        <f t="shared" si="27"/>
        <v>0</v>
      </c>
      <c r="L274" s="91"/>
      <c r="N274" s="188">
        <f t="shared" si="26"/>
        <v>1390.5</v>
      </c>
      <c r="O274" s="188">
        <f t="shared" si="26"/>
        <v>0</v>
      </c>
      <c r="P274" s="189">
        <f t="shared" si="16"/>
        <v>0</v>
      </c>
      <c r="Q274" s="190">
        <f t="shared" si="17"/>
        <v>-1390.5</v>
      </c>
      <c r="R274" s="188">
        <v>1263</v>
      </c>
      <c r="S274" s="116"/>
      <c r="T274" s="189">
        <f t="shared" si="18"/>
        <v>0</v>
      </c>
      <c r="U274" s="190">
        <f t="shared" si="19"/>
        <v>-1263</v>
      </c>
      <c r="V274" s="116">
        <v>118.2</v>
      </c>
      <c r="W274" s="116">
        <v>0</v>
      </c>
      <c r="X274" s="117">
        <f t="shared" si="20"/>
        <v>0</v>
      </c>
      <c r="Y274" s="118">
        <f t="shared" si="21"/>
        <v>-118.2</v>
      </c>
      <c r="Z274" s="116">
        <v>0.8</v>
      </c>
      <c r="AA274" s="116">
        <v>0</v>
      </c>
      <c r="AB274" s="189">
        <f t="shared" si="22"/>
        <v>0</v>
      </c>
      <c r="AC274" s="190">
        <f t="shared" si="23"/>
        <v>-0.8</v>
      </c>
      <c r="AD274" s="116">
        <v>8.5</v>
      </c>
      <c r="AE274" s="116">
        <v>0</v>
      </c>
      <c r="AF274" s="117">
        <f t="shared" si="24"/>
        <v>0</v>
      </c>
      <c r="AG274" s="118">
        <f t="shared" si="25"/>
        <v>-8.5</v>
      </c>
      <c r="AH274" s="122"/>
      <c r="AI274" s="122"/>
    </row>
    <row r="275" spans="1:35" s="121" customFormat="1" ht="24" hidden="1">
      <c r="A275" s="85" t="s">
        <v>535</v>
      </c>
      <c r="B275" s="137" t="s">
        <v>940</v>
      </c>
      <c r="C275" s="115" t="s">
        <v>59</v>
      </c>
      <c r="D275" s="188">
        <f t="shared" si="11"/>
        <v>16605.7</v>
      </c>
      <c r="E275" s="188">
        <f t="shared" si="12"/>
        <v>15612.600000000002</v>
      </c>
      <c r="F275" s="117">
        <f t="shared" si="13"/>
        <v>0.9401952341665815</v>
      </c>
      <c r="G275" s="116">
        <f t="shared" si="14"/>
        <v>-993.0999999999985</v>
      </c>
      <c r="H275" s="91"/>
      <c r="I275" s="91"/>
      <c r="J275" s="91"/>
      <c r="K275" s="91">
        <f t="shared" si="27"/>
        <v>0</v>
      </c>
      <c r="L275" s="91"/>
      <c r="N275" s="188">
        <f t="shared" si="26"/>
        <v>16605.7</v>
      </c>
      <c r="O275" s="188">
        <f t="shared" si="26"/>
        <v>15612.600000000002</v>
      </c>
      <c r="P275" s="189">
        <f t="shared" si="16"/>
        <v>0.9401952341665815</v>
      </c>
      <c r="Q275" s="190">
        <f t="shared" si="17"/>
        <v>-993.0999999999985</v>
      </c>
      <c r="R275" s="188">
        <v>11926.7</v>
      </c>
      <c r="S275" s="116">
        <v>11080.7</v>
      </c>
      <c r="T275" s="189">
        <f t="shared" si="18"/>
        <v>0.9290667158560205</v>
      </c>
      <c r="U275" s="190">
        <f t="shared" si="19"/>
        <v>-846</v>
      </c>
      <c r="V275" s="116">
        <v>1978.8</v>
      </c>
      <c r="W275" s="191">
        <v>1838.6</v>
      </c>
      <c r="X275" s="117">
        <f t="shared" si="20"/>
        <v>0.9291489791793006</v>
      </c>
      <c r="Y275" s="118">
        <f t="shared" si="21"/>
        <v>-140.20000000000005</v>
      </c>
      <c r="Z275" s="116">
        <v>1936.9</v>
      </c>
      <c r="AA275" s="191">
        <v>1930.7</v>
      </c>
      <c r="AB275" s="189">
        <f t="shared" si="22"/>
        <v>0.9967990087252826</v>
      </c>
      <c r="AC275" s="190">
        <f t="shared" si="23"/>
        <v>-6.2000000000000455</v>
      </c>
      <c r="AD275" s="116">
        <v>763.3</v>
      </c>
      <c r="AE275" s="116">
        <v>762.6</v>
      </c>
      <c r="AF275" s="117">
        <f t="shared" si="24"/>
        <v>0.9990829293855628</v>
      </c>
      <c r="AG275" s="118">
        <f t="shared" si="25"/>
        <v>-0.6999999999999318</v>
      </c>
      <c r="AH275" s="122"/>
      <c r="AI275" s="122"/>
    </row>
    <row r="276" spans="1:35" s="156" customFormat="1" ht="12" hidden="1">
      <c r="A276" s="85" t="s">
        <v>535</v>
      </c>
      <c r="B276" s="151" t="s">
        <v>941</v>
      </c>
      <c r="C276" s="152" t="s">
        <v>942</v>
      </c>
      <c r="D276" s="88">
        <f t="shared" si="11"/>
        <v>686.8</v>
      </c>
      <c r="E276" s="88">
        <f t="shared" si="12"/>
        <v>685</v>
      </c>
      <c r="F276" s="154">
        <f t="shared" si="13"/>
        <v>0.9973791496796739</v>
      </c>
      <c r="G276" s="153">
        <f t="shared" si="14"/>
        <v>-1.7999999999999545</v>
      </c>
      <c r="H276" s="91"/>
      <c r="I276" s="91"/>
      <c r="J276" s="91"/>
      <c r="K276" s="91">
        <f t="shared" si="27"/>
        <v>0</v>
      </c>
      <c r="L276" s="91"/>
      <c r="N276" s="88">
        <f t="shared" si="26"/>
        <v>686.8</v>
      </c>
      <c r="O276" s="88">
        <f t="shared" si="26"/>
        <v>685</v>
      </c>
      <c r="P276" s="154">
        <f t="shared" si="16"/>
        <v>0.9973791496796739</v>
      </c>
      <c r="Q276" s="153">
        <f t="shared" si="17"/>
        <v>-1.7999999999999545</v>
      </c>
      <c r="R276" s="153">
        <f>SUM(R277)</f>
        <v>0</v>
      </c>
      <c r="S276" s="153">
        <f>SUM(S277)</f>
        <v>0</v>
      </c>
      <c r="T276" s="154" t="e">
        <f t="shared" si="18"/>
        <v>#DIV/0!</v>
      </c>
      <c r="U276" s="153">
        <f t="shared" si="19"/>
        <v>0</v>
      </c>
      <c r="V276" s="153">
        <f>SUM(V277)</f>
        <v>343.4</v>
      </c>
      <c r="W276" s="153">
        <f>SUM(W277)</f>
        <v>343.4</v>
      </c>
      <c r="X276" s="154">
        <f t="shared" si="20"/>
        <v>1</v>
      </c>
      <c r="Y276" s="155">
        <f t="shared" si="21"/>
        <v>0</v>
      </c>
      <c r="Z276" s="153">
        <f>SUM(Z277)</f>
        <v>228.9</v>
      </c>
      <c r="AA276" s="153">
        <f>SUM(AA277)</f>
        <v>227.1</v>
      </c>
      <c r="AB276" s="154">
        <f t="shared" si="22"/>
        <v>0.9921363040629095</v>
      </c>
      <c r="AC276" s="155">
        <f t="shared" si="23"/>
        <v>-1.8000000000000114</v>
      </c>
      <c r="AD276" s="153">
        <f>SUM(AD277)</f>
        <v>114.5</v>
      </c>
      <c r="AE276" s="153">
        <f>SUM(AE277)</f>
        <v>114.5</v>
      </c>
      <c r="AF276" s="154">
        <f t="shared" si="24"/>
        <v>1</v>
      </c>
      <c r="AG276" s="155">
        <f t="shared" si="25"/>
        <v>0</v>
      </c>
      <c r="AH276" s="157"/>
      <c r="AI276" s="157"/>
    </row>
    <row r="277" spans="1:35" s="121" customFormat="1" ht="24" hidden="1">
      <c r="A277" s="85" t="s">
        <v>535</v>
      </c>
      <c r="B277" s="137" t="s">
        <v>943</v>
      </c>
      <c r="C277" s="115" t="s">
        <v>944</v>
      </c>
      <c r="D277" s="188">
        <f t="shared" si="11"/>
        <v>686.8</v>
      </c>
      <c r="E277" s="188">
        <f t="shared" si="12"/>
        <v>685</v>
      </c>
      <c r="F277" s="117">
        <f t="shared" si="13"/>
        <v>0.9973791496796739</v>
      </c>
      <c r="G277" s="116">
        <f t="shared" si="14"/>
        <v>-1.7999999999999545</v>
      </c>
      <c r="H277" s="91"/>
      <c r="I277" s="91"/>
      <c r="J277" s="91"/>
      <c r="K277" s="91">
        <f t="shared" si="27"/>
        <v>0</v>
      </c>
      <c r="L277" s="91"/>
      <c r="N277" s="188">
        <f t="shared" si="26"/>
        <v>686.8</v>
      </c>
      <c r="O277" s="188">
        <f t="shared" si="26"/>
        <v>685</v>
      </c>
      <c r="P277" s="189">
        <f t="shared" si="16"/>
        <v>0.9973791496796739</v>
      </c>
      <c r="Q277" s="190">
        <f t="shared" si="17"/>
        <v>-1.7999999999999545</v>
      </c>
      <c r="R277" s="116">
        <v>0</v>
      </c>
      <c r="S277" s="116">
        <v>0</v>
      </c>
      <c r="T277" s="189" t="e">
        <f t="shared" si="18"/>
        <v>#DIV/0!</v>
      </c>
      <c r="U277" s="190">
        <f t="shared" si="19"/>
        <v>0</v>
      </c>
      <c r="V277" s="116">
        <v>343.4</v>
      </c>
      <c r="W277" s="116">
        <v>343.4</v>
      </c>
      <c r="X277" s="117">
        <f t="shared" si="20"/>
        <v>1</v>
      </c>
      <c r="Y277" s="118">
        <f t="shared" si="21"/>
        <v>0</v>
      </c>
      <c r="Z277" s="116">
        <v>228.9</v>
      </c>
      <c r="AA277" s="116">
        <v>227.1</v>
      </c>
      <c r="AB277" s="189">
        <f t="shared" si="22"/>
        <v>0.9921363040629095</v>
      </c>
      <c r="AC277" s="190">
        <f t="shared" si="23"/>
        <v>-1.8000000000000114</v>
      </c>
      <c r="AD277" s="116">
        <v>114.5</v>
      </c>
      <c r="AE277" s="116">
        <v>114.5</v>
      </c>
      <c r="AF277" s="117">
        <f t="shared" si="24"/>
        <v>1</v>
      </c>
      <c r="AG277" s="118">
        <f t="shared" si="25"/>
        <v>0</v>
      </c>
      <c r="AH277" s="122"/>
      <c r="AI277" s="122"/>
    </row>
    <row r="278" spans="1:35" s="156" customFormat="1" ht="36" hidden="1">
      <c r="A278" s="85" t="s">
        <v>535</v>
      </c>
      <c r="B278" s="151" t="s">
        <v>75</v>
      </c>
      <c r="C278" s="152" t="s">
        <v>945</v>
      </c>
      <c r="D278" s="88">
        <f t="shared" si="11"/>
        <v>7616.1</v>
      </c>
      <c r="E278" s="88">
        <f t="shared" si="12"/>
        <v>7065.699999999999</v>
      </c>
      <c r="F278" s="154">
        <f t="shared" si="13"/>
        <v>0.9277320413334907</v>
      </c>
      <c r="G278" s="153">
        <f t="shared" si="14"/>
        <v>-550.4000000000015</v>
      </c>
      <c r="H278" s="91"/>
      <c r="I278" s="91"/>
      <c r="J278" s="91"/>
      <c r="K278" s="91">
        <f t="shared" si="27"/>
        <v>0</v>
      </c>
      <c r="L278" s="91"/>
      <c r="N278" s="88">
        <f t="shared" si="26"/>
        <v>7616.1</v>
      </c>
      <c r="O278" s="88">
        <f t="shared" si="26"/>
        <v>7065.699999999999</v>
      </c>
      <c r="P278" s="154">
        <f t="shared" si="16"/>
        <v>0.9277320413334907</v>
      </c>
      <c r="Q278" s="153">
        <f t="shared" si="17"/>
        <v>-550.4000000000015</v>
      </c>
      <c r="R278" s="153">
        <f>SUM(R280:R281)</f>
        <v>3645.2</v>
      </c>
      <c r="S278" s="153">
        <f>SUM(S280:S281)</f>
        <v>3397.8</v>
      </c>
      <c r="T278" s="154">
        <f t="shared" si="18"/>
        <v>0.93212992428399</v>
      </c>
      <c r="U278" s="153">
        <f t="shared" si="19"/>
        <v>-247.39999999999964</v>
      </c>
      <c r="V278" s="153">
        <f>SUM(V281)</f>
        <v>1791.8</v>
      </c>
      <c r="W278" s="153">
        <f>SUM(W281)</f>
        <v>1512.6</v>
      </c>
      <c r="X278" s="154">
        <f t="shared" si="20"/>
        <v>0.8441790378390445</v>
      </c>
      <c r="Y278" s="155">
        <f t="shared" si="21"/>
        <v>-279.20000000000005</v>
      </c>
      <c r="Z278" s="153">
        <f>SUM(Z280:Z281)</f>
        <v>1056.8</v>
      </c>
      <c r="AA278" s="153">
        <f>SUM(AA280:AA281)</f>
        <v>1039.9</v>
      </c>
      <c r="AB278" s="154">
        <f t="shared" si="22"/>
        <v>0.9840083270249812</v>
      </c>
      <c r="AC278" s="155">
        <f t="shared" si="23"/>
        <v>-16.899999999999864</v>
      </c>
      <c r="AD278" s="153">
        <f>SUM(AD280:AD281)</f>
        <v>1122.3</v>
      </c>
      <c r="AE278" s="153">
        <f>SUM(AE280:AE281)</f>
        <v>1115.3999999999999</v>
      </c>
      <c r="AF278" s="154">
        <f t="shared" si="24"/>
        <v>0.9938519112536754</v>
      </c>
      <c r="AG278" s="155">
        <f t="shared" si="25"/>
        <v>-6.900000000000091</v>
      </c>
      <c r="AH278" s="157">
        <f>SUM(R278,V278,Z278,AD278)</f>
        <v>7616.1</v>
      </c>
      <c r="AI278" s="157">
        <f>SUM(S278,W278,AA278,AE278)</f>
        <v>7065.699999999999</v>
      </c>
    </row>
    <row r="279" spans="1:35" s="121" customFormat="1" ht="12" hidden="1">
      <c r="A279" s="85" t="s">
        <v>535</v>
      </c>
      <c r="B279" s="137" t="s">
        <v>946</v>
      </c>
      <c r="C279" s="115" t="s">
        <v>947</v>
      </c>
      <c r="D279" s="188">
        <f t="shared" si="11"/>
        <v>0</v>
      </c>
      <c r="E279" s="188">
        <f t="shared" si="12"/>
        <v>0</v>
      </c>
      <c r="F279" s="117" t="e">
        <f t="shared" si="13"/>
        <v>#DIV/0!</v>
      </c>
      <c r="G279" s="116">
        <f t="shared" si="14"/>
        <v>0</v>
      </c>
      <c r="H279" s="91"/>
      <c r="I279" s="91"/>
      <c r="J279" s="91"/>
      <c r="K279" s="91">
        <f t="shared" si="27"/>
        <v>0</v>
      </c>
      <c r="L279" s="91"/>
      <c r="N279" s="188">
        <f t="shared" si="26"/>
        <v>0</v>
      </c>
      <c r="O279" s="188">
        <f t="shared" si="26"/>
        <v>0</v>
      </c>
      <c r="P279" s="189" t="e">
        <f t="shared" si="16"/>
        <v>#DIV/0!</v>
      </c>
      <c r="Q279" s="190">
        <f t="shared" si="17"/>
        <v>0</v>
      </c>
      <c r="R279" s="116"/>
      <c r="S279" s="116"/>
      <c r="T279" s="189" t="e">
        <f t="shared" si="18"/>
        <v>#DIV/0!</v>
      </c>
      <c r="U279" s="190">
        <f t="shared" si="19"/>
        <v>0</v>
      </c>
      <c r="V279" s="116"/>
      <c r="W279" s="116"/>
      <c r="X279" s="117" t="e">
        <f t="shared" si="20"/>
        <v>#DIV/0!</v>
      </c>
      <c r="Y279" s="118">
        <f t="shared" si="21"/>
        <v>0</v>
      </c>
      <c r="Z279" s="116"/>
      <c r="AA279" s="116"/>
      <c r="AB279" s="189" t="e">
        <f t="shared" si="22"/>
        <v>#DIV/0!</v>
      </c>
      <c r="AC279" s="190">
        <f t="shared" si="23"/>
        <v>0</v>
      </c>
      <c r="AD279" s="116"/>
      <c r="AE279" s="116"/>
      <c r="AF279" s="117" t="e">
        <f t="shared" si="24"/>
        <v>#DIV/0!</v>
      </c>
      <c r="AG279" s="118">
        <f t="shared" si="25"/>
        <v>0</v>
      </c>
      <c r="AH279" s="122"/>
      <c r="AI279" s="122"/>
    </row>
    <row r="280" spans="1:35" s="121" customFormat="1" ht="60" hidden="1">
      <c r="A280" s="85" t="s">
        <v>535</v>
      </c>
      <c r="B280" s="137" t="s">
        <v>77</v>
      </c>
      <c r="C280" s="115" t="s">
        <v>948</v>
      </c>
      <c r="D280" s="188">
        <f t="shared" si="11"/>
        <v>7.1</v>
      </c>
      <c r="E280" s="188">
        <f t="shared" si="12"/>
        <v>7.1</v>
      </c>
      <c r="F280" s="117">
        <f t="shared" si="13"/>
        <v>1</v>
      </c>
      <c r="G280" s="116">
        <f t="shared" si="14"/>
        <v>0</v>
      </c>
      <c r="H280" s="91"/>
      <c r="I280" s="91"/>
      <c r="J280" s="91"/>
      <c r="K280" s="91">
        <f t="shared" si="27"/>
        <v>0</v>
      </c>
      <c r="L280" s="91"/>
      <c r="N280" s="188">
        <f t="shared" si="26"/>
        <v>7.1</v>
      </c>
      <c r="O280" s="188">
        <f t="shared" si="26"/>
        <v>7.1</v>
      </c>
      <c r="P280" s="189">
        <f t="shared" si="16"/>
        <v>1</v>
      </c>
      <c r="Q280" s="190">
        <f t="shared" si="17"/>
        <v>0</v>
      </c>
      <c r="R280" s="188">
        <v>0</v>
      </c>
      <c r="S280" s="188">
        <v>0</v>
      </c>
      <c r="T280" s="189" t="e">
        <f t="shared" si="18"/>
        <v>#DIV/0!</v>
      </c>
      <c r="U280" s="190">
        <f t="shared" si="19"/>
        <v>0</v>
      </c>
      <c r="V280" s="116"/>
      <c r="W280" s="116"/>
      <c r="X280" s="117" t="e">
        <f t="shared" si="20"/>
        <v>#DIV/0!</v>
      </c>
      <c r="Y280" s="118">
        <f t="shared" si="21"/>
        <v>0</v>
      </c>
      <c r="Z280" s="116"/>
      <c r="AA280" s="116"/>
      <c r="AB280" s="189" t="e">
        <f t="shared" si="22"/>
        <v>#DIV/0!</v>
      </c>
      <c r="AC280" s="190">
        <f t="shared" si="23"/>
        <v>0</v>
      </c>
      <c r="AD280" s="116">
        <v>7.1</v>
      </c>
      <c r="AE280" s="116">
        <v>7.1</v>
      </c>
      <c r="AF280" s="117">
        <f t="shared" si="24"/>
        <v>1</v>
      </c>
      <c r="AG280" s="118">
        <f t="shared" si="25"/>
        <v>0</v>
      </c>
      <c r="AH280" s="122"/>
      <c r="AI280" s="122"/>
    </row>
    <row r="281" spans="1:35" s="121" customFormat="1" ht="24" hidden="1">
      <c r="A281" s="85" t="s">
        <v>535</v>
      </c>
      <c r="B281" s="137" t="s">
        <v>473</v>
      </c>
      <c r="C281" s="115" t="s">
        <v>474</v>
      </c>
      <c r="D281" s="188">
        <f t="shared" si="11"/>
        <v>7609</v>
      </c>
      <c r="E281" s="188">
        <f t="shared" si="12"/>
        <v>7058.599999999999</v>
      </c>
      <c r="F281" s="117">
        <f t="shared" si="13"/>
        <v>0.9276646077014061</v>
      </c>
      <c r="G281" s="116">
        <f t="shared" si="14"/>
        <v>-550.4000000000005</v>
      </c>
      <c r="H281" s="91"/>
      <c r="I281" s="91"/>
      <c r="J281" s="91"/>
      <c r="K281" s="91">
        <f t="shared" si="27"/>
        <v>0</v>
      </c>
      <c r="L281" s="91"/>
      <c r="N281" s="188">
        <f t="shared" si="26"/>
        <v>7609</v>
      </c>
      <c r="O281" s="188">
        <f t="shared" si="26"/>
        <v>7058.599999999999</v>
      </c>
      <c r="P281" s="189">
        <f t="shared" si="16"/>
        <v>0.9276646077014061</v>
      </c>
      <c r="Q281" s="190">
        <f t="shared" si="17"/>
        <v>-550.4000000000005</v>
      </c>
      <c r="R281" s="188">
        <v>3645.2</v>
      </c>
      <c r="S281" s="188">
        <v>3397.8</v>
      </c>
      <c r="T281" s="189">
        <f t="shared" si="18"/>
        <v>0.93212992428399</v>
      </c>
      <c r="U281" s="190">
        <f t="shared" si="19"/>
        <v>-247.39999999999964</v>
      </c>
      <c r="V281" s="116">
        <v>1791.8</v>
      </c>
      <c r="W281" s="116">
        <v>1512.6</v>
      </c>
      <c r="X281" s="117">
        <f t="shared" si="20"/>
        <v>0.8441790378390445</v>
      </c>
      <c r="Y281" s="118">
        <f t="shared" si="21"/>
        <v>-279.20000000000005</v>
      </c>
      <c r="Z281" s="116">
        <v>1056.8</v>
      </c>
      <c r="AA281" s="116">
        <v>1039.9</v>
      </c>
      <c r="AB281" s="189">
        <f t="shared" si="22"/>
        <v>0.9840083270249812</v>
      </c>
      <c r="AC281" s="190">
        <f t="shared" si="23"/>
        <v>-16.899999999999864</v>
      </c>
      <c r="AD281" s="116">
        <v>1115.2</v>
      </c>
      <c r="AE281" s="116">
        <v>1108.3</v>
      </c>
      <c r="AF281" s="154">
        <f t="shared" si="24"/>
        <v>0.993812769010043</v>
      </c>
      <c r="AG281" s="155">
        <f t="shared" si="25"/>
        <v>-6.900000000000091</v>
      </c>
      <c r="AH281" s="122"/>
      <c r="AI281" s="122"/>
    </row>
    <row r="282" spans="1:35" s="156" customFormat="1" ht="12" hidden="1">
      <c r="A282" s="85" t="s">
        <v>535</v>
      </c>
      <c r="B282" s="151" t="s">
        <v>79</v>
      </c>
      <c r="C282" s="152" t="s">
        <v>949</v>
      </c>
      <c r="D282" s="88">
        <f t="shared" si="11"/>
        <v>3306.7</v>
      </c>
      <c r="E282" s="88">
        <f t="shared" si="12"/>
        <v>1206.7</v>
      </c>
      <c r="F282" s="154">
        <f t="shared" si="13"/>
        <v>0.3649257567968065</v>
      </c>
      <c r="G282" s="153">
        <f t="shared" si="14"/>
        <v>-2100</v>
      </c>
      <c r="H282" s="91"/>
      <c r="I282" s="91"/>
      <c r="J282" s="91"/>
      <c r="K282" s="91">
        <f t="shared" si="27"/>
        <v>0</v>
      </c>
      <c r="L282" s="91"/>
      <c r="N282" s="88">
        <f t="shared" si="26"/>
        <v>3306.7</v>
      </c>
      <c r="O282" s="88">
        <f t="shared" si="26"/>
        <v>1206.7</v>
      </c>
      <c r="P282" s="154">
        <f t="shared" si="16"/>
        <v>0.3649257567968065</v>
      </c>
      <c r="Q282" s="153">
        <f t="shared" si="17"/>
        <v>-2100</v>
      </c>
      <c r="R282" s="153">
        <f>SUM(R285:R288)</f>
        <v>1206.7</v>
      </c>
      <c r="S282" s="153">
        <f>SUM(S285:S288)</f>
        <v>1206.7</v>
      </c>
      <c r="T282" s="154">
        <f t="shared" si="18"/>
        <v>1</v>
      </c>
      <c r="U282" s="153">
        <f t="shared" si="19"/>
        <v>0</v>
      </c>
      <c r="V282" s="153">
        <f>SUM(V286:V288)</f>
        <v>0</v>
      </c>
      <c r="W282" s="153">
        <f>SUM(W286:W288)</f>
        <v>0</v>
      </c>
      <c r="X282" s="154" t="e">
        <f t="shared" si="20"/>
        <v>#DIV/0!</v>
      </c>
      <c r="Y282" s="155">
        <f t="shared" si="21"/>
        <v>0</v>
      </c>
      <c r="Z282" s="153">
        <f>SUM(Z286:Z288)</f>
        <v>2100</v>
      </c>
      <c r="AA282" s="153">
        <f>SUM(AA286:AA288)</f>
        <v>0</v>
      </c>
      <c r="AB282" s="154">
        <f t="shared" si="22"/>
        <v>0</v>
      </c>
      <c r="AC282" s="155">
        <f t="shared" si="23"/>
        <v>-2100</v>
      </c>
      <c r="AD282" s="153">
        <f>SUM(AD285:AD288)</f>
        <v>0</v>
      </c>
      <c r="AE282" s="153">
        <f>SUM(AE285:AE288)</f>
        <v>0</v>
      </c>
      <c r="AF282" s="153" t="e">
        <f>SUM(AF285:AF288)</f>
        <v>#DIV/0!</v>
      </c>
      <c r="AG282" s="153">
        <f>SUM(AG285:AG288)</f>
        <v>0</v>
      </c>
      <c r="AH282" s="157"/>
      <c r="AI282" s="157"/>
    </row>
    <row r="283" spans="1:35" s="121" customFormat="1" ht="12" hidden="1">
      <c r="A283" s="85" t="s">
        <v>535</v>
      </c>
      <c r="B283" s="137" t="s">
        <v>950</v>
      </c>
      <c r="C283" s="115" t="s">
        <v>951</v>
      </c>
      <c r="D283" s="188">
        <f t="shared" si="11"/>
        <v>0</v>
      </c>
      <c r="E283" s="188">
        <f t="shared" si="12"/>
        <v>0</v>
      </c>
      <c r="F283" s="117" t="e">
        <f t="shared" si="13"/>
        <v>#DIV/0!</v>
      </c>
      <c r="G283" s="116">
        <f t="shared" si="14"/>
        <v>0</v>
      </c>
      <c r="H283" s="91"/>
      <c r="I283" s="91"/>
      <c r="J283" s="91"/>
      <c r="K283" s="91">
        <f t="shared" si="27"/>
        <v>0</v>
      </c>
      <c r="L283" s="91"/>
      <c r="N283" s="188">
        <f t="shared" si="26"/>
        <v>0</v>
      </c>
      <c r="O283" s="188">
        <f t="shared" si="26"/>
        <v>0</v>
      </c>
      <c r="P283" s="189" t="e">
        <f t="shared" si="16"/>
        <v>#DIV/0!</v>
      </c>
      <c r="Q283" s="190">
        <f t="shared" si="17"/>
        <v>0</v>
      </c>
      <c r="R283" s="116"/>
      <c r="S283" s="116"/>
      <c r="T283" s="189" t="e">
        <f t="shared" si="18"/>
        <v>#DIV/0!</v>
      </c>
      <c r="U283" s="190">
        <f t="shared" si="19"/>
        <v>0</v>
      </c>
      <c r="V283" s="116"/>
      <c r="W283" s="116"/>
      <c r="X283" s="117" t="e">
        <f t="shared" si="20"/>
        <v>#DIV/0!</v>
      </c>
      <c r="Y283" s="118">
        <f t="shared" si="21"/>
        <v>0</v>
      </c>
      <c r="Z283" s="116"/>
      <c r="AA283" s="116"/>
      <c r="AB283" s="189" t="e">
        <f t="shared" si="22"/>
        <v>#DIV/0!</v>
      </c>
      <c r="AC283" s="190">
        <f t="shared" si="23"/>
        <v>0</v>
      </c>
      <c r="AD283" s="116"/>
      <c r="AE283" s="116"/>
      <c r="AF283" s="117" t="e">
        <f aca="true" t="shared" si="28" ref="AF283:AF310">AE283/AD283</f>
        <v>#DIV/0!</v>
      </c>
      <c r="AG283" s="118">
        <f aca="true" t="shared" si="29" ref="AG283:AG310">AE283-AD283</f>
        <v>0</v>
      </c>
      <c r="AH283" s="122"/>
      <c r="AI283" s="122"/>
    </row>
    <row r="284" spans="1:35" s="121" customFormat="1" ht="24" hidden="1">
      <c r="A284" s="85" t="s">
        <v>535</v>
      </c>
      <c r="B284" s="137" t="s">
        <v>82</v>
      </c>
      <c r="C284" s="115" t="s">
        <v>83</v>
      </c>
      <c r="D284" s="188">
        <f t="shared" si="11"/>
        <v>0</v>
      </c>
      <c r="E284" s="188">
        <f t="shared" si="12"/>
        <v>0</v>
      </c>
      <c r="F284" s="117" t="e">
        <f t="shared" si="13"/>
        <v>#DIV/0!</v>
      </c>
      <c r="G284" s="116">
        <f t="shared" si="14"/>
        <v>0</v>
      </c>
      <c r="H284" s="91"/>
      <c r="I284" s="91"/>
      <c r="J284" s="91"/>
      <c r="K284" s="91">
        <f t="shared" si="27"/>
        <v>0</v>
      </c>
      <c r="L284" s="91"/>
      <c r="N284" s="188">
        <f t="shared" si="26"/>
        <v>0</v>
      </c>
      <c r="O284" s="188">
        <f t="shared" si="26"/>
        <v>0</v>
      </c>
      <c r="P284" s="189" t="e">
        <f t="shared" si="16"/>
        <v>#DIV/0!</v>
      </c>
      <c r="Q284" s="190">
        <f t="shared" si="17"/>
        <v>0</v>
      </c>
      <c r="R284" s="116"/>
      <c r="S284" s="116"/>
      <c r="T284" s="189" t="e">
        <f t="shared" si="18"/>
        <v>#DIV/0!</v>
      </c>
      <c r="U284" s="190">
        <f t="shared" si="19"/>
        <v>0</v>
      </c>
      <c r="V284" s="116"/>
      <c r="W284" s="116"/>
      <c r="X284" s="117" t="e">
        <f t="shared" si="20"/>
        <v>#DIV/0!</v>
      </c>
      <c r="Y284" s="118">
        <f t="shared" si="21"/>
        <v>0</v>
      </c>
      <c r="Z284" s="116"/>
      <c r="AA284" s="116"/>
      <c r="AB284" s="189" t="e">
        <f t="shared" si="22"/>
        <v>#DIV/0!</v>
      </c>
      <c r="AC284" s="190">
        <f t="shared" si="23"/>
        <v>0</v>
      </c>
      <c r="AD284" s="116"/>
      <c r="AE284" s="116"/>
      <c r="AF284" s="117" t="e">
        <f t="shared" si="28"/>
        <v>#DIV/0!</v>
      </c>
      <c r="AG284" s="118">
        <f t="shared" si="29"/>
        <v>0</v>
      </c>
      <c r="AH284" s="122"/>
      <c r="AI284" s="122"/>
    </row>
    <row r="285" spans="1:35" s="121" customFormat="1" ht="12" hidden="1">
      <c r="A285" s="85" t="s">
        <v>535</v>
      </c>
      <c r="B285" s="137" t="s">
        <v>952</v>
      </c>
      <c r="C285" s="115" t="s">
        <v>953</v>
      </c>
      <c r="D285" s="188">
        <f t="shared" si="11"/>
        <v>0</v>
      </c>
      <c r="E285" s="188">
        <f t="shared" si="12"/>
        <v>0</v>
      </c>
      <c r="F285" s="117" t="e">
        <f t="shared" si="13"/>
        <v>#DIV/0!</v>
      </c>
      <c r="G285" s="116">
        <f t="shared" si="14"/>
        <v>0</v>
      </c>
      <c r="H285" s="91"/>
      <c r="I285" s="91"/>
      <c r="J285" s="91"/>
      <c r="K285" s="91">
        <f t="shared" si="27"/>
        <v>0</v>
      </c>
      <c r="L285" s="91"/>
      <c r="N285" s="188">
        <f t="shared" si="26"/>
        <v>0</v>
      </c>
      <c r="O285" s="188">
        <f t="shared" si="26"/>
        <v>0</v>
      </c>
      <c r="P285" s="189" t="e">
        <f t="shared" si="16"/>
        <v>#DIV/0!</v>
      </c>
      <c r="Q285" s="190">
        <f t="shared" si="17"/>
        <v>0</v>
      </c>
      <c r="R285" s="116">
        <v>0</v>
      </c>
      <c r="S285" s="116">
        <v>0</v>
      </c>
      <c r="T285" s="189" t="e">
        <f t="shared" si="18"/>
        <v>#DIV/0!</v>
      </c>
      <c r="U285" s="190">
        <f t="shared" si="19"/>
        <v>0</v>
      </c>
      <c r="V285" s="116"/>
      <c r="W285" s="116"/>
      <c r="X285" s="117" t="e">
        <f t="shared" si="20"/>
        <v>#DIV/0!</v>
      </c>
      <c r="Y285" s="118">
        <f t="shared" si="21"/>
        <v>0</v>
      </c>
      <c r="Z285" s="116"/>
      <c r="AA285" s="116"/>
      <c r="AB285" s="189" t="e">
        <f t="shared" si="22"/>
        <v>#DIV/0!</v>
      </c>
      <c r="AC285" s="190">
        <f t="shared" si="23"/>
        <v>0</v>
      </c>
      <c r="AD285" s="116"/>
      <c r="AE285" s="116"/>
      <c r="AF285" s="117" t="e">
        <f t="shared" si="28"/>
        <v>#DIV/0!</v>
      </c>
      <c r="AG285" s="118">
        <f t="shared" si="29"/>
        <v>0</v>
      </c>
      <c r="AH285" s="122"/>
      <c r="AI285" s="122"/>
    </row>
    <row r="286" spans="1:35" s="121" customFormat="1" ht="12" hidden="1">
      <c r="A286" s="85" t="s">
        <v>535</v>
      </c>
      <c r="B286" s="137" t="s">
        <v>87</v>
      </c>
      <c r="C286" s="115" t="s">
        <v>88</v>
      </c>
      <c r="D286" s="188">
        <f t="shared" si="11"/>
        <v>1170.9</v>
      </c>
      <c r="E286" s="188">
        <f t="shared" si="12"/>
        <v>1170.9</v>
      </c>
      <c r="F286" s="117">
        <f t="shared" si="13"/>
        <v>1</v>
      </c>
      <c r="G286" s="116">
        <f t="shared" si="14"/>
        <v>0</v>
      </c>
      <c r="H286" s="91"/>
      <c r="I286" s="91"/>
      <c r="J286" s="91"/>
      <c r="K286" s="91">
        <f t="shared" si="27"/>
        <v>0</v>
      </c>
      <c r="L286" s="91"/>
      <c r="N286" s="188">
        <f t="shared" si="26"/>
        <v>1170.9</v>
      </c>
      <c r="O286" s="188">
        <f t="shared" si="26"/>
        <v>1170.9</v>
      </c>
      <c r="P286" s="189">
        <f t="shared" si="16"/>
        <v>1</v>
      </c>
      <c r="Q286" s="190">
        <f t="shared" si="17"/>
        <v>0</v>
      </c>
      <c r="R286" s="188">
        <v>1170.9</v>
      </c>
      <c r="S286" s="188">
        <v>1170.9</v>
      </c>
      <c r="T286" s="189">
        <f t="shared" si="18"/>
        <v>1</v>
      </c>
      <c r="U286" s="190">
        <f t="shared" si="19"/>
        <v>0</v>
      </c>
      <c r="V286" s="116"/>
      <c r="W286" s="116"/>
      <c r="X286" s="117" t="e">
        <f t="shared" si="20"/>
        <v>#DIV/0!</v>
      </c>
      <c r="Y286" s="118">
        <f t="shared" si="21"/>
        <v>0</v>
      </c>
      <c r="Z286" s="116"/>
      <c r="AA286" s="116"/>
      <c r="AB286" s="189" t="e">
        <f t="shared" si="22"/>
        <v>#DIV/0!</v>
      </c>
      <c r="AC286" s="190">
        <f t="shared" si="23"/>
        <v>0</v>
      </c>
      <c r="AD286" s="116"/>
      <c r="AE286" s="116"/>
      <c r="AF286" s="117" t="e">
        <f t="shared" si="28"/>
        <v>#DIV/0!</v>
      </c>
      <c r="AG286" s="118">
        <f t="shared" si="29"/>
        <v>0</v>
      </c>
      <c r="AH286" s="122"/>
      <c r="AI286" s="122"/>
    </row>
    <row r="287" spans="1:35" s="121" customFormat="1" ht="12" hidden="1">
      <c r="A287" s="85" t="s">
        <v>535</v>
      </c>
      <c r="B287" s="137" t="s">
        <v>89</v>
      </c>
      <c r="C287" s="115" t="s">
        <v>368</v>
      </c>
      <c r="D287" s="188">
        <f t="shared" si="11"/>
        <v>0</v>
      </c>
      <c r="E287" s="188">
        <f t="shared" si="12"/>
        <v>0</v>
      </c>
      <c r="F287" s="117" t="e">
        <f t="shared" si="13"/>
        <v>#DIV/0!</v>
      </c>
      <c r="G287" s="116">
        <f t="shared" si="14"/>
        <v>0</v>
      </c>
      <c r="H287" s="91"/>
      <c r="I287" s="91"/>
      <c r="J287" s="91"/>
      <c r="K287" s="91">
        <f t="shared" si="27"/>
        <v>0</v>
      </c>
      <c r="L287" s="91"/>
      <c r="N287" s="188">
        <f t="shared" si="26"/>
        <v>0</v>
      </c>
      <c r="O287" s="188">
        <f t="shared" si="26"/>
        <v>0</v>
      </c>
      <c r="P287" s="189" t="e">
        <f t="shared" si="16"/>
        <v>#DIV/0!</v>
      </c>
      <c r="Q287" s="190">
        <f t="shared" si="17"/>
        <v>0</v>
      </c>
      <c r="R287" s="188"/>
      <c r="S287" s="188"/>
      <c r="T287" s="189" t="e">
        <f t="shared" si="18"/>
        <v>#DIV/0!</v>
      </c>
      <c r="U287" s="190">
        <f t="shared" si="19"/>
        <v>0</v>
      </c>
      <c r="V287" s="116"/>
      <c r="W287" s="116"/>
      <c r="X287" s="117" t="e">
        <f t="shared" si="20"/>
        <v>#DIV/0!</v>
      </c>
      <c r="Y287" s="118">
        <f t="shared" si="21"/>
        <v>0</v>
      </c>
      <c r="Z287" s="116"/>
      <c r="AA287" s="116"/>
      <c r="AB287" s="189" t="e">
        <f t="shared" si="22"/>
        <v>#DIV/0!</v>
      </c>
      <c r="AC287" s="190">
        <f t="shared" si="23"/>
        <v>0</v>
      </c>
      <c r="AD287" s="116"/>
      <c r="AE287" s="116"/>
      <c r="AF287" s="117" t="e">
        <f t="shared" si="28"/>
        <v>#DIV/0!</v>
      </c>
      <c r="AG287" s="118">
        <f t="shared" si="29"/>
        <v>0</v>
      </c>
      <c r="AH287" s="122"/>
      <c r="AI287" s="122"/>
    </row>
    <row r="288" spans="1:35" s="121" customFormat="1" ht="24" hidden="1">
      <c r="A288" s="85" t="s">
        <v>535</v>
      </c>
      <c r="B288" s="137" t="s">
        <v>387</v>
      </c>
      <c r="C288" s="115" t="s">
        <v>954</v>
      </c>
      <c r="D288" s="188">
        <f t="shared" si="11"/>
        <v>2135.8</v>
      </c>
      <c r="E288" s="188">
        <f t="shared" si="12"/>
        <v>35.8</v>
      </c>
      <c r="F288" s="117">
        <f t="shared" si="13"/>
        <v>0.016761869088865997</v>
      </c>
      <c r="G288" s="116">
        <f t="shared" si="14"/>
        <v>-2100</v>
      </c>
      <c r="H288" s="91"/>
      <c r="I288" s="91"/>
      <c r="J288" s="91"/>
      <c r="K288" s="91">
        <f t="shared" si="27"/>
        <v>0</v>
      </c>
      <c r="L288" s="91"/>
      <c r="N288" s="188">
        <f t="shared" si="26"/>
        <v>2135.8</v>
      </c>
      <c r="O288" s="188">
        <f t="shared" si="26"/>
        <v>35.8</v>
      </c>
      <c r="P288" s="189">
        <f t="shared" si="16"/>
        <v>0.016761869088865997</v>
      </c>
      <c r="Q288" s="190">
        <f t="shared" si="17"/>
        <v>-2100</v>
      </c>
      <c r="R288" s="188">
        <v>35.8</v>
      </c>
      <c r="S288" s="188">
        <v>35.8</v>
      </c>
      <c r="T288" s="189">
        <f t="shared" si="18"/>
        <v>1</v>
      </c>
      <c r="U288" s="190">
        <f t="shared" si="19"/>
        <v>0</v>
      </c>
      <c r="V288" s="116"/>
      <c r="W288" s="116"/>
      <c r="X288" s="117" t="e">
        <f t="shared" si="20"/>
        <v>#DIV/0!</v>
      </c>
      <c r="Y288" s="118">
        <f t="shared" si="21"/>
        <v>0</v>
      </c>
      <c r="Z288" s="116">
        <v>2100</v>
      </c>
      <c r="AA288" s="116">
        <v>0</v>
      </c>
      <c r="AB288" s="189">
        <f t="shared" si="22"/>
        <v>0</v>
      </c>
      <c r="AC288" s="190">
        <f t="shared" si="23"/>
        <v>-2100</v>
      </c>
      <c r="AD288" s="116"/>
      <c r="AE288" s="116"/>
      <c r="AF288" s="117" t="e">
        <f t="shared" si="28"/>
        <v>#DIV/0!</v>
      </c>
      <c r="AG288" s="118">
        <f t="shared" si="29"/>
        <v>0</v>
      </c>
      <c r="AH288" s="122"/>
      <c r="AI288" s="122"/>
    </row>
    <row r="289" spans="1:35" s="156" customFormat="1" ht="24" hidden="1">
      <c r="A289" s="85" t="s">
        <v>535</v>
      </c>
      <c r="B289" s="151" t="s">
        <v>91</v>
      </c>
      <c r="C289" s="152" t="s">
        <v>955</v>
      </c>
      <c r="D289" s="88">
        <f t="shared" si="11"/>
        <v>432248.5900000001</v>
      </c>
      <c r="E289" s="88">
        <f t="shared" si="12"/>
        <v>364491.2</v>
      </c>
      <c r="F289" s="154">
        <f t="shared" si="13"/>
        <v>0.8432443932321444</v>
      </c>
      <c r="G289" s="153">
        <f t="shared" si="14"/>
        <v>-67757.39000000007</v>
      </c>
      <c r="H289" s="91"/>
      <c r="I289" s="91"/>
      <c r="J289" s="91"/>
      <c r="K289" s="91">
        <f t="shared" si="27"/>
        <v>0</v>
      </c>
      <c r="L289" s="91"/>
      <c r="N289" s="88">
        <f t="shared" si="26"/>
        <v>432248.5900000001</v>
      </c>
      <c r="O289" s="88">
        <f t="shared" si="26"/>
        <v>364491.2</v>
      </c>
      <c r="P289" s="154">
        <f t="shared" si="16"/>
        <v>0.8432443932321444</v>
      </c>
      <c r="Q289" s="153">
        <f t="shared" si="17"/>
        <v>-67757.39000000007</v>
      </c>
      <c r="R289" s="153">
        <f>SUM(R290:R293)</f>
        <v>347257.09</v>
      </c>
      <c r="S289" s="153">
        <f>SUM(S290:S293)</f>
        <v>312328.2</v>
      </c>
      <c r="T289" s="154">
        <f t="shared" si="18"/>
        <v>0.8994148974755274</v>
      </c>
      <c r="U289" s="153">
        <f t="shared" si="19"/>
        <v>-34928.890000000014</v>
      </c>
      <c r="V289" s="153">
        <f>SUM(V290:V293)</f>
        <v>18283.9</v>
      </c>
      <c r="W289" s="153">
        <f>SUM(W290:W293)</f>
        <v>3358.4</v>
      </c>
      <c r="X289" s="154">
        <f t="shared" si="20"/>
        <v>0.1836807245718911</v>
      </c>
      <c r="Y289" s="155">
        <f t="shared" si="21"/>
        <v>-14925.500000000002</v>
      </c>
      <c r="Z289" s="153">
        <f>SUM(Z290:Z293)</f>
        <v>54951.4</v>
      </c>
      <c r="AA289" s="153">
        <f>SUM(AA290:AA293)</f>
        <v>46477</v>
      </c>
      <c r="AB289" s="154">
        <f t="shared" si="22"/>
        <v>0.8457837288949872</v>
      </c>
      <c r="AC289" s="155">
        <f t="shared" si="23"/>
        <v>-8474.400000000001</v>
      </c>
      <c r="AD289" s="153">
        <f>SUM(AD290:AD293)</f>
        <v>11756.199999999999</v>
      </c>
      <c r="AE289" s="153">
        <f>SUM(AE290:AE293)</f>
        <v>2327.6</v>
      </c>
      <c r="AF289" s="154">
        <f t="shared" si="28"/>
        <v>0.19798914615266838</v>
      </c>
      <c r="AG289" s="155">
        <f t="shared" si="29"/>
        <v>-9428.599999999999</v>
      </c>
      <c r="AH289" s="157">
        <f>SUM(R289,V289,Z289,AD289)</f>
        <v>432248.5900000001</v>
      </c>
      <c r="AI289" s="157">
        <f>SUM(S289,W289,AA289,AE289)</f>
        <v>364491.2</v>
      </c>
    </row>
    <row r="290" spans="1:35" s="121" customFormat="1" ht="12" hidden="1">
      <c r="A290" s="85" t="s">
        <v>535</v>
      </c>
      <c r="B290" s="137" t="s">
        <v>412</v>
      </c>
      <c r="C290" s="115" t="s">
        <v>413</v>
      </c>
      <c r="D290" s="188">
        <f t="shared" si="11"/>
        <v>329897.39</v>
      </c>
      <c r="E290" s="188">
        <f t="shared" si="12"/>
        <v>292221.10000000003</v>
      </c>
      <c r="F290" s="117">
        <f t="shared" si="13"/>
        <v>0.8857939130709704</v>
      </c>
      <c r="G290" s="116">
        <f t="shared" si="14"/>
        <v>-37676.28999999998</v>
      </c>
      <c r="H290" s="91"/>
      <c r="I290" s="91"/>
      <c r="J290" s="91"/>
      <c r="K290" s="91">
        <f t="shared" si="27"/>
        <v>0</v>
      </c>
      <c r="L290" s="91"/>
      <c r="N290" s="188">
        <f t="shared" si="26"/>
        <v>329897.39</v>
      </c>
      <c r="O290" s="188">
        <f t="shared" si="26"/>
        <v>292221.10000000003</v>
      </c>
      <c r="P290" s="189">
        <f t="shared" si="16"/>
        <v>0.8857939130709704</v>
      </c>
      <c r="Q290" s="190">
        <f t="shared" si="17"/>
        <v>-37676.28999999998</v>
      </c>
      <c r="R290" s="188">
        <v>273931.39</v>
      </c>
      <c r="S290" s="188">
        <v>246836.2</v>
      </c>
      <c r="T290" s="189">
        <f t="shared" si="18"/>
        <v>0.9010876774655142</v>
      </c>
      <c r="U290" s="190">
        <f t="shared" si="19"/>
        <v>-27095.190000000002</v>
      </c>
      <c r="V290" s="116">
        <v>4521.5</v>
      </c>
      <c r="W290" s="116">
        <v>227</v>
      </c>
      <c r="X290" s="117">
        <f t="shared" si="20"/>
        <v>0.05020457812672786</v>
      </c>
      <c r="Y290" s="118">
        <f t="shared" si="21"/>
        <v>-4294.5</v>
      </c>
      <c r="Z290" s="116">
        <v>48706.3</v>
      </c>
      <c r="AA290" s="116">
        <v>44885.9</v>
      </c>
      <c r="AB290" s="189">
        <f t="shared" si="22"/>
        <v>0.9215625083408101</v>
      </c>
      <c r="AC290" s="190">
        <f t="shared" si="23"/>
        <v>-3820.4000000000015</v>
      </c>
      <c r="AD290" s="116">
        <v>2738.2</v>
      </c>
      <c r="AE290" s="191">
        <v>272</v>
      </c>
      <c r="AF290" s="117">
        <f t="shared" si="28"/>
        <v>0.09933532977868674</v>
      </c>
      <c r="AG290" s="118">
        <f t="shared" si="29"/>
        <v>-2466.2</v>
      </c>
      <c r="AH290" s="122"/>
      <c r="AI290" s="122"/>
    </row>
    <row r="291" spans="1:35" s="121" customFormat="1" ht="12" hidden="1">
      <c r="A291" s="85" t="s">
        <v>535</v>
      </c>
      <c r="B291" s="137" t="s">
        <v>406</v>
      </c>
      <c r="C291" s="115" t="s">
        <v>407</v>
      </c>
      <c r="D291" s="188">
        <f t="shared" si="11"/>
        <v>33527.1</v>
      </c>
      <c r="E291" s="188">
        <f t="shared" si="12"/>
        <v>14452.3</v>
      </c>
      <c r="F291" s="117">
        <f t="shared" si="13"/>
        <v>0.4310632294472233</v>
      </c>
      <c r="G291" s="116">
        <f t="shared" si="14"/>
        <v>-19074.8</v>
      </c>
      <c r="H291" s="91"/>
      <c r="I291" s="91"/>
      <c r="J291" s="91"/>
      <c r="K291" s="91">
        <f t="shared" si="27"/>
        <v>0</v>
      </c>
      <c r="L291" s="91"/>
      <c r="N291" s="188">
        <f t="shared" si="26"/>
        <v>33527.1</v>
      </c>
      <c r="O291" s="188">
        <f t="shared" si="26"/>
        <v>14452.3</v>
      </c>
      <c r="P291" s="189">
        <f t="shared" si="16"/>
        <v>0.4310632294472233</v>
      </c>
      <c r="Q291" s="190">
        <f t="shared" si="17"/>
        <v>-19074.8</v>
      </c>
      <c r="R291" s="188">
        <v>13403.6</v>
      </c>
      <c r="S291" s="188">
        <v>13301.3</v>
      </c>
      <c r="T291" s="189">
        <f t="shared" si="18"/>
        <v>0.9923677221045092</v>
      </c>
      <c r="U291" s="190">
        <f t="shared" si="19"/>
        <v>-102.30000000000109</v>
      </c>
      <c r="V291" s="116">
        <v>7770</v>
      </c>
      <c r="W291" s="116">
        <v>0</v>
      </c>
      <c r="X291" s="117">
        <f t="shared" si="20"/>
        <v>0</v>
      </c>
      <c r="Y291" s="118">
        <f t="shared" si="21"/>
        <v>-7770</v>
      </c>
      <c r="Z291" s="116">
        <v>4600.9</v>
      </c>
      <c r="AA291" s="116">
        <v>142.9</v>
      </c>
      <c r="AB291" s="189">
        <f t="shared" si="22"/>
        <v>0.031059140602925518</v>
      </c>
      <c r="AC291" s="190">
        <f t="shared" si="23"/>
        <v>-4458</v>
      </c>
      <c r="AD291" s="116">
        <v>7752.6</v>
      </c>
      <c r="AE291" s="116">
        <v>1008.1</v>
      </c>
      <c r="AF291" s="117">
        <f t="shared" si="28"/>
        <v>0.13003379511389726</v>
      </c>
      <c r="AG291" s="118">
        <f t="shared" si="29"/>
        <v>-6744.5</v>
      </c>
      <c r="AH291" s="122"/>
      <c r="AI291" s="122"/>
    </row>
    <row r="292" spans="1:35" s="121" customFormat="1" ht="12" hidden="1">
      <c r="A292" s="85" t="s">
        <v>535</v>
      </c>
      <c r="B292" s="137" t="s">
        <v>232</v>
      </c>
      <c r="C292" s="115" t="s">
        <v>233</v>
      </c>
      <c r="D292" s="188">
        <f t="shared" si="11"/>
        <v>59383.7</v>
      </c>
      <c r="E292" s="188">
        <f t="shared" si="12"/>
        <v>48568.9</v>
      </c>
      <c r="F292" s="117">
        <f t="shared" si="13"/>
        <v>0.8178826849792116</v>
      </c>
      <c r="G292" s="116">
        <f t="shared" si="14"/>
        <v>-10814.799999999996</v>
      </c>
      <c r="H292" s="91"/>
      <c r="I292" s="91"/>
      <c r="J292" s="91"/>
      <c r="K292" s="91">
        <f t="shared" si="27"/>
        <v>0</v>
      </c>
      <c r="L292" s="91"/>
      <c r="N292" s="188">
        <f t="shared" si="26"/>
        <v>59383.7</v>
      </c>
      <c r="O292" s="188">
        <f t="shared" si="26"/>
        <v>48568.9</v>
      </c>
      <c r="P292" s="189">
        <f t="shared" si="16"/>
        <v>0.8178826849792116</v>
      </c>
      <c r="Q292" s="190">
        <f t="shared" si="17"/>
        <v>-10814.799999999996</v>
      </c>
      <c r="R292" s="188">
        <v>50481.7</v>
      </c>
      <c r="S292" s="188">
        <v>42941.8</v>
      </c>
      <c r="T292" s="189">
        <f t="shared" si="18"/>
        <v>0.850640925325415</v>
      </c>
      <c r="U292" s="190">
        <f t="shared" si="19"/>
        <v>-7539.899999999994</v>
      </c>
      <c r="V292" s="116">
        <v>5992.4</v>
      </c>
      <c r="W292" s="116">
        <v>3131.4</v>
      </c>
      <c r="X292" s="117">
        <f t="shared" si="20"/>
        <v>0.5225619117548895</v>
      </c>
      <c r="Y292" s="118">
        <f t="shared" si="21"/>
        <v>-2860.9999999999995</v>
      </c>
      <c r="Z292" s="116">
        <v>1644.2</v>
      </c>
      <c r="AA292" s="116">
        <v>1448.2</v>
      </c>
      <c r="AB292" s="189">
        <f t="shared" si="22"/>
        <v>0.8807930908648582</v>
      </c>
      <c r="AC292" s="190">
        <f t="shared" si="23"/>
        <v>-196</v>
      </c>
      <c r="AD292" s="116">
        <v>1265.4</v>
      </c>
      <c r="AE292" s="116">
        <v>1047.5</v>
      </c>
      <c r="AF292" s="117">
        <f t="shared" si="28"/>
        <v>0.8278014856962225</v>
      </c>
      <c r="AG292" s="118">
        <f t="shared" si="29"/>
        <v>-217.9000000000001</v>
      </c>
      <c r="AH292" s="122"/>
      <c r="AI292" s="122"/>
    </row>
    <row r="293" spans="1:35" s="121" customFormat="1" ht="36" hidden="1">
      <c r="A293" s="85" t="s">
        <v>535</v>
      </c>
      <c r="B293" s="137" t="s">
        <v>956</v>
      </c>
      <c r="C293" s="115" t="s">
        <v>957</v>
      </c>
      <c r="D293" s="188">
        <f t="shared" si="11"/>
        <v>9440.4</v>
      </c>
      <c r="E293" s="188">
        <f t="shared" si="12"/>
        <v>9248.9</v>
      </c>
      <c r="F293" s="117">
        <f t="shared" si="13"/>
        <v>0.9797148425914156</v>
      </c>
      <c r="G293" s="116">
        <f t="shared" si="14"/>
        <v>-191.5</v>
      </c>
      <c r="H293" s="91"/>
      <c r="I293" s="91"/>
      <c r="J293" s="91"/>
      <c r="K293" s="91">
        <f t="shared" si="27"/>
        <v>0</v>
      </c>
      <c r="L293" s="91"/>
      <c r="N293" s="188">
        <f t="shared" si="26"/>
        <v>9440.4</v>
      </c>
      <c r="O293" s="188">
        <f t="shared" si="26"/>
        <v>9248.9</v>
      </c>
      <c r="P293" s="189">
        <f t="shared" si="16"/>
        <v>0.9797148425914156</v>
      </c>
      <c r="Q293" s="190">
        <f t="shared" si="17"/>
        <v>-191.5</v>
      </c>
      <c r="R293" s="191">
        <v>9440.4</v>
      </c>
      <c r="S293" s="191">
        <v>9248.9</v>
      </c>
      <c r="T293" s="189">
        <f t="shared" si="18"/>
        <v>0.9797148425914156</v>
      </c>
      <c r="U293" s="190">
        <f t="shared" si="19"/>
        <v>-191.5</v>
      </c>
      <c r="V293" s="116">
        <v>0</v>
      </c>
      <c r="W293" s="116">
        <v>0</v>
      </c>
      <c r="X293" s="117" t="e">
        <f t="shared" si="20"/>
        <v>#DIV/0!</v>
      </c>
      <c r="Y293" s="118">
        <f t="shared" si="21"/>
        <v>0</v>
      </c>
      <c r="Z293" s="116"/>
      <c r="AA293" s="116"/>
      <c r="AB293" s="189" t="e">
        <f t="shared" si="22"/>
        <v>#DIV/0!</v>
      </c>
      <c r="AC293" s="190">
        <f t="shared" si="23"/>
        <v>0</v>
      </c>
      <c r="AD293" s="116"/>
      <c r="AE293" s="116"/>
      <c r="AF293" s="117" t="e">
        <f t="shared" si="28"/>
        <v>#DIV/0!</v>
      </c>
      <c r="AG293" s="118">
        <f t="shared" si="29"/>
        <v>0</v>
      </c>
      <c r="AH293" s="122"/>
      <c r="AI293" s="122"/>
    </row>
    <row r="294" spans="1:35" s="156" customFormat="1" ht="12" hidden="1">
      <c r="A294" s="85" t="s">
        <v>535</v>
      </c>
      <c r="B294" s="151" t="s">
        <v>93</v>
      </c>
      <c r="C294" s="152" t="s">
        <v>366</v>
      </c>
      <c r="D294" s="88">
        <f t="shared" si="11"/>
        <v>0</v>
      </c>
      <c r="E294" s="88">
        <f t="shared" si="12"/>
        <v>0</v>
      </c>
      <c r="F294" s="154" t="e">
        <f t="shared" si="13"/>
        <v>#DIV/0!</v>
      </c>
      <c r="G294" s="153">
        <f t="shared" si="14"/>
        <v>0</v>
      </c>
      <c r="H294" s="91"/>
      <c r="I294" s="91"/>
      <c r="J294" s="91"/>
      <c r="K294" s="91">
        <f t="shared" si="27"/>
        <v>0</v>
      </c>
      <c r="L294" s="91"/>
      <c r="N294" s="88">
        <f t="shared" si="26"/>
        <v>0</v>
      </c>
      <c r="O294" s="88">
        <f t="shared" si="26"/>
        <v>0</v>
      </c>
      <c r="P294" s="154" t="e">
        <f t="shared" si="16"/>
        <v>#DIV/0!</v>
      </c>
      <c r="Q294" s="153">
        <f t="shared" si="17"/>
        <v>0</v>
      </c>
      <c r="R294" s="153">
        <f>SUM(R295)</f>
        <v>0</v>
      </c>
      <c r="S294" s="153">
        <f>SUM(S295)</f>
        <v>0</v>
      </c>
      <c r="T294" s="154" t="e">
        <f t="shared" si="18"/>
        <v>#DIV/0!</v>
      </c>
      <c r="U294" s="153">
        <f t="shared" si="19"/>
        <v>0</v>
      </c>
      <c r="V294" s="153">
        <f>SUM(V295)</f>
        <v>0</v>
      </c>
      <c r="W294" s="153">
        <f>SUM(W295)</f>
        <v>0</v>
      </c>
      <c r="X294" s="154" t="e">
        <f t="shared" si="20"/>
        <v>#DIV/0!</v>
      </c>
      <c r="Y294" s="155">
        <f t="shared" si="21"/>
        <v>0</v>
      </c>
      <c r="Z294" s="153"/>
      <c r="AA294" s="153"/>
      <c r="AB294" s="89" t="e">
        <f t="shared" si="22"/>
        <v>#DIV/0!</v>
      </c>
      <c r="AC294" s="90">
        <f t="shared" si="23"/>
        <v>0</v>
      </c>
      <c r="AD294" s="153"/>
      <c r="AE294" s="153"/>
      <c r="AF294" s="154" t="e">
        <f t="shared" si="28"/>
        <v>#DIV/0!</v>
      </c>
      <c r="AG294" s="155">
        <f t="shared" si="29"/>
        <v>0</v>
      </c>
      <c r="AH294" s="157"/>
      <c r="AI294" s="157"/>
    </row>
    <row r="295" spans="1:35" s="121" customFormat="1" ht="36" hidden="1">
      <c r="A295" s="85" t="s">
        <v>535</v>
      </c>
      <c r="B295" s="137" t="s">
        <v>95</v>
      </c>
      <c r="C295" s="115" t="s">
        <v>96</v>
      </c>
      <c r="D295" s="188">
        <f t="shared" si="11"/>
        <v>0</v>
      </c>
      <c r="E295" s="188">
        <f t="shared" si="12"/>
        <v>0</v>
      </c>
      <c r="F295" s="117" t="e">
        <f t="shared" si="13"/>
        <v>#DIV/0!</v>
      </c>
      <c r="G295" s="116">
        <f t="shared" si="14"/>
        <v>0</v>
      </c>
      <c r="H295" s="91"/>
      <c r="I295" s="91"/>
      <c r="J295" s="91"/>
      <c r="K295" s="91">
        <f t="shared" si="27"/>
        <v>0</v>
      </c>
      <c r="L295" s="91"/>
      <c r="N295" s="188">
        <f t="shared" si="26"/>
        <v>0</v>
      </c>
      <c r="O295" s="188">
        <f t="shared" si="26"/>
        <v>0</v>
      </c>
      <c r="P295" s="189" t="e">
        <f t="shared" si="16"/>
        <v>#DIV/0!</v>
      </c>
      <c r="Q295" s="190">
        <f t="shared" si="17"/>
        <v>0</v>
      </c>
      <c r="R295" s="188"/>
      <c r="S295" s="192"/>
      <c r="T295" s="189" t="e">
        <f t="shared" si="18"/>
        <v>#DIV/0!</v>
      </c>
      <c r="U295" s="190">
        <f t="shared" si="19"/>
        <v>0</v>
      </c>
      <c r="V295" s="116"/>
      <c r="W295" s="116"/>
      <c r="X295" s="117" t="e">
        <f t="shared" si="20"/>
        <v>#DIV/0!</v>
      </c>
      <c r="Y295" s="118">
        <f t="shared" si="21"/>
        <v>0</v>
      </c>
      <c r="Z295" s="116"/>
      <c r="AA295" s="116"/>
      <c r="AB295" s="189" t="e">
        <f t="shared" si="22"/>
        <v>#DIV/0!</v>
      </c>
      <c r="AC295" s="190">
        <f t="shared" si="23"/>
        <v>0</v>
      </c>
      <c r="AD295" s="116"/>
      <c r="AE295" s="116"/>
      <c r="AF295" s="117" t="e">
        <f t="shared" si="28"/>
        <v>#DIV/0!</v>
      </c>
      <c r="AG295" s="118">
        <f t="shared" si="29"/>
        <v>0</v>
      </c>
      <c r="AH295" s="122"/>
      <c r="AI295" s="122"/>
    </row>
    <row r="296" spans="1:35" s="156" customFormat="1" ht="12" hidden="1">
      <c r="A296" s="85" t="s">
        <v>535</v>
      </c>
      <c r="B296" s="151" t="s">
        <v>97</v>
      </c>
      <c r="C296" s="152" t="s">
        <v>958</v>
      </c>
      <c r="D296" s="88">
        <f t="shared" si="11"/>
        <v>5172.1</v>
      </c>
      <c r="E296" s="88">
        <f t="shared" si="12"/>
        <v>5062.3</v>
      </c>
      <c r="F296" s="154">
        <f t="shared" si="13"/>
        <v>0.9787707120898668</v>
      </c>
      <c r="G296" s="153">
        <f t="shared" si="14"/>
        <v>-109.80000000000018</v>
      </c>
      <c r="H296" s="91"/>
      <c r="I296" s="91"/>
      <c r="J296" s="91"/>
      <c r="K296" s="91">
        <f t="shared" si="27"/>
        <v>0</v>
      </c>
      <c r="L296" s="91"/>
      <c r="N296" s="88">
        <f t="shared" si="26"/>
        <v>5172.1</v>
      </c>
      <c r="O296" s="88">
        <f t="shared" si="26"/>
        <v>5062.3</v>
      </c>
      <c r="P296" s="154">
        <f t="shared" si="16"/>
        <v>0.9787707120898668</v>
      </c>
      <c r="Q296" s="153">
        <f t="shared" si="17"/>
        <v>-109.80000000000018</v>
      </c>
      <c r="R296" s="153">
        <f>SUM(R299:R300)</f>
        <v>5172.1</v>
      </c>
      <c r="S296" s="153">
        <f>SUM(S299:S300)</f>
        <v>5062.3</v>
      </c>
      <c r="T296" s="154">
        <f t="shared" si="18"/>
        <v>0.9787707120898668</v>
      </c>
      <c r="U296" s="153">
        <f t="shared" si="19"/>
        <v>-109.80000000000018</v>
      </c>
      <c r="V296" s="153">
        <f>SUM(V299:V300)</f>
        <v>0</v>
      </c>
      <c r="W296" s="153">
        <f>SUM(W299:W300)</f>
        <v>0</v>
      </c>
      <c r="X296" s="154" t="e">
        <f t="shared" si="20"/>
        <v>#DIV/0!</v>
      </c>
      <c r="Y296" s="155">
        <f t="shared" si="21"/>
        <v>0</v>
      </c>
      <c r="Z296" s="153"/>
      <c r="AA296" s="153"/>
      <c r="AB296" s="89" t="e">
        <f t="shared" si="22"/>
        <v>#DIV/0!</v>
      </c>
      <c r="AC296" s="90">
        <f t="shared" si="23"/>
        <v>0</v>
      </c>
      <c r="AD296" s="153"/>
      <c r="AE296" s="153"/>
      <c r="AF296" s="154" t="e">
        <f t="shared" si="28"/>
        <v>#DIV/0!</v>
      </c>
      <c r="AG296" s="155">
        <f t="shared" si="29"/>
        <v>0</v>
      </c>
      <c r="AH296" s="157">
        <f>SUM(R296,V296,Z296,AD296)</f>
        <v>5172.1</v>
      </c>
      <c r="AI296" s="157">
        <f>SUM(S296,W296,AA296,AE296)</f>
        <v>5062.3</v>
      </c>
    </row>
    <row r="297" spans="1:35" s="121" customFormat="1" ht="12" hidden="1">
      <c r="A297" s="85" t="s">
        <v>535</v>
      </c>
      <c r="B297" s="137" t="s">
        <v>99</v>
      </c>
      <c r="C297" s="115" t="s">
        <v>100</v>
      </c>
      <c r="D297" s="188">
        <f t="shared" si="11"/>
        <v>0</v>
      </c>
      <c r="E297" s="188">
        <f t="shared" si="12"/>
        <v>0</v>
      </c>
      <c r="F297" s="117" t="e">
        <f t="shared" si="13"/>
        <v>#DIV/0!</v>
      </c>
      <c r="G297" s="116">
        <f t="shared" si="14"/>
        <v>0</v>
      </c>
      <c r="H297" s="91"/>
      <c r="I297" s="91"/>
      <c r="J297" s="91"/>
      <c r="K297" s="91">
        <f t="shared" si="27"/>
        <v>0</v>
      </c>
      <c r="L297" s="91"/>
      <c r="N297" s="188">
        <f t="shared" si="26"/>
        <v>0</v>
      </c>
      <c r="O297" s="188">
        <f t="shared" si="26"/>
        <v>0</v>
      </c>
      <c r="P297" s="189" t="e">
        <f t="shared" si="16"/>
        <v>#DIV/0!</v>
      </c>
      <c r="Q297" s="190">
        <f t="shared" si="17"/>
        <v>0</v>
      </c>
      <c r="R297" s="116"/>
      <c r="S297" s="116"/>
      <c r="T297" s="189" t="e">
        <f t="shared" si="18"/>
        <v>#DIV/0!</v>
      </c>
      <c r="U297" s="190">
        <f t="shared" si="19"/>
        <v>0</v>
      </c>
      <c r="V297" s="116"/>
      <c r="W297" s="116"/>
      <c r="X297" s="117" t="e">
        <f t="shared" si="20"/>
        <v>#DIV/0!</v>
      </c>
      <c r="Y297" s="118">
        <f t="shared" si="21"/>
        <v>0</v>
      </c>
      <c r="Z297" s="116"/>
      <c r="AA297" s="116"/>
      <c r="AB297" s="189" t="e">
        <f t="shared" si="22"/>
        <v>#DIV/0!</v>
      </c>
      <c r="AC297" s="190">
        <f t="shared" si="23"/>
        <v>0</v>
      </c>
      <c r="AD297" s="116"/>
      <c r="AE297" s="116"/>
      <c r="AF297" s="117" t="e">
        <f t="shared" si="28"/>
        <v>#DIV/0!</v>
      </c>
      <c r="AG297" s="118">
        <f t="shared" si="29"/>
        <v>0</v>
      </c>
      <c r="AH297" s="122"/>
      <c r="AI297" s="122"/>
    </row>
    <row r="298" spans="1:35" s="121" customFormat="1" ht="12" hidden="1">
      <c r="A298" s="85" t="s">
        <v>535</v>
      </c>
      <c r="B298" s="137" t="s">
        <v>101</v>
      </c>
      <c r="C298" s="115" t="s">
        <v>102</v>
      </c>
      <c r="D298" s="188">
        <f t="shared" si="11"/>
        <v>0</v>
      </c>
      <c r="E298" s="188">
        <f t="shared" si="12"/>
        <v>0</v>
      </c>
      <c r="F298" s="117" t="e">
        <f t="shared" si="13"/>
        <v>#DIV/0!</v>
      </c>
      <c r="G298" s="116">
        <f t="shared" si="14"/>
        <v>0</v>
      </c>
      <c r="H298" s="91"/>
      <c r="I298" s="91"/>
      <c r="J298" s="91"/>
      <c r="K298" s="91">
        <f t="shared" si="27"/>
        <v>0</v>
      </c>
      <c r="L298" s="91"/>
      <c r="N298" s="188">
        <f t="shared" si="26"/>
        <v>0</v>
      </c>
      <c r="O298" s="188">
        <f t="shared" si="26"/>
        <v>0</v>
      </c>
      <c r="P298" s="189" t="e">
        <f t="shared" si="16"/>
        <v>#DIV/0!</v>
      </c>
      <c r="Q298" s="190">
        <f t="shared" si="17"/>
        <v>0</v>
      </c>
      <c r="R298" s="116"/>
      <c r="S298" s="116"/>
      <c r="T298" s="189" t="e">
        <f t="shared" si="18"/>
        <v>#DIV/0!</v>
      </c>
      <c r="U298" s="190">
        <f t="shared" si="19"/>
        <v>0</v>
      </c>
      <c r="V298" s="116"/>
      <c r="W298" s="116"/>
      <c r="X298" s="117" t="e">
        <f t="shared" si="20"/>
        <v>#DIV/0!</v>
      </c>
      <c r="Y298" s="118">
        <f t="shared" si="21"/>
        <v>0</v>
      </c>
      <c r="Z298" s="116"/>
      <c r="AA298" s="116"/>
      <c r="AB298" s="189" t="e">
        <f t="shared" si="22"/>
        <v>#DIV/0!</v>
      </c>
      <c r="AC298" s="190">
        <f t="shared" si="23"/>
        <v>0</v>
      </c>
      <c r="AD298" s="116"/>
      <c r="AE298" s="116"/>
      <c r="AF298" s="117" t="e">
        <f t="shared" si="28"/>
        <v>#DIV/0!</v>
      </c>
      <c r="AG298" s="118">
        <f t="shared" si="29"/>
        <v>0</v>
      </c>
      <c r="AH298" s="122"/>
      <c r="AI298" s="122"/>
    </row>
    <row r="299" spans="1:35" s="121" customFormat="1" ht="24" hidden="1">
      <c r="A299" s="85" t="s">
        <v>535</v>
      </c>
      <c r="B299" s="137" t="s">
        <v>105</v>
      </c>
      <c r="C299" s="115" t="s">
        <v>106</v>
      </c>
      <c r="D299" s="188">
        <f t="shared" si="11"/>
        <v>4219.6</v>
      </c>
      <c r="E299" s="188">
        <f t="shared" si="12"/>
        <v>4120.5</v>
      </c>
      <c r="F299" s="117">
        <f t="shared" si="13"/>
        <v>0.9765143615508578</v>
      </c>
      <c r="G299" s="116">
        <f t="shared" si="14"/>
        <v>-99.10000000000036</v>
      </c>
      <c r="H299" s="91"/>
      <c r="I299" s="91"/>
      <c r="J299" s="91"/>
      <c r="K299" s="91">
        <f t="shared" si="27"/>
        <v>0</v>
      </c>
      <c r="L299" s="91"/>
      <c r="N299" s="188">
        <f t="shared" si="26"/>
        <v>4219.6</v>
      </c>
      <c r="O299" s="188">
        <f t="shared" si="26"/>
        <v>4120.5</v>
      </c>
      <c r="P299" s="189">
        <f t="shared" si="16"/>
        <v>0.9765143615508578</v>
      </c>
      <c r="Q299" s="190">
        <f t="shared" si="17"/>
        <v>-99.10000000000036</v>
      </c>
      <c r="R299" s="188">
        <v>4219.6</v>
      </c>
      <c r="S299" s="188">
        <v>4120.5</v>
      </c>
      <c r="T299" s="189">
        <f t="shared" si="18"/>
        <v>0.9765143615508578</v>
      </c>
      <c r="U299" s="190">
        <f t="shared" si="19"/>
        <v>-99.10000000000036</v>
      </c>
      <c r="V299" s="116"/>
      <c r="W299" s="116"/>
      <c r="X299" s="117" t="e">
        <f t="shared" si="20"/>
        <v>#DIV/0!</v>
      </c>
      <c r="Y299" s="118">
        <f t="shared" si="21"/>
        <v>0</v>
      </c>
      <c r="Z299" s="116"/>
      <c r="AA299" s="116"/>
      <c r="AB299" s="189" t="e">
        <f t="shared" si="22"/>
        <v>#DIV/0!</v>
      </c>
      <c r="AC299" s="190">
        <f t="shared" si="23"/>
        <v>0</v>
      </c>
      <c r="AD299" s="116"/>
      <c r="AE299" s="116"/>
      <c r="AF299" s="117" t="e">
        <f t="shared" si="28"/>
        <v>#DIV/0!</v>
      </c>
      <c r="AG299" s="118">
        <f t="shared" si="29"/>
        <v>0</v>
      </c>
      <c r="AH299" s="122"/>
      <c r="AI299" s="122"/>
    </row>
    <row r="300" spans="1:35" s="121" customFormat="1" ht="24" hidden="1">
      <c r="A300" s="85" t="s">
        <v>535</v>
      </c>
      <c r="B300" s="137" t="s">
        <v>109</v>
      </c>
      <c r="C300" s="115" t="s">
        <v>110</v>
      </c>
      <c r="D300" s="188">
        <f t="shared" si="11"/>
        <v>952.5</v>
      </c>
      <c r="E300" s="188">
        <f t="shared" si="12"/>
        <v>941.8</v>
      </c>
      <c r="F300" s="117">
        <f t="shared" si="13"/>
        <v>0.988766404199475</v>
      </c>
      <c r="G300" s="116">
        <f t="shared" si="14"/>
        <v>-10.700000000000045</v>
      </c>
      <c r="H300" s="91"/>
      <c r="I300" s="91"/>
      <c r="J300" s="91"/>
      <c r="K300" s="91">
        <f t="shared" si="27"/>
        <v>0</v>
      </c>
      <c r="L300" s="91"/>
      <c r="N300" s="188">
        <f t="shared" si="26"/>
        <v>952.5</v>
      </c>
      <c r="O300" s="188">
        <f t="shared" si="26"/>
        <v>941.8</v>
      </c>
      <c r="P300" s="189">
        <f t="shared" si="16"/>
        <v>0.988766404199475</v>
      </c>
      <c r="Q300" s="190">
        <f t="shared" si="17"/>
        <v>-10.700000000000045</v>
      </c>
      <c r="R300" s="188">
        <v>952.5</v>
      </c>
      <c r="S300" s="188">
        <v>941.8</v>
      </c>
      <c r="T300" s="189">
        <f t="shared" si="18"/>
        <v>0.988766404199475</v>
      </c>
      <c r="U300" s="190">
        <f t="shared" si="19"/>
        <v>-10.700000000000045</v>
      </c>
      <c r="V300" s="116"/>
      <c r="W300" s="116"/>
      <c r="X300" s="117" t="e">
        <f t="shared" si="20"/>
        <v>#DIV/0!</v>
      </c>
      <c r="Y300" s="118">
        <f t="shared" si="21"/>
        <v>0</v>
      </c>
      <c r="Z300" s="116"/>
      <c r="AA300" s="116"/>
      <c r="AB300" s="189" t="e">
        <f t="shared" si="22"/>
        <v>#DIV/0!</v>
      </c>
      <c r="AC300" s="190">
        <f t="shared" si="23"/>
        <v>0</v>
      </c>
      <c r="AD300" s="116"/>
      <c r="AE300" s="116"/>
      <c r="AF300" s="117" t="e">
        <f t="shared" si="28"/>
        <v>#DIV/0!</v>
      </c>
      <c r="AG300" s="118">
        <f t="shared" si="29"/>
        <v>0</v>
      </c>
      <c r="AH300" s="122"/>
      <c r="AI300" s="122"/>
    </row>
    <row r="301" spans="1:35" s="156" customFormat="1" ht="36" hidden="1">
      <c r="A301" s="85" t="s">
        <v>535</v>
      </c>
      <c r="B301" s="151" t="s">
        <v>111</v>
      </c>
      <c r="C301" s="152" t="s">
        <v>959</v>
      </c>
      <c r="D301" s="88">
        <f t="shared" si="11"/>
        <v>36080.3</v>
      </c>
      <c r="E301" s="88">
        <f t="shared" si="12"/>
        <v>33719.9</v>
      </c>
      <c r="F301" s="154">
        <f t="shared" si="13"/>
        <v>0.9345792579329995</v>
      </c>
      <c r="G301" s="153">
        <f t="shared" si="14"/>
        <v>-2360.4000000000015</v>
      </c>
      <c r="H301" s="91"/>
      <c r="I301" s="91"/>
      <c r="J301" s="91"/>
      <c r="K301" s="91">
        <f t="shared" si="27"/>
        <v>0</v>
      </c>
      <c r="L301" s="91"/>
      <c r="N301" s="88">
        <f t="shared" si="26"/>
        <v>36080.3</v>
      </c>
      <c r="O301" s="88">
        <f t="shared" si="26"/>
        <v>33719.9</v>
      </c>
      <c r="P301" s="154">
        <f t="shared" si="16"/>
        <v>0.9345792579329995</v>
      </c>
      <c r="Q301" s="153">
        <f t="shared" si="17"/>
        <v>-2360.4000000000015</v>
      </c>
      <c r="R301" s="153">
        <f>SUM(R302)</f>
        <v>18750.7</v>
      </c>
      <c r="S301" s="153">
        <f>SUM(S302)</f>
        <v>17850.3</v>
      </c>
      <c r="T301" s="154">
        <f t="shared" si="18"/>
        <v>0.9519804593961825</v>
      </c>
      <c r="U301" s="153">
        <f t="shared" si="19"/>
        <v>-900.4000000000015</v>
      </c>
      <c r="V301" s="153">
        <f>SUM(V302)</f>
        <v>8470.9</v>
      </c>
      <c r="W301" s="153">
        <f>SUM(W302)</f>
        <v>7354.5</v>
      </c>
      <c r="X301" s="154">
        <f t="shared" si="20"/>
        <v>0.8682076284692299</v>
      </c>
      <c r="Y301" s="155">
        <f t="shared" si="21"/>
        <v>-1116.3999999999996</v>
      </c>
      <c r="Z301" s="153">
        <f>SUM(Z302)</f>
        <v>7637.8</v>
      </c>
      <c r="AA301" s="153">
        <f>SUM(AA302)</f>
        <v>7309.8</v>
      </c>
      <c r="AB301" s="154">
        <f t="shared" si="22"/>
        <v>0.9570556966665794</v>
      </c>
      <c r="AC301" s="155">
        <f t="shared" si="23"/>
        <v>-328</v>
      </c>
      <c r="AD301" s="153">
        <f>SUM(AD302)</f>
        <v>1220.9</v>
      </c>
      <c r="AE301" s="153">
        <f>SUM(AE302)</f>
        <v>1205.3</v>
      </c>
      <c r="AF301" s="154">
        <f t="shared" si="28"/>
        <v>0.9872225407486279</v>
      </c>
      <c r="AG301" s="155">
        <f t="shared" si="29"/>
        <v>-15.600000000000136</v>
      </c>
      <c r="AH301" s="157">
        <f>SUM(R301,V301,Z301,AD301)</f>
        <v>36080.3</v>
      </c>
      <c r="AI301" s="157">
        <f>SUM(S301,W301,AA301,AE301)</f>
        <v>33719.9</v>
      </c>
    </row>
    <row r="302" spans="1:35" s="121" customFormat="1" ht="12" hidden="1">
      <c r="A302" s="85" t="s">
        <v>535</v>
      </c>
      <c r="B302" s="137" t="s">
        <v>112</v>
      </c>
      <c r="C302" s="115" t="s">
        <v>113</v>
      </c>
      <c r="D302" s="188">
        <f t="shared" si="11"/>
        <v>36080.3</v>
      </c>
      <c r="E302" s="188">
        <f t="shared" si="12"/>
        <v>33719.9</v>
      </c>
      <c r="F302" s="117">
        <f t="shared" si="13"/>
        <v>0.9345792579329995</v>
      </c>
      <c r="G302" s="116">
        <f t="shared" si="14"/>
        <v>-2360.4000000000015</v>
      </c>
      <c r="H302" s="91"/>
      <c r="I302" s="91"/>
      <c r="J302" s="91"/>
      <c r="K302" s="91">
        <f t="shared" si="27"/>
        <v>0</v>
      </c>
      <c r="L302" s="91"/>
      <c r="N302" s="188">
        <f t="shared" si="26"/>
        <v>36080.3</v>
      </c>
      <c r="O302" s="188">
        <f t="shared" si="26"/>
        <v>33719.9</v>
      </c>
      <c r="P302" s="189">
        <f t="shared" si="16"/>
        <v>0.9345792579329995</v>
      </c>
      <c r="Q302" s="190">
        <f t="shared" si="17"/>
        <v>-2360.4000000000015</v>
      </c>
      <c r="R302" s="188">
        <v>18750.7</v>
      </c>
      <c r="S302" s="188">
        <v>17850.3</v>
      </c>
      <c r="T302" s="189">
        <f t="shared" si="18"/>
        <v>0.9519804593961825</v>
      </c>
      <c r="U302" s="190">
        <f t="shared" si="19"/>
        <v>-900.4000000000015</v>
      </c>
      <c r="V302" s="116">
        <v>8470.9</v>
      </c>
      <c r="W302" s="116">
        <v>7354.5</v>
      </c>
      <c r="X302" s="117">
        <f t="shared" si="20"/>
        <v>0.8682076284692299</v>
      </c>
      <c r="Y302" s="118">
        <f t="shared" si="21"/>
        <v>-1116.3999999999996</v>
      </c>
      <c r="Z302" s="116">
        <v>7637.8</v>
      </c>
      <c r="AA302" s="116">
        <v>7309.8</v>
      </c>
      <c r="AB302" s="189">
        <f t="shared" si="22"/>
        <v>0.9570556966665794</v>
      </c>
      <c r="AC302" s="190">
        <f t="shared" si="23"/>
        <v>-328</v>
      </c>
      <c r="AD302" s="116">
        <v>1220.9</v>
      </c>
      <c r="AE302" s="116">
        <v>1205.3</v>
      </c>
      <c r="AF302" s="117">
        <f t="shared" si="28"/>
        <v>0.9872225407486279</v>
      </c>
      <c r="AG302" s="118">
        <f t="shared" si="29"/>
        <v>-15.600000000000136</v>
      </c>
      <c r="AH302" s="122"/>
      <c r="AI302" s="122"/>
    </row>
    <row r="303" spans="1:35" s="121" customFormat="1" ht="36" hidden="1">
      <c r="A303" s="85" t="s">
        <v>535</v>
      </c>
      <c r="B303" s="137" t="s">
        <v>960</v>
      </c>
      <c r="C303" s="115" t="s">
        <v>961</v>
      </c>
      <c r="D303" s="188">
        <f t="shared" si="11"/>
        <v>0</v>
      </c>
      <c r="E303" s="188">
        <f t="shared" si="12"/>
        <v>0</v>
      </c>
      <c r="F303" s="117" t="e">
        <f t="shared" si="13"/>
        <v>#DIV/0!</v>
      </c>
      <c r="G303" s="116">
        <f t="shared" si="14"/>
        <v>0</v>
      </c>
      <c r="H303" s="91"/>
      <c r="I303" s="91"/>
      <c r="J303" s="91"/>
      <c r="K303" s="91">
        <f t="shared" si="27"/>
        <v>0</v>
      </c>
      <c r="L303" s="91"/>
      <c r="N303" s="188">
        <f t="shared" si="26"/>
        <v>0</v>
      </c>
      <c r="O303" s="188">
        <f t="shared" si="26"/>
        <v>0</v>
      </c>
      <c r="P303" s="189" t="e">
        <f t="shared" si="16"/>
        <v>#DIV/0!</v>
      </c>
      <c r="Q303" s="190">
        <f t="shared" si="17"/>
        <v>0</v>
      </c>
      <c r="R303" s="188"/>
      <c r="S303" s="188"/>
      <c r="T303" s="189" t="e">
        <f t="shared" si="18"/>
        <v>#DIV/0!</v>
      </c>
      <c r="U303" s="190">
        <f t="shared" si="19"/>
        <v>0</v>
      </c>
      <c r="V303" s="116"/>
      <c r="W303" s="116"/>
      <c r="X303" s="117" t="e">
        <f t="shared" si="20"/>
        <v>#DIV/0!</v>
      </c>
      <c r="Y303" s="118">
        <f t="shared" si="21"/>
        <v>0</v>
      </c>
      <c r="Z303" s="116"/>
      <c r="AA303" s="116"/>
      <c r="AB303" s="189" t="e">
        <f t="shared" si="22"/>
        <v>#DIV/0!</v>
      </c>
      <c r="AC303" s="190">
        <f t="shared" si="23"/>
        <v>0</v>
      </c>
      <c r="AD303" s="116"/>
      <c r="AE303" s="116"/>
      <c r="AF303" s="117" t="e">
        <f t="shared" si="28"/>
        <v>#DIV/0!</v>
      </c>
      <c r="AG303" s="118">
        <f t="shared" si="29"/>
        <v>0</v>
      </c>
      <c r="AH303" s="122"/>
      <c r="AI303" s="122"/>
    </row>
    <row r="304" spans="1:35" s="156" customFormat="1" ht="24" hidden="1">
      <c r="A304" s="85" t="s">
        <v>535</v>
      </c>
      <c r="B304" s="151" t="s">
        <v>114</v>
      </c>
      <c r="C304" s="152" t="s">
        <v>962</v>
      </c>
      <c r="D304" s="88">
        <f t="shared" si="11"/>
        <v>34343.1</v>
      </c>
      <c r="E304" s="88">
        <f t="shared" si="12"/>
        <v>31287.300000000003</v>
      </c>
      <c r="F304" s="154">
        <f t="shared" si="13"/>
        <v>0.9110214278850775</v>
      </c>
      <c r="G304" s="153">
        <f t="shared" si="14"/>
        <v>-3055.7999999999956</v>
      </c>
      <c r="H304" s="91"/>
      <c r="I304" s="91"/>
      <c r="J304" s="91"/>
      <c r="K304" s="91">
        <f t="shared" si="27"/>
        <v>0</v>
      </c>
      <c r="L304" s="91"/>
      <c r="N304" s="88">
        <f t="shared" si="26"/>
        <v>34343.1</v>
      </c>
      <c r="O304" s="88">
        <f t="shared" si="26"/>
        <v>31287.300000000003</v>
      </c>
      <c r="P304" s="154">
        <f t="shared" si="16"/>
        <v>0.9110214278850775</v>
      </c>
      <c r="Q304" s="153">
        <f t="shared" si="17"/>
        <v>-3055.7999999999956</v>
      </c>
      <c r="R304" s="153">
        <f>SUM(R308:R309)</f>
        <v>34179.6</v>
      </c>
      <c r="S304" s="153">
        <f>SUM(S308:S309)</f>
        <v>31188.2</v>
      </c>
      <c r="T304" s="154">
        <f t="shared" si="18"/>
        <v>0.9124799588058374</v>
      </c>
      <c r="U304" s="153">
        <f t="shared" si="19"/>
        <v>-2991.399999999998</v>
      </c>
      <c r="V304" s="153">
        <f>SUM(V308:V309)</f>
        <v>88</v>
      </c>
      <c r="W304" s="153">
        <f>SUM(W308:W309)</f>
        <v>28.4</v>
      </c>
      <c r="X304" s="154">
        <f t="shared" si="20"/>
        <v>0.3227272727272727</v>
      </c>
      <c r="Y304" s="155">
        <f t="shared" si="21"/>
        <v>-59.6</v>
      </c>
      <c r="Z304" s="153">
        <f>SUM(Z308:Z309)</f>
        <v>65.2</v>
      </c>
      <c r="AA304" s="153">
        <f>SUM(AA308:AA309)</f>
        <v>63.4</v>
      </c>
      <c r="AB304" s="154">
        <f t="shared" si="22"/>
        <v>0.9723926380368098</v>
      </c>
      <c r="AC304" s="155">
        <f t="shared" si="23"/>
        <v>-1.8000000000000043</v>
      </c>
      <c r="AD304" s="153">
        <f>SUM(AD308:AD309)</f>
        <v>10.3</v>
      </c>
      <c r="AE304" s="153">
        <f>SUM(AE308:AE309)</f>
        <v>7.3</v>
      </c>
      <c r="AF304" s="154">
        <f t="shared" si="28"/>
        <v>0.7087378640776698</v>
      </c>
      <c r="AG304" s="155">
        <f t="shared" si="29"/>
        <v>-3.000000000000001</v>
      </c>
      <c r="AH304" s="157">
        <f>SUM(R304,V304,Z304,AD304)</f>
        <v>34343.1</v>
      </c>
      <c r="AI304" s="157">
        <f>SUM(S304,W304,AA304,AE304)</f>
        <v>31287.300000000003</v>
      </c>
    </row>
    <row r="305" spans="1:35" s="121" customFormat="1" ht="24" hidden="1">
      <c r="A305" s="85" t="s">
        <v>535</v>
      </c>
      <c r="B305" s="137" t="s">
        <v>963</v>
      </c>
      <c r="C305" s="115" t="s">
        <v>964</v>
      </c>
      <c r="D305" s="188">
        <f t="shared" si="11"/>
        <v>0</v>
      </c>
      <c r="E305" s="188">
        <f t="shared" si="12"/>
        <v>0</v>
      </c>
      <c r="F305" s="117" t="e">
        <f t="shared" si="13"/>
        <v>#DIV/0!</v>
      </c>
      <c r="G305" s="116">
        <f t="shared" si="14"/>
        <v>0</v>
      </c>
      <c r="H305" s="91"/>
      <c r="I305" s="91"/>
      <c r="J305" s="91"/>
      <c r="K305" s="91">
        <f t="shared" si="27"/>
        <v>0</v>
      </c>
      <c r="L305" s="91"/>
      <c r="N305" s="188">
        <f t="shared" si="26"/>
        <v>0</v>
      </c>
      <c r="O305" s="188">
        <f t="shared" si="26"/>
        <v>0</v>
      </c>
      <c r="P305" s="189" t="e">
        <f t="shared" si="16"/>
        <v>#DIV/0!</v>
      </c>
      <c r="Q305" s="190">
        <f t="shared" si="17"/>
        <v>0</v>
      </c>
      <c r="R305" s="116"/>
      <c r="S305" s="116"/>
      <c r="T305" s="189" t="e">
        <f t="shared" si="18"/>
        <v>#DIV/0!</v>
      </c>
      <c r="U305" s="190">
        <f t="shared" si="19"/>
        <v>0</v>
      </c>
      <c r="V305" s="116"/>
      <c r="W305" s="116"/>
      <c r="X305" s="117" t="e">
        <f t="shared" si="20"/>
        <v>#DIV/0!</v>
      </c>
      <c r="Y305" s="118">
        <f t="shared" si="21"/>
        <v>0</v>
      </c>
      <c r="Z305" s="116"/>
      <c r="AA305" s="116"/>
      <c r="AB305" s="189" t="e">
        <f t="shared" si="22"/>
        <v>#DIV/0!</v>
      </c>
      <c r="AC305" s="190">
        <f t="shared" si="23"/>
        <v>0</v>
      </c>
      <c r="AD305" s="116"/>
      <c r="AE305" s="116"/>
      <c r="AF305" s="117" t="e">
        <f t="shared" si="28"/>
        <v>#DIV/0!</v>
      </c>
      <c r="AG305" s="118">
        <f t="shared" si="29"/>
        <v>0</v>
      </c>
      <c r="AH305" s="122"/>
      <c r="AI305" s="122"/>
    </row>
    <row r="306" spans="1:35" s="121" customFormat="1" ht="12" hidden="1">
      <c r="A306" s="85" t="s">
        <v>535</v>
      </c>
      <c r="B306" s="137" t="s">
        <v>116</v>
      </c>
      <c r="C306" s="115" t="s">
        <v>117</v>
      </c>
      <c r="D306" s="188">
        <f t="shared" si="11"/>
        <v>0</v>
      </c>
      <c r="E306" s="188">
        <f t="shared" si="12"/>
        <v>0</v>
      </c>
      <c r="F306" s="117" t="e">
        <f t="shared" si="13"/>
        <v>#DIV/0!</v>
      </c>
      <c r="G306" s="116">
        <f t="shared" si="14"/>
        <v>0</v>
      </c>
      <c r="H306" s="91"/>
      <c r="I306" s="91"/>
      <c r="J306" s="91"/>
      <c r="K306" s="91">
        <f t="shared" si="27"/>
        <v>0</v>
      </c>
      <c r="L306" s="91"/>
      <c r="N306" s="188">
        <f t="shared" si="26"/>
        <v>0</v>
      </c>
      <c r="O306" s="188">
        <f t="shared" si="26"/>
        <v>0</v>
      </c>
      <c r="P306" s="189" t="e">
        <f t="shared" si="16"/>
        <v>#DIV/0!</v>
      </c>
      <c r="Q306" s="190">
        <f t="shared" si="17"/>
        <v>0</v>
      </c>
      <c r="R306" s="116"/>
      <c r="S306" s="116"/>
      <c r="T306" s="189" t="e">
        <f t="shared" si="18"/>
        <v>#DIV/0!</v>
      </c>
      <c r="U306" s="190">
        <f t="shared" si="19"/>
        <v>0</v>
      </c>
      <c r="V306" s="116"/>
      <c r="W306" s="116"/>
      <c r="X306" s="117" t="e">
        <f t="shared" si="20"/>
        <v>#DIV/0!</v>
      </c>
      <c r="Y306" s="118">
        <f t="shared" si="21"/>
        <v>0</v>
      </c>
      <c r="Z306" s="116"/>
      <c r="AA306" s="116"/>
      <c r="AB306" s="189" t="e">
        <f t="shared" si="22"/>
        <v>#DIV/0!</v>
      </c>
      <c r="AC306" s="190">
        <f t="shared" si="23"/>
        <v>0</v>
      </c>
      <c r="AD306" s="116"/>
      <c r="AE306" s="116"/>
      <c r="AF306" s="117" t="e">
        <f t="shared" si="28"/>
        <v>#DIV/0!</v>
      </c>
      <c r="AG306" s="118">
        <f t="shared" si="29"/>
        <v>0</v>
      </c>
      <c r="AH306" s="122"/>
      <c r="AI306" s="122"/>
    </row>
    <row r="307" spans="1:35" s="121" customFormat="1" ht="48" hidden="1">
      <c r="A307" s="85" t="s">
        <v>535</v>
      </c>
      <c r="B307" s="137" t="s">
        <v>965</v>
      </c>
      <c r="C307" s="115" t="s">
        <v>966</v>
      </c>
      <c r="D307" s="188">
        <f t="shared" si="11"/>
        <v>0</v>
      </c>
      <c r="E307" s="188">
        <f t="shared" si="12"/>
        <v>0</v>
      </c>
      <c r="F307" s="117" t="e">
        <f t="shared" si="13"/>
        <v>#DIV/0!</v>
      </c>
      <c r="G307" s="116">
        <f t="shared" si="14"/>
        <v>0</v>
      </c>
      <c r="H307" s="91"/>
      <c r="I307" s="91"/>
      <c r="J307" s="91"/>
      <c r="K307" s="91">
        <f t="shared" si="27"/>
        <v>0</v>
      </c>
      <c r="L307" s="91"/>
      <c r="N307" s="188">
        <f t="shared" si="26"/>
        <v>0</v>
      </c>
      <c r="O307" s="188">
        <f t="shared" si="26"/>
        <v>0</v>
      </c>
      <c r="P307" s="189" t="e">
        <f t="shared" si="16"/>
        <v>#DIV/0!</v>
      </c>
      <c r="Q307" s="190">
        <f t="shared" si="17"/>
        <v>0</v>
      </c>
      <c r="R307" s="116"/>
      <c r="S307" s="116"/>
      <c r="T307" s="189" t="e">
        <f t="shared" si="18"/>
        <v>#DIV/0!</v>
      </c>
      <c r="U307" s="190">
        <f t="shared" si="19"/>
        <v>0</v>
      </c>
      <c r="V307" s="116"/>
      <c r="W307" s="116"/>
      <c r="X307" s="117" t="e">
        <f t="shared" si="20"/>
        <v>#DIV/0!</v>
      </c>
      <c r="Y307" s="118">
        <f t="shared" si="21"/>
        <v>0</v>
      </c>
      <c r="Z307" s="116"/>
      <c r="AA307" s="116"/>
      <c r="AB307" s="189" t="e">
        <f t="shared" si="22"/>
        <v>#DIV/0!</v>
      </c>
      <c r="AC307" s="190">
        <f t="shared" si="23"/>
        <v>0</v>
      </c>
      <c r="AD307" s="116"/>
      <c r="AE307" s="116"/>
      <c r="AF307" s="117" t="e">
        <f t="shared" si="28"/>
        <v>#DIV/0!</v>
      </c>
      <c r="AG307" s="118">
        <f t="shared" si="29"/>
        <v>0</v>
      </c>
      <c r="AH307" s="122"/>
      <c r="AI307" s="122"/>
    </row>
    <row r="308" spans="1:35" s="121" customFormat="1" ht="12" hidden="1">
      <c r="A308" s="85" t="s">
        <v>535</v>
      </c>
      <c r="B308" s="137" t="s">
        <v>967</v>
      </c>
      <c r="C308" s="115" t="s">
        <v>364</v>
      </c>
      <c r="D308" s="188">
        <f t="shared" si="11"/>
        <v>34343.1</v>
      </c>
      <c r="E308" s="188">
        <f t="shared" si="12"/>
        <v>31287.300000000003</v>
      </c>
      <c r="F308" s="117">
        <f t="shared" si="13"/>
        <v>0.9110214278850775</v>
      </c>
      <c r="G308" s="116">
        <f t="shared" si="14"/>
        <v>-3055.7999999999956</v>
      </c>
      <c r="H308" s="91"/>
      <c r="I308" s="91"/>
      <c r="J308" s="91"/>
      <c r="K308" s="91">
        <f t="shared" si="27"/>
        <v>0</v>
      </c>
      <c r="L308" s="91"/>
      <c r="N308" s="188">
        <f t="shared" si="26"/>
        <v>34343.1</v>
      </c>
      <c r="O308" s="188">
        <f t="shared" si="26"/>
        <v>31287.300000000003</v>
      </c>
      <c r="P308" s="189">
        <f t="shared" si="16"/>
        <v>0.9110214278850775</v>
      </c>
      <c r="Q308" s="190">
        <f t="shared" si="17"/>
        <v>-3055.7999999999956</v>
      </c>
      <c r="R308" s="188">
        <v>34179.6</v>
      </c>
      <c r="S308" s="188">
        <v>31188.2</v>
      </c>
      <c r="T308" s="189">
        <f t="shared" si="18"/>
        <v>0.9124799588058374</v>
      </c>
      <c r="U308" s="190">
        <f t="shared" si="19"/>
        <v>-2991.399999999998</v>
      </c>
      <c r="V308" s="116">
        <v>88</v>
      </c>
      <c r="W308" s="116">
        <v>28.4</v>
      </c>
      <c r="X308" s="117">
        <f t="shared" si="20"/>
        <v>0.3227272727272727</v>
      </c>
      <c r="Y308" s="118">
        <f t="shared" si="21"/>
        <v>-59.6</v>
      </c>
      <c r="Z308" s="116">
        <v>65.2</v>
      </c>
      <c r="AA308" s="116">
        <v>63.4</v>
      </c>
      <c r="AB308" s="189">
        <f t="shared" si="22"/>
        <v>0.9723926380368098</v>
      </c>
      <c r="AC308" s="190">
        <f t="shared" si="23"/>
        <v>-1.8000000000000043</v>
      </c>
      <c r="AD308" s="116">
        <v>10.3</v>
      </c>
      <c r="AE308" s="191">
        <v>7.3</v>
      </c>
      <c r="AF308" s="117">
        <f t="shared" si="28"/>
        <v>0.7087378640776698</v>
      </c>
      <c r="AG308" s="118">
        <f t="shared" si="29"/>
        <v>-3.000000000000001</v>
      </c>
      <c r="AH308" s="122"/>
      <c r="AI308" s="122"/>
    </row>
    <row r="309" spans="1:35" s="121" customFormat="1" ht="36" hidden="1">
      <c r="A309" s="85" t="s">
        <v>535</v>
      </c>
      <c r="B309" s="137" t="s">
        <v>968</v>
      </c>
      <c r="C309" s="115" t="s">
        <v>969</v>
      </c>
      <c r="D309" s="188">
        <f t="shared" si="11"/>
        <v>0</v>
      </c>
      <c r="E309" s="188">
        <f t="shared" si="12"/>
        <v>0</v>
      </c>
      <c r="F309" s="117" t="e">
        <f t="shared" si="13"/>
        <v>#DIV/0!</v>
      </c>
      <c r="G309" s="116">
        <f t="shared" si="14"/>
        <v>0</v>
      </c>
      <c r="H309" s="91"/>
      <c r="I309" s="91"/>
      <c r="J309" s="91"/>
      <c r="K309" s="91">
        <f t="shared" si="27"/>
        <v>0</v>
      </c>
      <c r="L309" s="91"/>
      <c r="N309" s="188">
        <f t="shared" si="26"/>
        <v>0</v>
      </c>
      <c r="O309" s="188">
        <f t="shared" si="26"/>
        <v>0</v>
      </c>
      <c r="P309" s="189" t="e">
        <f t="shared" si="16"/>
        <v>#DIV/0!</v>
      </c>
      <c r="Q309" s="190">
        <f t="shared" si="17"/>
        <v>0</v>
      </c>
      <c r="R309" s="116"/>
      <c r="S309" s="116"/>
      <c r="T309" s="189" t="e">
        <f t="shared" si="18"/>
        <v>#DIV/0!</v>
      </c>
      <c r="U309" s="190">
        <f t="shared" si="19"/>
        <v>0</v>
      </c>
      <c r="V309" s="116"/>
      <c r="W309" s="116"/>
      <c r="X309" s="117" t="e">
        <f t="shared" si="20"/>
        <v>#DIV/0!</v>
      </c>
      <c r="Y309" s="118">
        <f t="shared" si="21"/>
        <v>0</v>
      </c>
      <c r="Z309" s="116"/>
      <c r="AA309" s="116"/>
      <c r="AB309" s="189" t="e">
        <f t="shared" si="22"/>
        <v>#DIV/0!</v>
      </c>
      <c r="AC309" s="190">
        <f t="shared" si="23"/>
        <v>0</v>
      </c>
      <c r="AD309" s="116"/>
      <c r="AE309" s="116"/>
      <c r="AF309" s="154" t="e">
        <f t="shared" si="28"/>
        <v>#DIV/0!</v>
      </c>
      <c r="AG309" s="155">
        <f t="shared" si="29"/>
        <v>0</v>
      </c>
      <c r="AH309" s="122">
        <f>SUM(R309,V309,Z309,AD309)</f>
        <v>0</v>
      </c>
      <c r="AI309" s="122">
        <f>SUM(S309,W309,AA309,AE309)</f>
        <v>0</v>
      </c>
    </row>
    <row r="310" spans="1:35" s="156" customFormat="1" ht="12" hidden="1">
      <c r="A310" s="85" t="s">
        <v>535</v>
      </c>
      <c r="B310" s="151" t="s">
        <v>118</v>
      </c>
      <c r="C310" s="152" t="s">
        <v>970</v>
      </c>
      <c r="D310" s="88">
        <f t="shared" si="11"/>
        <v>1280.1</v>
      </c>
      <c r="E310" s="88">
        <f t="shared" si="12"/>
        <v>1029.2</v>
      </c>
      <c r="F310" s="154">
        <f t="shared" si="13"/>
        <v>0.8039996875244122</v>
      </c>
      <c r="G310" s="153">
        <f t="shared" si="14"/>
        <v>-250.89999999999986</v>
      </c>
      <c r="H310" s="91"/>
      <c r="I310" s="91"/>
      <c r="J310" s="91"/>
      <c r="K310" s="91">
        <f t="shared" si="27"/>
        <v>0</v>
      </c>
      <c r="L310" s="91"/>
      <c r="N310" s="88">
        <f t="shared" si="26"/>
        <v>1280.1</v>
      </c>
      <c r="O310" s="88">
        <f t="shared" si="26"/>
        <v>1029.2</v>
      </c>
      <c r="P310" s="154">
        <f t="shared" si="16"/>
        <v>0.8039996875244122</v>
      </c>
      <c r="Q310" s="153">
        <f t="shared" si="17"/>
        <v>-250.89999999999986</v>
      </c>
      <c r="R310" s="153">
        <f>SUM(R312:R314)</f>
        <v>675.4</v>
      </c>
      <c r="S310" s="153">
        <f>SUM(S312:S314)</f>
        <v>575.7</v>
      </c>
      <c r="T310" s="154">
        <f t="shared" si="18"/>
        <v>0.8523837725792124</v>
      </c>
      <c r="U310" s="153">
        <f t="shared" si="19"/>
        <v>-99.69999999999993</v>
      </c>
      <c r="V310" s="153">
        <f>SUM(V312:V314)</f>
        <v>205.5</v>
      </c>
      <c r="W310" s="153">
        <f>SUM(W312:W314)</f>
        <v>158.9</v>
      </c>
      <c r="X310" s="154">
        <f t="shared" si="20"/>
        <v>0.7732360097323602</v>
      </c>
      <c r="Y310" s="155">
        <f t="shared" si="21"/>
        <v>-46.599999999999994</v>
      </c>
      <c r="Z310" s="153">
        <f>SUM(Z312:Z314)</f>
        <v>287.6</v>
      </c>
      <c r="AA310" s="153">
        <f>SUM(AA312:AA314)</f>
        <v>204.6</v>
      </c>
      <c r="AB310" s="154">
        <f t="shared" si="22"/>
        <v>0.7114047287899861</v>
      </c>
      <c r="AC310" s="155">
        <f t="shared" si="23"/>
        <v>-83.00000000000003</v>
      </c>
      <c r="AD310" s="153">
        <f>SUM(AD312:AD314)</f>
        <v>111.6</v>
      </c>
      <c r="AE310" s="153">
        <f>SUM(AE312:AE314)</f>
        <v>90</v>
      </c>
      <c r="AF310" s="154">
        <f t="shared" si="28"/>
        <v>0.8064516129032259</v>
      </c>
      <c r="AG310" s="155">
        <f t="shared" si="29"/>
        <v>-21.599999999999994</v>
      </c>
      <c r="AH310" s="157"/>
      <c r="AI310" s="157"/>
    </row>
    <row r="311" spans="1:35" s="121" customFormat="1" ht="12" hidden="1">
      <c r="A311" s="85" t="s">
        <v>535</v>
      </c>
      <c r="B311" s="137" t="s">
        <v>120</v>
      </c>
      <c r="C311" s="115" t="s">
        <v>121</v>
      </c>
      <c r="D311" s="188">
        <f t="shared" si="11"/>
        <v>0</v>
      </c>
      <c r="E311" s="188">
        <f t="shared" si="12"/>
        <v>0</v>
      </c>
      <c r="F311" s="117" t="e">
        <f t="shared" si="13"/>
        <v>#DIV/0!</v>
      </c>
      <c r="G311" s="116">
        <f t="shared" si="14"/>
        <v>0</v>
      </c>
      <c r="H311" s="91"/>
      <c r="I311" s="91"/>
      <c r="J311" s="91"/>
      <c r="K311" s="91">
        <f t="shared" si="27"/>
        <v>0</v>
      </c>
      <c r="L311" s="91"/>
      <c r="N311" s="188">
        <f t="shared" si="26"/>
        <v>0</v>
      </c>
      <c r="O311" s="188">
        <f t="shared" si="26"/>
        <v>0</v>
      </c>
      <c r="P311" s="189" t="e">
        <f t="shared" si="16"/>
        <v>#DIV/0!</v>
      </c>
      <c r="Q311" s="190">
        <f t="shared" si="17"/>
        <v>0</v>
      </c>
      <c r="R311" s="116"/>
      <c r="S311" s="116"/>
      <c r="T311" s="189" t="e">
        <f t="shared" si="18"/>
        <v>#DIV/0!</v>
      </c>
      <c r="U311" s="190">
        <f t="shared" si="19"/>
        <v>0</v>
      </c>
      <c r="V311" s="116"/>
      <c r="W311" s="116"/>
      <c r="X311" s="117" t="e">
        <f t="shared" si="20"/>
        <v>#DIV/0!</v>
      </c>
      <c r="Y311" s="118">
        <f t="shared" si="21"/>
        <v>0</v>
      </c>
      <c r="Z311" s="116"/>
      <c r="AA311" s="116"/>
      <c r="AB311" s="189" t="e">
        <f t="shared" si="22"/>
        <v>#DIV/0!</v>
      </c>
      <c r="AC311" s="190">
        <f t="shared" si="23"/>
        <v>0</v>
      </c>
      <c r="AD311" s="116"/>
      <c r="AE311" s="116"/>
      <c r="AF311" s="117"/>
      <c r="AG311" s="118"/>
      <c r="AH311" s="122"/>
      <c r="AI311" s="122"/>
    </row>
    <row r="312" spans="1:35" s="121" customFormat="1" ht="24" hidden="1">
      <c r="A312" s="85" t="s">
        <v>535</v>
      </c>
      <c r="B312" s="137" t="s">
        <v>122</v>
      </c>
      <c r="C312" s="115" t="s">
        <v>123</v>
      </c>
      <c r="D312" s="188">
        <f t="shared" si="11"/>
        <v>1280.1</v>
      </c>
      <c r="E312" s="188">
        <f t="shared" si="12"/>
        <v>1029.2</v>
      </c>
      <c r="F312" s="117">
        <f t="shared" si="13"/>
        <v>0.8039996875244122</v>
      </c>
      <c r="G312" s="116">
        <f t="shared" si="14"/>
        <v>-250.89999999999986</v>
      </c>
      <c r="H312" s="91"/>
      <c r="I312" s="91"/>
      <c r="J312" s="91"/>
      <c r="K312" s="91">
        <f t="shared" si="27"/>
        <v>0</v>
      </c>
      <c r="L312" s="91"/>
      <c r="N312" s="188">
        <f t="shared" si="26"/>
        <v>1280.1</v>
      </c>
      <c r="O312" s="188">
        <f t="shared" si="26"/>
        <v>1029.2</v>
      </c>
      <c r="P312" s="189">
        <f t="shared" si="16"/>
        <v>0.8039996875244122</v>
      </c>
      <c r="Q312" s="190">
        <f t="shared" si="17"/>
        <v>-250.89999999999986</v>
      </c>
      <c r="R312" s="188">
        <v>675.4</v>
      </c>
      <c r="S312" s="191">
        <v>575.7</v>
      </c>
      <c r="T312" s="189">
        <f t="shared" si="18"/>
        <v>0.8523837725792124</v>
      </c>
      <c r="U312" s="190">
        <f t="shared" si="19"/>
        <v>-99.69999999999993</v>
      </c>
      <c r="V312" s="191">
        <v>205.5</v>
      </c>
      <c r="W312" s="191">
        <v>158.9</v>
      </c>
      <c r="X312" s="117">
        <f t="shared" si="20"/>
        <v>0.7732360097323602</v>
      </c>
      <c r="Y312" s="118">
        <f t="shared" si="21"/>
        <v>-46.599999999999994</v>
      </c>
      <c r="Z312" s="191">
        <v>287.6</v>
      </c>
      <c r="AA312" s="116">
        <v>204.6</v>
      </c>
      <c r="AB312" s="189">
        <f t="shared" si="22"/>
        <v>0.7114047287899861</v>
      </c>
      <c r="AC312" s="190">
        <f t="shared" si="23"/>
        <v>-83.00000000000003</v>
      </c>
      <c r="AD312" s="116">
        <v>111.6</v>
      </c>
      <c r="AE312" s="116">
        <v>90</v>
      </c>
      <c r="AF312" s="117">
        <f>AE312/AD312</f>
        <v>0.8064516129032259</v>
      </c>
      <c r="AG312" s="118">
        <f>AE312-AD312</f>
        <v>-21.599999999999994</v>
      </c>
      <c r="AH312" s="122"/>
      <c r="AI312" s="122"/>
    </row>
    <row r="313" spans="1:35" s="121" customFormat="1" ht="12" hidden="1">
      <c r="A313" s="85" t="s">
        <v>535</v>
      </c>
      <c r="B313" s="137" t="s">
        <v>126</v>
      </c>
      <c r="C313" s="115" t="s">
        <v>127</v>
      </c>
      <c r="D313" s="188">
        <f t="shared" si="11"/>
        <v>0</v>
      </c>
      <c r="E313" s="188">
        <f t="shared" si="12"/>
        <v>0</v>
      </c>
      <c r="F313" s="117" t="e">
        <f t="shared" si="13"/>
        <v>#DIV/0!</v>
      </c>
      <c r="G313" s="116">
        <f t="shared" si="14"/>
        <v>0</v>
      </c>
      <c r="H313" s="91"/>
      <c r="I313" s="91"/>
      <c r="J313" s="91"/>
      <c r="K313" s="91">
        <f t="shared" si="27"/>
        <v>0</v>
      </c>
      <c r="L313" s="91"/>
      <c r="N313" s="188">
        <f t="shared" si="26"/>
        <v>0</v>
      </c>
      <c r="O313" s="188">
        <f t="shared" si="26"/>
        <v>0</v>
      </c>
      <c r="P313" s="189" t="e">
        <f t="shared" si="16"/>
        <v>#DIV/0!</v>
      </c>
      <c r="Q313" s="190">
        <f t="shared" si="17"/>
        <v>0</v>
      </c>
      <c r="R313" s="188"/>
      <c r="S313" s="191"/>
      <c r="T313" s="189" t="e">
        <f t="shared" si="18"/>
        <v>#DIV/0!</v>
      </c>
      <c r="U313" s="190">
        <f t="shared" si="19"/>
        <v>0</v>
      </c>
      <c r="V313" s="191"/>
      <c r="W313" s="191"/>
      <c r="X313" s="117" t="e">
        <f t="shared" si="20"/>
        <v>#DIV/0!</v>
      </c>
      <c r="Y313" s="118">
        <f t="shared" si="21"/>
        <v>0</v>
      </c>
      <c r="Z313" s="191"/>
      <c r="AA313" s="116"/>
      <c r="AB313" s="189" t="e">
        <f t="shared" si="22"/>
        <v>#DIV/0!</v>
      </c>
      <c r="AC313" s="190">
        <f t="shared" si="23"/>
        <v>0</v>
      </c>
      <c r="AD313" s="116"/>
      <c r="AE313" s="116"/>
      <c r="AF313" s="117" t="e">
        <f>AE313/AD313</f>
        <v>#DIV/0!</v>
      </c>
      <c r="AG313" s="118">
        <f>AE313-AD313</f>
        <v>0</v>
      </c>
      <c r="AH313" s="122"/>
      <c r="AI313" s="122"/>
    </row>
    <row r="314" spans="1:35" s="121" customFormat="1" ht="24" hidden="1">
      <c r="A314" s="85" t="s">
        <v>535</v>
      </c>
      <c r="B314" s="137" t="s">
        <v>369</v>
      </c>
      <c r="C314" s="115" t="s">
        <v>971</v>
      </c>
      <c r="D314" s="188">
        <f t="shared" si="11"/>
        <v>0</v>
      </c>
      <c r="E314" s="188">
        <f t="shared" si="12"/>
        <v>0</v>
      </c>
      <c r="F314" s="117" t="e">
        <f t="shared" si="13"/>
        <v>#DIV/0!</v>
      </c>
      <c r="G314" s="116">
        <f t="shared" si="14"/>
        <v>0</v>
      </c>
      <c r="H314" s="91"/>
      <c r="I314" s="91"/>
      <c r="J314" s="91"/>
      <c r="K314" s="91">
        <f t="shared" si="27"/>
        <v>0</v>
      </c>
      <c r="L314" s="91"/>
      <c r="N314" s="188">
        <f t="shared" si="26"/>
        <v>0</v>
      </c>
      <c r="O314" s="188">
        <f t="shared" si="26"/>
        <v>0</v>
      </c>
      <c r="P314" s="189" t="e">
        <f t="shared" si="16"/>
        <v>#DIV/0!</v>
      </c>
      <c r="Q314" s="190">
        <f t="shared" si="17"/>
        <v>0</v>
      </c>
      <c r="R314" s="188"/>
      <c r="S314" s="188"/>
      <c r="T314" s="189" t="e">
        <f t="shared" si="18"/>
        <v>#DIV/0!</v>
      </c>
      <c r="U314" s="190">
        <f t="shared" si="19"/>
        <v>0</v>
      </c>
      <c r="V314" s="191"/>
      <c r="W314" s="191"/>
      <c r="X314" s="117" t="e">
        <f t="shared" si="20"/>
        <v>#DIV/0!</v>
      </c>
      <c r="Y314" s="118">
        <f t="shared" si="21"/>
        <v>0</v>
      </c>
      <c r="Z314" s="116"/>
      <c r="AA314" s="116"/>
      <c r="AB314" s="189" t="e">
        <f t="shared" si="22"/>
        <v>#DIV/0!</v>
      </c>
      <c r="AC314" s="190">
        <f t="shared" si="23"/>
        <v>0</v>
      </c>
      <c r="AD314" s="116"/>
      <c r="AE314" s="116"/>
      <c r="AF314" s="117" t="e">
        <f>AE314/AD314</f>
        <v>#DIV/0!</v>
      </c>
      <c r="AG314" s="118">
        <f>AE314-AD314</f>
        <v>0</v>
      </c>
      <c r="AH314" s="122"/>
      <c r="AI314" s="122"/>
    </row>
    <row r="315" spans="1:38" s="156" customFormat="1" ht="12" hidden="1">
      <c r="A315" s="85" t="s">
        <v>535</v>
      </c>
      <c r="B315" s="151" t="s">
        <v>128</v>
      </c>
      <c r="C315" s="152" t="s">
        <v>50</v>
      </c>
      <c r="D315" s="88">
        <f t="shared" si="11"/>
        <v>31130</v>
      </c>
      <c r="E315" s="88">
        <f t="shared" si="12"/>
        <v>26343.4</v>
      </c>
      <c r="F315" s="154">
        <f t="shared" si="13"/>
        <v>0.8462383552842917</v>
      </c>
      <c r="G315" s="153">
        <f t="shared" si="14"/>
        <v>-4786.5999999999985</v>
      </c>
      <c r="H315" s="91"/>
      <c r="I315" s="91"/>
      <c r="J315" s="91"/>
      <c r="K315" s="91">
        <f t="shared" si="27"/>
        <v>0</v>
      </c>
      <c r="L315" s="91"/>
      <c r="N315" s="88">
        <f t="shared" si="26"/>
        <v>31130</v>
      </c>
      <c r="O315" s="88">
        <f t="shared" si="26"/>
        <v>26343.4</v>
      </c>
      <c r="P315" s="154">
        <f t="shared" si="16"/>
        <v>0.8462383552842917</v>
      </c>
      <c r="Q315" s="153">
        <f t="shared" si="17"/>
        <v>-4786.5999999999985</v>
      </c>
      <c r="R315" s="88">
        <v>5025.7</v>
      </c>
      <c r="S315" s="88">
        <v>5025.7</v>
      </c>
      <c r="T315" s="154">
        <f t="shared" si="18"/>
        <v>1</v>
      </c>
      <c r="U315" s="153">
        <f t="shared" si="19"/>
        <v>0</v>
      </c>
      <c r="V315" s="193">
        <v>16491.6</v>
      </c>
      <c r="W315" s="193">
        <v>13557</v>
      </c>
      <c r="X315" s="154">
        <f t="shared" si="20"/>
        <v>0.82205486429455</v>
      </c>
      <c r="Y315" s="155">
        <f t="shared" si="21"/>
        <v>-2934.5999999999985</v>
      </c>
      <c r="Z315" s="153">
        <v>2332.5</v>
      </c>
      <c r="AA315" s="153">
        <v>1432.5</v>
      </c>
      <c r="AB315" s="154">
        <f t="shared" si="22"/>
        <v>0.6141479099678456</v>
      </c>
      <c r="AC315" s="155">
        <f t="shared" si="23"/>
        <v>-900</v>
      </c>
      <c r="AD315" s="153">
        <v>7280.2</v>
      </c>
      <c r="AE315" s="153">
        <v>6328.2</v>
      </c>
      <c r="AF315" s="154">
        <f>AE315/AD315</f>
        <v>0.8692343616933601</v>
      </c>
      <c r="AG315" s="155">
        <f>AE315-AD315</f>
        <v>-952</v>
      </c>
      <c r="AH315" s="157"/>
      <c r="AI315" s="157"/>
      <c r="AK315" s="183"/>
      <c r="AL315" s="183"/>
    </row>
    <row r="316" spans="1:38" s="195" customFormat="1" ht="12" hidden="1">
      <c r="A316" s="85" t="s">
        <v>535</v>
      </c>
      <c r="B316" s="194" t="s">
        <v>972</v>
      </c>
      <c r="C316" s="85" t="s">
        <v>973</v>
      </c>
      <c r="D316" s="85">
        <f>SUM(D266,D278,D282,D289,D294,D296,D301,D304,D310,D315,D276)</f>
        <v>606779.3900000001</v>
      </c>
      <c r="E316" s="85">
        <f>SUM(E266,E278,E282,E289,E294,E296,E301,E304,E310,E315,E276)</f>
        <v>521963.7</v>
      </c>
      <c r="F316" s="154">
        <f t="shared" si="13"/>
        <v>0.8602198898021238</v>
      </c>
      <c r="G316" s="153">
        <f t="shared" si="14"/>
        <v>-84815.69000000012</v>
      </c>
      <c r="H316" s="91"/>
      <c r="I316" s="91"/>
      <c r="J316" s="91"/>
      <c r="K316" s="91">
        <f t="shared" si="27"/>
        <v>0</v>
      </c>
      <c r="L316" s="91"/>
      <c r="N316" s="85">
        <f>SUM(N266,N278,N282,N289,N294,N296,N301,N304,N310,N315,N276)</f>
        <v>606779.3900000001</v>
      </c>
      <c r="O316" s="85">
        <f>SUM(O266,O278,O282,O289,O294,O296,O301,O304,O310,O315,O276)</f>
        <v>521963.7</v>
      </c>
      <c r="P316" s="154">
        <f t="shared" si="16"/>
        <v>0.8602198898021238</v>
      </c>
      <c r="Q316" s="153">
        <f t="shared" si="17"/>
        <v>-84815.69000000012</v>
      </c>
      <c r="R316" s="85">
        <f>SUM(R266,R278,R282,R289,R294,R296,R301,R304,R310,R315,R276)</f>
        <v>452123.89</v>
      </c>
      <c r="S316" s="85">
        <f>SUM(S266,S278,S282,S289,S294,S296,S301,S304,S310,S315,S276)</f>
        <v>409832.9</v>
      </c>
      <c r="T316" s="154">
        <f t="shared" si="18"/>
        <v>0.906461501072195</v>
      </c>
      <c r="U316" s="153">
        <f t="shared" si="19"/>
        <v>-42290.98999999999</v>
      </c>
      <c r="V316" s="85">
        <f>SUM(V266,V278,V282,V289,V296,V301,V304,V310,V315,V276)</f>
        <v>54321</v>
      </c>
      <c r="W316" s="85">
        <f>SUM(W266,W278,W282,W289,W296,W301,W304,W310,W315,W276)</f>
        <v>34202.9</v>
      </c>
      <c r="X316" s="154">
        <f t="shared" si="20"/>
        <v>0.6296441523536017</v>
      </c>
      <c r="Y316" s="155">
        <f t="shared" si="21"/>
        <v>-20118.1</v>
      </c>
      <c r="Z316" s="85">
        <f>SUM(Z266,Z278,Z282,Z289,Z296,Z301,Z304,Z310,Z315,Z276)</f>
        <v>75394.7</v>
      </c>
      <c r="AA316" s="85">
        <f>SUM(AA266,AA278,AA282,AA289,AA296,AA301,AA304,AA310,AA315,AA276)</f>
        <v>63454</v>
      </c>
      <c r="AB316" s="154">
        <f t="shared" si="22"/>
        <v>0.8416241459943471</v>
      </c>
      <c r="AC316" s="90">
        <f t="shared" si="23"/>
        <v>-11940.699999999997</v>
      </c>
      <c r="AD316" s="85">
        <f>SUM(AD266,AD278,AD282,AD289,AD296,AD301,AD304,AD310,AD315,AD276)</f>
        <v>24939.8</v>
      </c>
      <c r="AE316" s="85">
        <f>SUM(AE266,AE278,AE282,AE289,AE296,AE301,AE304,AE310,AE315,AE276)</f>
        <v>14473.900000000001</v>
      </c>
      <c r="AF316" s="154">
        <f>AE316/AD316</f>
        <v>0.5803534912068261</v>
      </c>
      <c r="AG316" s="155">
        <f>AE316-AD316</f>
        <v>-10465.899999999998</v>
      </c>
      <c r="AH316" s="196">
        <f>SUM(R316,V316,Z316,AD316)</f>
        <v>606779.39</v>
      </c>
      <c r="AI316" s="196">
        <f>SUM(S316,W316,AA316,AE316)</f>
        <v>521963.70000000007</v>
      </c>
      <c r="AK316" s="183"/>
      <c r="AL316" s="183"/>
    </row>
    <row r="317" spans="1:35" s="195" customFormat="1" ht="15" customHeight="1">
      <c r="A317" s="269" t="s">
        <v>974</v>
      </c>
      <c r="B317" s="270"/>
      <c r="C317" s="271"/>
      <c r="D317" s="85"/>
      <c r="E317" s="85"/>
      <c r="F317" s="154"/>
      <c r="G317" s="153"/>
      <c r="H317" s="91">
        <v>25223.4</v>
      </c>
      <c r="I317" s="91">
        <v>-8847.999999999989</v>
      </c>
      <c r="J317" s="91">
        <v>7735.7</v>
      </c>
      <c r="K317" s="91" t="s">
        <v>1102</v>
      </c>
      <c r="L317" s="91" t="s">
        <v>1102</v>
      </c>
      <c r="N317" s="85"/>
      <c r="O317" s="85"/>
      <c r="P317" s="154"/>
      <c r="Q317" s="153"/>
      <c r="R317" s="85"/>
      <c r="S317" s="85"/>
      <c r="T317" s="154"/>
      <c r="U317" s="153"/>
      <c r="V317" s="85"/>
      <c r="W317" s="85"/>
      <c r="X317" s="154"/>
      <c r="Y317" s="155"/>
      <c r="Z317" s="197"/>
      <c r="AA317" s="85"/>
      <c r="AB317" s="154"/>
      <c r="AC317" s="90"/>
      <c r="AD317" s="85"/>
      <c r="AE317" s="85"/>
      <c r="AF317" s="154"/>
      <c r="AG317" s="155"/>
      <c r="AH317" s="196"/>
      <c r="AI317" s="196"/>
    </row>
  </sheetData>
  <sheetProtection/>
  <mergeCells count="10">
    <mergeCell ref="A264:C264"/>
    <mergeCell ref="A317:C317"/>
    <mergeCell ref="F1:G1"/>
    <mergeCell ref="K1:L1"/>
    <mergeCell ref="K4:L4"/>
    <mergeCell ref="A6:O6"/>
    <mergeCell ref="A8:B9"/>
    <mergeCell ref="C8:C9"/>
    <mergeCell ref="H8:K8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6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7109375" style="20" customWidth="1"/>
    <col min="2" max="2" width="7.57421875" style="20" customWidth="1"/>
    <col min="3" max="3" width="4.8515625" style="20" customWidth="1"/>
    <col min="4" max="4" width="39.57421875" style="28" customWidth="1"/>
    <col min="5" max="7" width="10.7109375" style="20" customWidth="1"/>
    <col min="8" max="8" width="8.8515625" style="20" customWidth="1"/>
    <col min="9" max="16384" width="9.140625" style="20" customWidth="1"/>
  </cols>
  <sheetData>
    <row r="1" ht="12.75">
      <c r="E1" s="66" t="s">
        <v>525</v>
      </c>
    </row>
    <row r="2" ht="12.75">
      <c r="E2" s="66" t="s">
        <v>522</v>
      </c>
    </row>
    <row r="3" ht="12.75">
      <c r="E3" s="66" t="s">
        <v>529</v>
      </c>
    </row>
    <row r="4" ht="12.75">
      <c r="E4" s="66" t="s">
        <v>1105</v>
      </c>
    </row>
    <row r="6" spans="1:8" ht="12.75">
      <c r="A6" s="280" t="s">
        <v>1078</v>
      </c>
      <c r="B6" s="280"/>
      <c r="C6" s="280"/>
      <c r="D6" s="280"/>
      <c r="E6" s="280"/>
      <c r="F6" s="280"/>
      <c r="G6" s="280"/>
      <c r="H6" s="280"/>
    </row>
    <row r="8" spans="1:8" ht="12.75">
      <c r="A8" s="286" t="s">
        <v>34</v>
      </c>
      <c r="B8" s="286" t="s">
        <v>35</v>
      </c>
      <c r="C8" s="286" t="s">
        <v>36</v>
      </c>
      <c r="D8" s="288" t="s">
        <v>37</v>
      </c>
      <c r="E8" s="283" t="s">
        <v>0</v>
      </c>
      <c r="F8" s="284"/>
      <c r="G8" s="285"/>
      <c r="H8" s="281" t="s">
        <v>520</v>
      </c>
    </row>
    <row r="9" spans="1:8" ht="38.25">
      <c r="A9" s="287"/>
      <c r="B9" s="287"/>
      <c r="C9" s="287"/>
      <c r="D9" s="289"/>
      <c r="E9" s="51" t="s">
        <v>454</v>
      </c>
      <c r="F9" s="51" t="s">
        <v>455</v>
      </c>
      <c r="G9" s="51" t="s">
        <v>456</v>
      </c>
      <c r="H9" s="282"/>
    </row>
    <row r="10" spans="1:8" s="35" customFormat="1" ht="12.75">
      <c r="A10" s="22" t="s">
        <v>276</v>
      </c>
      <c r="B10" s="22" t="s">
        <v>277</v>
      </c>
      <c r="C10" s="22" t="s">
        <v>283</v>
      </c>
      <c r="D10" s="29">
        <v>4</v>
      </c>
      <c r="E10" s="22" t="s">
        <v>271</v>
      </c>
      <c r="F10" s="22" t="s">
        <v>1012</v>
      </c>
      <c r="G10" s="22" t="s">
        <v>4</v>
      </c>
      <c r="H10" s="22" t="s">
        <v>457</v>
      </c>
    </row>
    <row r="11" spans="1:8" ht="12.75">
      <c r="A11" s="23"/>
      <c r="B11" s="23"/>
      <c r="C11" s="23"/>
      <c r="D11" s="31"/>
      <c r="E11" s="23"/>
      <c r="F11" s="23"/>
      <c r="G11" s="23"/>
      <c r="H11" s="23"/>
    </row>
    <row r="12" spans="1:8" s="35" customFormat="1" ht="12.75">
      <c r="A12" s="21" t="s">
        <v>38</v>
      </c>
      <c r="B12" s="21"/>
      <c r="C12" s="21"/>
      <c r="D12" s="38" t="s">
        <v>39</v>
      </c>
      <c r="E12" s="36">
        <f>E13+E35+E76+E94+E98+E17</f>
        <v>107661.8</v>
      </c>
      <c r="F12" s="36">
        <f>F13+F35+F76+F94+F98+F17</f>
        <v>46488.5</v>
      </c>
      <c r="G12" s="36">
        <f>E12-F12</f>
        <v>61173.3</v>
      </c>
      <c r="H12" s="65">
        <f>F12/E12</f>
        <v>0.43180125169744515</v>
      </c>
    </row>
    <row r="13" spans="1:8" s="35" customFormat="1" ht="38.25">
      <c r="A13" s="23" t="s">
        <v>40</v>
      </c>
      <c r="B13" s="23"/>
      <c r="C13" s="23"/>
      <c r="D13" s="24" t="s">
        <v>41</v>
      </c>
      <c r="E13" s="25">
        <f aca="true" t="shared" si="0" ref="E13:F15">E14</f>
        <v>1862.9</v>
      </c>
      <c r="F13" s="25">
        <f t="shared" si="0"/>
        <v>778.1</v>
      </c>
      <c r="G13" s="25">
        <f aca="true" t="shared" si="1" ref="G13:G83">E13-F13</f>
        <v>1084.8000000000002</v>
      </c>
      <c r="H13" s="64">
        <f>F13/E13</f>
        <v>0.4176821085404477</v>
      </c>
    </row>
    <row r="14" spans="1:8" s="35" customFormat="1" ht="25.5">
      <c r="A14" s="23"/>
      <c r="B14" s="23" t="s">
        <v>81</v>
      </c>
      <c r="C14" s="23"/>
      <c r="D14" s="24" t="s">
        <v>285</v>
      </c>
      <c r="E14" s="25">
        <f t="shared" si="0"/>
        <v>1862.9</v>
      </c>
      <c r="F14" s="25">
        <f t="shared" si="0"/>
        <v>778.1</v>
      </c>
      <c r="G14" s="25">
        <f t="shared" si="1"/>
        <v>1084.8000000000002</v>
      </c>
      <c r="H14" s="64">
        <f aca="true" t="shared" si="2" ref="H14:H84">F14/E14</f>
        <v>0.4176821085404477</v>
      </c>
    </row>
    <row r="15" spans="1:8" s="35" customFormat="1" ht="14.25" customHeight="1">
      <c r="A15" s="23"/>
      <c r="B15" s="23" t="s">
        <v>166</v>
      </c>
      <c r="C15" s="23"/>
      <c r="D15" s="24" t="s">
        <v>167</v>
      </c>
      <c r="E15" s="25">
        <f t="shared" si="0"/>
        <v>1862.9</v>
      </c>
      <c r="F15" s="25">
        <f t="shared" si="0"/>
        <v>778.1</v>
      </c>
      <c r="G15" s="25">
        <f t="shared" si="1"/>
        <v>1084.8000000000002</v>
      </c>
      <c r="H15" s="64">
        <f t="shared" si="2"/>
        <v>0.4176821085404477</v>
      </c>
    </row>
    <row r="16" spans="1:8" s="35" customFormat="1" ht="76.5">
      <c r="A16" s="23"/>
      <c r="B16" s="23"/>
      <c r="C16" s="23" t="s">
        <v>42</v>
      </c>
      <c r="D16" s="24" t="s">
        <v>149</v>
      </c>
      <c r="E16" s="25">
        <v>1862.9</v>
      </c>
      <c r="F16" s="25">
        <v>778.1</v>
      </c>
      <c r="G16" s="25">
        <f t="shared" si="1"/>
        <v>1084.8000000000002</v>
      </c>
      <c r="H16" s="64">
        <f t="shared" si="2"/>
        <v>0.4176821085404477</v>
      </c>
    </row>
    <row r="17" spans="1:8" s="35" customFormat="1" ht="51">
      <c r="A17" s="23" t="s">
        <v>46</v>
      </c>
      <c r="B17" s="23"/>
      <c r="C17" s="23"/>
      <c r="D17" s="24" t="s">
        <v>183</v>
      </c>
      <c r="E17" s="25">
        <f>E18</f>
        <v>12904.800000000001</v>
      </c>
      <c r="F17" s="25">
        <f>F18</f>
        <v>5688.4</v>
      </c>
      <c r="G17" s="25">
        <f t="shared" si="1"/>
        <v>7216.4000000000015</v>
      </c>
      <c r="H17" s="64">
        <f t="shared" si="2"/>
        <v>0.4407972227388258</v>
      </c>
    </row>
    <row r="18" spans="1:8" s="35" customFormat="1" ht="25.5">
      <c r="A18" s="23"/>
      <c r="B18" s="23" t="s">
        <v>81</v>
      </c>
      <c r="C18" s="23"/>
      <c r="D18" s="24" t="s">
        <v>285</v>
      </c>
      <c r="E18" s="25">
        <f>E19+E23+E25+E27+E29+E31+E33</f>
        <v>12904.800000000001</v>
      </c>
      <c r="F18" s="25">
        <f>F19+F23+F25+F27+F29+F31+F33</f>
        <v>5688.4</v>
      </c>
      <c r="G18" s="25">
        <f t="shared" si="1"/>
        <v>7216.4000000000015</v>
      </c>
      <c r="H18" s="64">
        <f t="shared" si="2"/>
        <v>0.4407972227388258</v>
      </c>
    </row>
    <row r="19" spans="1:8" s="35" customFormat="1" ht="38.25">
      <c r="A19" s="23"/>
      <c r="B19" s="23" t="s">
        <v>147</v>
      </c>
      <c r="C19" s="23"/>
      <c r="D19" s="24" t="s">
        <v>148</v>
      </c>
      <c r="E19" s="25">
        <f>SUM(E20:E22)</f>
        <v>7543.7</v>
      </c>
      <c r="F19" s="25">
        <f>SUM(F20:F22)</f>
        <v>3213.7999999999997</v>
      </c>
      <c r="G19" s="25">
        <f t="shared" si="1"/>
        <v>4329.9</v>
      </c>
      <c r="H19" s="64">
        <f t="shared" si="2"/>
        <v>0.42602436470167154</v>
      </c>
    </row>
    <row r="20" spans="1:8" s="35" customFormat="1" ht="76.5">
      <c r="A20" s="23"/>
      <c r="B20" s="23"/>
      <c r="C20" s="23" t="s">
        <v>42</v>
      </c>
      <c r="D20" s="24" t="s">
        <v>149</v>
      </c>
      <c r="E20" s="25">
        <v>6804.9</v>
      </c>
      <c r="F20" s="25">
        <v>3124.2</v>
      </c>
      <c r="G20" s="25">
        <f t="shared" si="1"/>
        <v>3680.7</v>
      </c>
      <c r="H20" s="64">
        <f t="shared" si="2"/>
        <v>0.45911034695587005</v>
      </c>
    </row>
    <row r="21" spans="1:8" s="35" customFormat="1" ht="25.5">
      <c r="A21" s="23"/>
      <c r="B21" s="23"/>
      <c r="C21" s="23" t="s">
        <v>43</v>
      </c>
      <c r="D21" s="24" t="s">
        <v>150</v>
      </c>
      <c r="E21" s="25">
        <v>718.7</v>
      </c>
      <c r="F21" s="25">
        <v>84.4</v>
      </c>
      <c r="G21" s="25">
        <f t="shared" si="1"/>
        <v>634.3000000000001</v>
      </c>
      <c r="H21" s="64">
        <f t="shared" si="2"/>
        <v>0.11743425629609017</v>
      </c>
    </row>
    <row r="22" spans="1:8" s="35" customFormat="1" ht="12.75">
      <c r="A22" s="23"/>
      <c r="B22" s="23"/>
      <c r="C22" s="23" t="s">
        <v>44</v>
      </c>
      <c r="D22" s="24" t="s">
        <v>45</v>
      </c>
      <c r="E22" s="25">
        <v>20.1</v>
      </c>
      <c r="F22" s="25">
        <v>5.2</v>
      </c>
      <c r="G22" s="25">
        <f t="shared" si="1"/>
        <v>14.900000000000002</v>
      </c>
      <c r="H22" s="64">
        <f t="shared" si="2"/>
        <v>0.25870646766169153</v>
      </c>
    </row>
    <row r="23" spans="1:8" s="35" customFormat="1" ht="25.5">
      <c r="A23" s="23"/>
      <c r="B23" s="23" t="s">
        <v>184</v>
      </c>
      <c r="C23" s="23"/>
      <c r="D23" s="24" t="s">
        <v>185</v>
      </c>
      <c r="E23" s="25">
        <f>SUM(E24)</f>
        <v>1862.9</v>
      </c>
      <c r="F23" s="25">
        <f>SUM(F24)</f>
        <v>865.4</v>
      </c>
      <c r="G23" s="25">
        <f t="shared" si="1"/>
        <v>997.5000000000001</v>
      </c>
      <c r="H23" s="64">
        <f t="shared" si="2"/>
        <v>0.46454452734983087</v>
      </c>
    </row>
    <row r="24" spans="1:8" s="35" customFormat="1" ht="76.5">
      <c r="A24" s="23"/>
      <c r="B24" s="23"/>
      <c r="C24" s="23" t="s">
        <v>42</v>
      </c>
      <c r="D24" s="24" t="s">
        <v>149</v>
      </c>
      <c r="E24" s="25">
        <v>1862.9</v>
      </c>
      <c r="F24" s="25">
        <v>865.4</v>
      </c>
      <c r="G24" s="25">
        <f t="shared" si="1"/>
        <v>997.5000000000001</v>
      </c>
      <c r="H24" s="64">
        <f t="shared" si="2"/>
        <v>0.46454452734983087</v>
      </c>
    </row>
    <row r="25" spans="1:8" s="35" customFormat="1" ht="25.5">
      <c r="A25" s="23"/>
      <c r="B25" s="23" t="s">
        <v>186</v>
      </c>
      <c r="C25" s="23"/>
      <c r="D25" s="24" t="s">
        <v>187</v>
      </c>
      <c r="E25" s="25">
        <f>E26</f>
        <v>3016.9</v>
      </c>
      <c r="F25" s="25">
        <f>F26</f>
        <v>1397.6</v>
      </c>
      <c r="G25" s="25">
        <f t="shared" si="1"/>
        <v>1619.3000000000002</v>
      </c>
      <c r="H25" s="64">
        <f t="shared" si="2"/>
        <v>0.46325698564751894</v>
      </c>
    </row>
    <row r="26" spans="1:8" s="35" customFormat="1" ht="76.5">
      <c r="A26" s="23"/>
      <c r="B26" s="23"/>
      <c r="C26" s="23" t="s">
        <v>42</v>
      </c>
      <c r="D26" s="24" t="s">
        <v>149</v>
      </c>
      <c r="E26" s="25">
        <v>3016.9</v>
      </c>
      <c r="F26" s="25">
        <v>1397.6</v>
      </c>
      <c r="G26" s="25">
        <f t="shared" si="1"/>
        <v>1619.3000000000002</v>
      </c>
      <c r="H26" s="64">
        <f t="shared" si="2"/>
        <v>0.46325698564751894</v>
      </c>
    </row>
    <row r="27" spans="1:8" s="35" customFormat="1" ht="38.25">
      <c r="A27" s="23"/>
      <c r="B27" s="23" t="s">
        <v>500</v>
      </c>
      <c r="C27" s="23"/>
      <c r="D27" s="24" t="s">
        <v>501</v>
      </c>
      <c r="E27" s="25">
        <f>E28</f>
        <v>337.7</v>
      </c>
      <c r="F27" s="25">
        <f>F28</f>
        <v>142.3</v>
      </c>
      <c r="G27" s="25">
        <f t="shared" si="1"/>
        <v>195.39999999999998</v>
      </c>
      <c r="H27" s="64">
        <f t="shared" si="2"/>
        <v>0.42137992300858756</v>
      </c>
    </row>
    <row r="28" spans="1:8" s="35" customFormat="1" ht="76.5">
      <c r="A28" s="23"/>
      <c r="B28" s="23"/>
      <c r="C28" s="23" t="s">
        <v>42</v>
      </c>
      <c r="D28" s="24" t="s">
        <v>149</v>
      </c>
      <c r="E28" s="25">
        <v>337.7</v>
      </c>
      <c r="F28" s="25">
        <v>142.3</v>
      </c>
      <c r="G28" s="25">
        <f t="shared" si="1"/>
        <v>195.39999999999998</v>
      </c>
      <c r="H28" s="64">
        <f t="shared" si="2"/>
        <v>0.42137992300858756</v>
      </c>
    </row>
    <row r="29" spans="1:8" s="35" customFormat="1" ht="38.25">
      <c r="A29" s="23"/>
      <c r="B29" s="23" t="s">
        <v>502</v>
      </c>
      <c r="C29" s="23"/>
      <c r="D29" s="24" t="s">
        <v>503</v>
      </c>
      <c r="E29" s="25">
        <f>E30</f>
        <v>61.3</v>
      </c>
      <c r="F29" s="25">
        <f>F30</f>
        <v>30.7</v>
      </c>
      <c r="G29" s="25">
        <f t="shared" si="1"/>
        <v>30.599999999999998</v>
      </c>
      <c r="H29" s="64">
        <f t="shared" si="2"/>
        <v>0.500815660685155</v>
      </c>
    </row>
    <row r="30" spans="1:8" s="35" customFormat="1" ht="76.5">
      <c r="A30" s="23"/>
      <c r="B30" s="23"/>
      <c r="C30" s="23" t="s">
        <v>42</v>
      </c>
      <c r="D30" s="24" t="s">
        <v>149</v>
      </c>
      <c r="E30" s="25">
        <v>61.3</v>
      </c>
      <c r="F30" s="25">
        <v>30.7</v>
      </c>
      <c r="G30" s="25">
        <f t="shared" si="1"/>
        <v>30.599999999999998</v>
      </c>
      <c r="H30" s="64">
        <f t="shared" si="2"/>
        <v>0.500815660685155</v>
      </c>
    </row>
    <row r="31" spans="1:8" s="35" customFormat="1" ht="38.25">
      <c r="A31" s="23"/>
      <c r="B31" s="23" t="s">
        <v>504</v>
      </c>
      <c r="C31" s="23"/>
      <c r="D31" s="24" t="s">
        <v>506</v>
      </c>
      <c r="E31" s="25">
        <f>E32</f>
        <v>42.6</v>
      </c>
      <c r="F31" s="25">
        <f>F32</f>
        <v>18.8</v>
      </c>
      <c r="G31" s="25">
        <f t="shared" si="1"/>
        <v>23.8</v>
      </c>
      <c r="H31" s="64">
        <f t="shared" si="2"/>
        <v>0.4413145539906103</v>
      </c>
    </row>
    <row r="32" spans="1:8" s="35" customFormat="1" ht="76.5">
      <c r="A32" s="23"/>
      <c r="B32" s="23"/>
      <c r="C32" s="23" t="s">
        <v>42</v>
      </c>
      <c r="D32" s="24" t="s">
        <v>149</v>
      </c>
      <c r="E32" s="25">
        <v>42.6</v>
      </c>
      <c r="F32" s="25">
        <v>18.8</v>
      </c>
      <c r="G32" s="25">
        <f t="shared" si="1"/>
        <v>23.8</v>
      </c>
      <c r="H32" s="64">
        <f t="shared" si="2"/>
        <v>0.4413145539906103</v>
      </c>
    </row>
    <row r="33" spans="1:8" s="35" customFormat="1" ht="38.25">
      <c r="A33" s="23"/>
      <c r="B33" s="23" t="s">
        <v>505</v>
      </c>
      <c r="C33" s="23"/>
      <c r="D33" s="24" t="s">
        <v>507</v>
      </c>
      <c r="E33" s="25">
        <f>E34</f>
        <v>39.7</v>
      </c>
      <c r="F33" s="25">
        <f>F34</f>
        <v>19.8</v>
      </c>
      <c r="G33" s="25">
        <f t="shared" si="1"/>
        <v>19.900000000000002</v>
      </c>
      <c r="H33" s="64">
        <f t="shared" si="2"/>
        <v>0.49874055415617125</v>
      </c>
    </row>
    <row r="34" spans="1:8" s="35" customFormat="1" ht="76.5">
      <c r="A34" s="23"/>
      <c r="B34" s="23"/>
      <c r="C34" s="23" t="s">
        <v>42</v>
      </c>
      <c r="D34" s="24" t="s">
        <v>149</v>
      </c>
      <c r="E34" s="25">
        <v>39.7</v>
      </c>
      <c r="F34" s="25">
        <v>19.8</v>
      </c>
      <c r="G34" s="25">
        <f t="shared" si="1"/>
        <v>19.900000000000002</v>
      </c>
      <c r="H34" s="64">
        <f t="shared" si="2"/>
        <v>0.49874055415617125</v>
      </c>
    </row>
    <row r="35" spans="1:8" s="35" customFormat="1" ht="51" customHeight="1">
      <c r="A35" s="23" t="s">
        <v>51</v>
      </c>
      <c r="B35" s="23"/>
      <c r="C35" s="23"/>
      <c r="D35" s="24" t="s">
        <v>161</v>
      </c>
      <c r="E35" s="25">
        <f>E36+E51+E47+E56+E60+E64+E69+E73</f>
        <v>44275.4</v>
      </c>
      <c r="F35" s="25">
        <f>F36+F51+F47+F56+F60+F64+F69+F73</f>
        <v>22045.2</v>
      </c>
      <c r="G35" s="25">
        <f t="shared" si="1"/>
        <v>22230.2</v>
      </c>
      <c r="H35" s="64">
        <f t="shared" si="2"/>
        <v>0.49791080374203284</v>
      </c>
    </row>
    <row r="36" spans="1:8" s="35" customFormat="1" ht="25.5">
      <c r="A36" s="23"/>
      <c r="B36" s="23" t="s">
        <v>81</v>
      </c>
      <c r="C36" s="23"/>
      <c r="D36" s="24" t="s">
        <v>285</v>
      </c>
      <c r="E36" s="25">
        <f>E37+E41+E44</f>
        <v>40978.7</v>
      </c>
      <c r="F36" s="25">
        <f>F37+F41+F44</f>
        <v>19786.199999999997</v>
      </c>
      <c r="G36" s="25">
        <f t="shared" si="1"/>
        <v>21192.5</v>
      </c>
      <c r="H36" s="64">
        <f t="shared" si="2"/>
        <v>0.4828410857347841</v>
      </c>
    </row>
    <row r="37" spans="1:8" s="35" customFormat="1" ht="38.25">
      <c r="A37" s="23"/>
      <c r="B37" s="23" t="s">
        <v>147</v>
      </c>
      <c r="C37" s="23"/>
      <c r="D37" s="24" t="s">
        <v>148</v>
      </c>
      <c r="E37" s="25">
        <f>SUM(E38:E40)</f>
        <v>40911.5</v>
      </c>
      <c r="F37" s="25">
        <f>SUM(F38:F40)</f>
        <v>19755.6</v>
      </c>
      <c r="G37" s="25">
        <f t="shared" si="1"/>
        <v>21155.9</v>
      </c>
      <c r="H37" s="64">
        <f t="shared" si="2"/>
        <v>0.48288623003312026</v>
      </c>
    </row>
    <row r="38" spans="1:8" s="35" customFormat="1" ht="76.5">
      <c r="A38" s="23"/>
      <c r="B38" s="23"/>
      <c r="C38" s="23" t="s">
        <v>42</v>
      </c>
      <c r="D38" s="24" t="s">
        <v>149</v>
      </c>
      <c r="E38" s="25">
        <f>6969.5+27892.7</f>
        <v>34862.2</v>
      </c>
      <c r="F38" s="25">
        <f>3217.5+13845.6</f>
        <v>17063.1</v>
      </c>
      <c r="G38" s="25">
        <f t="shared" si="1"/>
        <v>17799.1</v>
      </c>
      <c r="H38" s="64">
        <f t="shared" si="2"/>
        <v>0.48944415441366296</v>
      </c>
    </row>
    <row r="39" spans="1:8" s="35" customFormat="1" ht="25.5">
      <c r="A39" s="23"/>
      <c r="B39" s="23"/>
      <c r="C39" s="23" t="s">
        <v>43</v>
      </c>
      <c r="D39" s="24" t="s">
        <v>150</v>
      </c>
      <c r="E39" s="25">
        <f>464.3+5374.7+109</f>
        <v>5948</v>
      </c>
      <c r="F39" s="25">
        <f>254.7+2261+109</f>
        <v>2624.7</v>
      </c>
      <c r="G39" s="25">
        <f t="shared" si="1"/>
        <v>3323.3</v>
      </c>
      <c r="H39" s="64">
        <f t="shared" si="2"/>
        <v>0.4412743779421654</v>
      </c>
    </row>
    <row r="40" spans="1:8" s="35" customFormat="1" ht="12.75">
      <c r="A40" s="23"/>
      <c r="B40" s="23"/>
      <c r="C40" s="23" t="s">
        <v>44</v>
      </c>
      <c r="D40" s="24" t="s">
        <v>45</v>
      </c>
      <c r="E40" s="25">
        <f>3.3+98</f>
        <v>101.3</v>
      </c>
      <c r="F40" s="25">
        <f>1.1+66.7</f>
        <v>67.8</v>
      </c>
      <c r="G40" s="25">
        <f t="shared" si="1"/>
        <v>33.5</v>
      </c>
      <c r="H40" s="64">
        <f t="shared" si="2"/>
        <v>0.6692991115498519</v>
      </c>
    </row>
    <row r="41" spans="1:8" s="35" customFormat="1" ht="63.75">
      <c r="A41" s="23"/>
      <c r="B41" s="23" t="s">
        <v>483</v>
      </c>
      <c r="C41" s="23"/>
      <c r="D41" s="24" t="s">
        <v>484</v>
      </c>
      <c r="E41" s="25">
        <f>E42+E43</f>
        <v>60</v>
      </c>
      <c r="F41" s="25">
        <f>F42+F43</f>
        <v>27</v>
      </c>
      <c r="G41" s="25">
        <f t="shared" si="1"/>
        <v>33</v>
      </c>
      <c r="H41" s="64">
        <f t="shared" si="2"/>
        <v>0.45</v>
      </c>
    </row>
    <row r="42" spans="1:8" s="35" customFormat="1" ht="76.5">
      <c r="A42" s="23"/>
      <c r="B42" s="23"/>
      <c r="C42" s="23" t="s">
        <v>42</v>
      </c>
      <c r="D42" s="24" t="s">
        <v>149</v>
      </c>
      <c r="E42" s="25">
        <v>46</v>
      </c>
      <c r="F42" s="25">
        <v>22</v>
      </c>
      <c r="G42" s="25">
        <f t="shared" si="1"/>
        <v>24</v>
      </c>
      <c r="H42" s="64">
        <f t="shared" si="2"/>
        <v>0.4782608695652174</v>
      </c>
    </row>
    <row r="43" spans="1:8" s="35" customFormat="1" ht="25.5">
      <c r="A43" s="23"/>
      <c r="B43" s="23"/>
      <c r="C43" s="23" t="s">
        <v>43</v>
      </c>
      <c r="D43" s="24" t="s">
        <v>150</v>
      </c>
      <c r="E43" s="25">
        <v>14</v>
      </c>
      <c r="F43" s="25">
        <v>5</v>
      </c>
      <c r="G43" s="25">
        <f t="shared" si="1"/>
        <v>9</v>
      </c>
      <c r="H43" s="64">
        <f t="shared" si="2"/>
        <v>0.35714285714285715</v>
      </c>
    </row>
    <row r="44" spans="1:8" s="35" customFormat="1" ht="38.25">
      <c r="A44" s="23"/>
      <c r="B44" s="23" t="s">
        <v>485</v>
      </c>
      <c r="C44" s="23"/>
      <c r="D44" s="24" t="s">
        <v>486</v>
      </c>
      <c r="E44" s="25">
        <f>E45+E46</f>
        <v>7.199999999999999</v>
      </c>
      <c r="F44" s="25">
        <f>F45+F46</f>
        <v>3.5999999999999996</v>
      </c>
      <c r="G44" s="25">
        <f t="shared" si="1"/>
        <v>3.5999999999999996</v>
      </c>
      <c r="H44" s="64">
        <f t="shared" si="2"/>
        <v>0.5</v>
      </c>
    </row>
    <row r="45" spans="1:8" s="35" customFormat="1" ht="76.5">
      <c r="A45" s="23"/>
      <c r="B45" s="23"/>
      <c r="C45" s="23" t="s">
        <v>42</v>
      </c>
      <c r="D45" s="24" t="s">
        <v>149</v>
      </c>
      <c r="E45" s="25">
        <v>5.8</v>
      </c>
      <c r="F45" s="25">
        <v>2.9</v>
      </c>
      <c r="G45" s="25">
        <f t="shared" si="1"/>
        <v>2.9</v>
      </c>
      <c r="H45" s="64">
        <f t="shared" si="2"/>
        <v>0.5</v>
      </c>
    </row>
    <row r="46" spans="1:8" s="35" customFormat="1" ht="25.5">
      <c r="A46" s="23"/>
      <c r="B46" s="23"/>
      <c r="C46" s="23" t="s">
        <v>43</v>
      </c>
      <c r="D46" s="24" t="s">
        <v>150</v>
      </c>
      <c r="E46" s="25">
        <v>1.4</v>
      </c>
      <c r="F46" s="25">
        <v>0.7</v>
      </c>
      <c r="G46" s="25">
        <f t="shared" si="1"/>
        <v>0.7</v>
      </c>
      <c r="H46" s="64">
        <f t="shared" si="2"/>
        <v>0.5</v>
      </c>
    </row>
    <row r="47" spans="1:8" s="35" customFormat="1" ht="38.25">
      <c r="A47" s="21"/>
      <c r="B47" s="23" t="s">
        <v>60</v>
      </c>
      <c r="C47" s="23"/>
      <c r="D47" s="49" t="s">
        <v>301</v>
      </c>
      <c r="E47" s="25">
        <f aca="true" t="shared" si="3" ref="E47:F49">E48</f>
        <v>1.8</v>
      </c>
      <c r="F47" s="25">
        <f t="shared" si="3"/>
        <v>0.9</v>
      </c>
      <c r="G47" s="25">
        <f t="shared" si="1"/>
        <v>0.9</v>
      </c>
      <c r="H47" s="64">
        <f t="shared" si="2"/>
        <v>0.5</v>
      </c>
    </row>
    <row r="48" spans="1:8" s="35" customFormat="1" ht="76.5">
      <c r="A48" s="21"/>
      <c r="B48" s="23" t="s">
        <v>300</v>
      </c>
      <c r="C48" s="23"/>
      <c r="D48" s="49" t="s">
        <v>302</v>
      </c>
      <c r="E48" s="25">
        <f t="shared" si="3"/>
        <v>1.8</v>
      </c>
      <c r="F48" s="25">
        <f t="shared" si="3"/>
        <v>0.9</v>
      </c>
      <c r="G48" s="25">
        <f t="shared" si="1"/>
        <v>0.9</v>
      </c>
      <c r="H48" s="64">
        <f t="shared" si="2"/>
        <v>0.5</v>
      </c>
    </row>
    <row r="49" spans="1:8" s="35" customFormat="1" ht="63.75">
      <c r="A49" s="21"/>
      <c r="B49" s="23" t="s">
        <v>323</v>
      </c>
      <c r="C49" s="23"/>
      <c r="D49" s="24" t="s">
        <v>61</v>
      </c>
      <c r="E49" s="25">
        <f t="shared" si="3"/>
        <v>1.8</v>
      </c>
      <c r="F49" s="25">
        <f t="shared" si="3"/>
        <v>0.9</v>
      </c>
      <c r="G49" s="25">
        <f t="shared" si="1"/>
        <v>0.9</v>
      </c>
      <c r="H49" s="64">
        <f t="shared" si="2"/>
        <v>0.5</v>
      </c>
    </row>
    <row r="50" spans="1:8" s="35" customFormat="1" ht="25.5">
      <c r="A50" s="21"/>
      <c r="B50" s="23"/>
      <c r="C50" s="23" t="s">
        <v>43</v>
      </c>
      <c r="D50" s="24" t="s">
        <v>150</v>
      </c>
      <c r="E50" s="25">
        <v>1.8</v>
      </c>
      <c r="F50" s="25">
        <v>0.9</v>
      </c>
      <c r="G50" s="25">
        <f t="shared" si="1"/>
        <v>0.9</v>
      </c>
      <c r="H50" s="64">
        <f t="shared" si="2"/>
        <v>0.5</v>
      </c>
    </row>
    <row r="51" spans="1:8" s="35" customFormat="1" ht="25.5">
      <c r="A51" s="23"/>
      <c r="B51" s="23" t="s">
        <v>62</v>
      </c>
      <c r="C51" s="23"/>
      <c r="D51" s="24" t="s">
        <v>307</v>
      </c>
      <c r="E51" s="25">
        <f>E52</f>
        <v>1403.8</v>
      </c>
      <c r="F51" s="25">
        <f>F52</f>
        <v>701.9</v>
      </c>
      <c r="G51" s="25">
        <f t="shared" si="1"/>
        <v>701.9</v>
      </c>
      <c r="H51" s="64">
        <f t="shared" si="2"/>
        <v>0.5</v>
      </c>
    </row>
    <row r="52" spans="1:8" s="35" customFormat="1" ht="51.75" customHeight="1">
      <c r="A52" s="23"/>
      <c r="B52" s="23" t="s">
        <v>306</v>
      </c>
      <c r="C52" s="23"/>
      <c r="D52" s="24" t="s">
        <v>308</v>
      </c>
      <c r="E52" s="25">
        <f>E53</f>
        <v>1403.8</v>
      </c>
      <c r="F52" s="25">
        <f>F53</f>
        <v>701.9</v>
      </c>
      <c r="G52" s="25">
        <f t="shared" si="1"/>
        <v>701.9</v>
      </c>
      <c r="H52" s="64">
        <f t="shared" si="2"/>
        <v>0.5</v>
      </c>
    </row>
    <row r="53" spans="1:8" s="35" customFormat="1" ht="38.25">
      <c r="A53" s="23"/>
      <c r="B53" s="23" t="s">
        <v>305</v>
      </c>
      <c r="C53" s="23"/>
      <c r="D53" s="24" t="s">
        <v>253</v>
      </c>
      <c r="E53" s="25">
        <f>SUM(E54:E55)</f>
        <v>1403.8</v>
      </c>
      <c r="F53" s="25">
        <f>SUM(F54:F55)</f>
        <v>701.9</v>
      </c>
      <c r="G53" s="25">
        <f t="shared" si="1"/>
        <v>701.9</v>
      </c>
      <c r="H53" s="64">
        <f t="shared" si="2"/>
        <v>0.5</v>
      </c>
    </row>
    <row r="54" spans="1:8" s="35" customFormat="1" ht="76.5">
      <c r="A54" s="23"/>
      <c r="B54" s="23"/>
      <c r="C54" s="23" t="s">
        <v>42</v>
      </c>
      <c r="D54" s="24" t="s">
        <v>149</v>
      </c>
      <c r="E54" s="25">
        <v>1357.5</v>
      </c>
      <c r="F54" s="25">
        <v>688</v>
      </c>
      <c r="G54" s="25">
        <f t="shared" si="1"/>
        <v>669.5</v>
      </c>
      <c r="H54" s="64">
        <f t="shared" si="2"/>
        <v>0.5068139963167587</v>
      </c>
    </row>
    <row r="55" spans="1:8" s="35" customFormat="1" ht="25.5">
      <c r="A55" s="21"/>
      <c r="B55" s="23"/>
      <c r="C55" s="23" t="s">
        <v>43</v>
      </c>
      <c r="D55" s="24" t="s">
        <v>150</v>
      </c>
      <c r="E55" s="25">
        <v>46.3</v>
      </c>
      <c r="F55" s="25">
        <v>13.9</v>
      </c>
      <c r="G55" s="25">
        <f t="shared" si="1"/>
        <v>32.4</v>
      </c>
      <c r="H55" s="64">
        <f t="shared" si="2"/>
        <v>0.30021598272138234</v>
      </c>
    </row>
    <row r="56" spans="1:8" s="35" customFormat="1" ht="25.5">
      <c r="A56" s="21"/>
      <c r="B56" s="23" t="s">
        <v>63</v>
      </c>
      <c r="C56" s="23"/>
      <c r="D56" s="24" t="s">
        <v>312</v>
      </c>
      <c r="E56" s="25">
        <f aca="true" t="shared" si="4" ref="E56:F58">E57</f>
        <v>457.1</v>
      </c>
      <c r="F56" s="25">
        <f t="shared" si="4"/>
        <v>153.7</v>
      </c>
      <c r="G56" s="25">
        <f t="shared" si="1"/>
        <v>303.40000000000003</v>
      </c>
      <c r="H56" s="64">
        <f t="shared" si="2"/>
        <v>0.33625027346313713</v>
      </c>
    </row>
    <row r="57" spans="1:8" s="35" customFormat="1" ht="38.25">
      <c r="A57" s="21"/>
      <c r="B57" s="23" t="s">
        <v>311</v>
      </c>
      <c r="C57" s="23"/>
      <c r="D57" s="24" t="s">
        <v>313</v>
      </c>
      <c r="E57" s="25">
        <f t="shared" si="4"/>
        <v>457.1</v>
      </c>
      <c r="F57" s="25">
        <f t="shared" si="4"/>
        <v>153.7</v>
      </c>
      <c r="G57" s="25">
        <f t="shared" si="1"/>
        <v>303.40000000000003</v>
      </c>
      <c r="H57" s="64">
        <f t="shared" si="2"/>
        <v>0.33625027346313713</v>
      </c>
    </row>
    <row r="58" spans="1:8" s="35" customFormat="1" ht="51">
      <c r="A58" s="21"/>
      <c r="B58" s="23" t="s">
        <v>309</v>
      </c>
      <c r="C58" s="23"/>
      <c r="D58" s="24" t="s">
        <v>310</v>
      </c>
      <c r="E58" s="25">
        <f t="shared" si="4"/>
        <v>457.1</v>
      </c>
      <c r="F58" s="25">
        <f t="shared" si="4"/>
        <v>153.7</v>
      </c>
      <c r="G58" s="25">
        <f t="shared" si="1"/>
        <v>303.40000000000003</v>
      </c>
      <c r="H58" s="64">
        <f t="shared" si="2"/>
        <v>0.33625027346313713</v>
      </c>
    </row>
    <row r="59" spans="1:8" s="35" customFormat="1" ht="25.5">
      <c r="A59" s="21"/>
      <c r="B59" s="23"/>
      <c r="C59" s="23" t="s">
        <v>43</v>
      </c>
      <c r="D59" s="24" t="s">
        <v>150</v>
      </c>
      <c r="E59" s="25">
        <v>457.1</v>
      </c>
      <c r="F59" s="25">
        <v>153.7</v>
      </c>
      <c r="G59" s="25">
        <f t="shared" si="1"/>
        <v>303.40000000000003</v>
      </c>
      <c r="H59" s="64">
        <f t="shared" si="2"/>
        <v>0.33625027346313713</v>
      </c>
    </row>
    <row r="60" spans="1:8" s="35" customFormat="1" ht="38.25">
      <c r="A60" s="21"/>
      <c r="B60" s="23" t="s">
        <v>315</v>
      </c>
      <c r="C60" s="23"/>
      <c r="D60" s="49" t="s">
        <v>317</v>
      </c>
      <c r="E60" s="25">
        <f aca="true" t="shared" si="5" ref="E60:F62">E61</f>
        <v>14.4</v>
      </c>
      <c r="F60" s="25">
        <f t="shared" si="5"/>
        <v>0</v>
      </c>
      <c r="G60" s="25">
        <f t="shared" si="1"/>
        <v>14.4</v>
      </c>
      <c r="H60" s="64">
        <f t="shared" si="2"/>
        <v>0</v>
      </c>
    </row>
    <row r="61" spans="1:8" s="35" customFormat="1" ht="54" customHeight="1">
      <c r="A61" s="21"/>
      <c r="B61" s="23" t="s">
        <v>316</v>
      </c>
      <c r="C61" s="23"/>
      <c r="D61" s="49" t="s">
        <v>318</v>
      </c>
      <c r="E61" s="25">
        <f t="shared" si="5"/>
        <v>14.4</v>
      </c>
      <c r="F61" s="25">
        <f t="shared" si="5"/>
        <v>0</v>
      </c>
      <c r="G61" s="25">
        <f t="shared" si="1"/>
        <v>14.4</v>
      </c>
      <c r="H61" s="64">
        <f t="shared" si="2"/>
        <v>0</v>
      </c>
    </row>
    <row r="62" spans="1:8" s="35" customFormat="1" ht="25.5">
      <c r="A62" s="21"/>
      <c r="B62" s="23" t="s">
        <v>314</v>
      </c>
      <c r="C62" s="23"/>
      <c r="D62" s="24" t="s">
        <v>78</v>
      </c>
      <c r="E62" s="25">
        <f t="shared" si="5"/>
        <v>14.4</v>
      </c>
      <c r="F62" s="25">
        <f t="shared" si="5"/>
        <v>0</v>
      </c>
      <c r="G62" s="25">
        <f t="shared" si="1"/>
        <v>14.4</v>
      </c>
      <c r="H62" s="64">
        <f t="shared" si="2"/>
        <v>0</v>
      </c>
    </row>
    <row r="63" spans="1:8" s="35" customFormat="1" ht="25.5">
      <c r="A63" s="21"/>
      <c r="B63" s="23"/>
      <c r="C63" s="23" t="s">
        <v>43</v>
      </c>
      <c r="D63" s="24" t="s">
        <v>150</v>
      </c>
      <c r="E63" s="25">
        <v>14.4</v>
      </c>
      <c r="F63" s="25">
        <v>0</v>
      </c>
      <c r="G63" s="25">
        <f t="shared" si="1"/>
        <v>14.4</v>
      </c>
      <c r="H63" s="64">
        <f t="shared" si="2"/>
        <v>0</v>
      </c>
    </row>
    <row r="64" spans="1:8" s="35" customFormat="1" ht="25.5">
      <c r="A64" s="21"/>
      <c r="B64" s="23" t="s">
        <v>67</v>
      </c>
      <c r="C64" s="23"/>
      <c r="D64" s="49" t="s">
        <v>322</v>
      </c>
      <c r="E64" s="25">
        <f>E65</f>
        <v>17.1</v>
      </c>
      <c r="F64" s="25">
        <f>F65</f>
        <v>0</v>
      </c>
      <c r="G64" s="25">
        <f t="shared" si="1"/>
        <v>17.1</v>
      </c>
      <c r="H64" s="64">
        <f t="shared" si="2"/>
        <v>0</v>
      </c>
    </row>
    <row r="65" spans="1:8" s="35" customFormat="1" ht="63.75">
      <c r="A65" s="21"/>
      <c r="B65" s="23" t="s">
        <v>320</v>
      </c>
      <c r="C65" s="23"/>
      <c r="D65" s="49" t="s">
        <v>321</v>
      </c>
      <c r="E65" s="25">
        <f>E66</f>
        <v>17.1</v>
      </c>
      <c r="F65" s="25">
        <f>F66</f>
        <v>0</v>
      </c>
      <c r="G65" s="25">
        <f t="shared" si="1"/>
        <v>17.1</v>
      </c>
      <c r="H65" s="64">
        <f t="shared" si="2"/>
        <v>0</v>
      </c>
    </row>
    <row r="66" spans="1:8" s="35" customFormat="1" ht="78" customHeight="1">
      <c r="A66" s="21"/>
      <c r="B66" s="23" t="s">
        <v>319</v>
      </c>
      <c r="C66" s="23"/>
      <c r="D66" s="24" t="s">
        <v>254</v>
      </c>
      <c r="E66" s="25">
        <f>SUM(E67:E68)</f>
        <v>17.1</v>
      </c>
      <c r="F66" s="25">
        <f>SUM(F67:F68)</f>
        <v>0</v>
      </c>
      <c r="G66" s="25">
        <f t="shared" si="1"/>
        <v>17.1</v>
      </c>
      <c r="H66" s="64">
        <f t="shared" si="2"/>
        <v>0</v>
      </c>
    </row>
    <row r="67" spans="1:8" s="35" customFormat="1" ht="76.5">
      <c r="A67" s="21"/>
      <c r="B67" s="23"/>
      <c r="C67" s="23" t="s">
        <v>42</v>
      </c>
      <c r="D67" s="24" t="s">
        <v>149</v>
      </c>
      <c r="E67" s="25">
        <v>9.2</v>
      </c>
      <c r="F67" s="25">
        <v>0</v>
      </c>
      <c r="G67" s="25">
        <f t="shared" si="1"/>
        <v>9.2</v>
      </c>
      <c r="H67" s="64">
        <f t="shared" si="2"/>
        <v>0</v>
      </c>
    </row>
    <row r="68" spans="1:8" s="35" customFormat="1" ht="25.5">
      <c r="A68" s="21"/>
      <c r="B68" s="23"/>
      <c r="C68" s="23" t="s">
        <v>43</v>
      </c>
      <c r="D68" s="24" t="s">
        <v>150</v>
      </c>
      <c r="E68" s="25">
        <v>7.9</v>
      </c>
      <c r="F68" s="25">
        <v>0</v>
      </c>
      <c r="G68" s="25">
        <f t="shared" si="1"/>
        <v>7.9</v>
      </c>
      <c r="H68" s="64">
        <f t="shared" si="2"/>
        <v>0</v>
      </c>
    </row>
    <row r="69" spans="1:8" s="35" customFormat="1" ht="38.25">
      <c r="A69" s="21"/>
      <c r="B69" s="23" t="s">
        <v>71</v>
      </c>
      <c r="C69" s="23"/>
      <c r="D69" s="49" t="s">
        <v>1057</v>
      </c>
      <c r="E69" s="25">
        <f aca="true" t="shared" si="6" ref="E69:F71">E70</f>
        <v>30</v>
      </c>
      <c r="F69" s="25">
        <f t="shared" si="6"/>
        <v>30</v>
      </c>
      <c r="G69" s="57">
        <f aca="true" t="shared" si="7" ref="G69:G75">E69-F69</f>
        <v>0</v>
      </c>
      <c r="H69" s="59">
        <f aca="true" t="shared" si="8" ref="H69:H75">F69/E69</f>
        <v>1</v>
      </c>
    </row>
    <row r="70" spans="1:8" s="35" customFormat="1" ht="51">
      <c r="A70" s="21"/>
      <c r="B70" s="23" t="s">
        <v>1027</v>
      </c>
      <c r="C70" s="23"/>
      <c r="D70" s="49" t="s">
        <v>1058</v>
      </c>
      <c r="E70" s="25">
        <f t="shared" si="6"/>
        <v>30</v>
      </c>
      <c r="F70" s="25">
        <f t="shared" si="6"/>
        <v>30</v>
      </c>
      <c r="G70" s="57">
        <f t="shared" si="7"/>
        <v>0</v>
      </c>
      <c r="H70" s="59">
        <f t="shared" si="8"/>
        <v>1</v>
      </c>
    </row>
    <row r="71" spans="1:8" s="35" customFormat="1" ht="89.25">
      <c r="A71" s="21"/>
      <c r="B71" s="23" t="s">
        <v>1028</v>
      </c>
      <c r="C71" s="23"/>
      <c r="D71" s="49" t="s">
        <v>1059</v>
      </c>
      <c r="E71" s="25">
        <f t="shared" si="6"/>
        <v>30</v>
      </c>
      <c r="F71" s="25">
        <f t="shared" si="6"/>
        <v>30</v>
      </c>
      <c r="G71" s="57">
        <f t="shared" si="7"/>
        <v>0</v>
      </c>
      <c r="H71" s="59">
        <f t="shared" si="8"/>
        <v>1</v>
      </c>
    </row>
    <row r="72" spans="1:8" s="35" customFormat="1" ht="76.5">
      <c r="A72" s="21"/>
      <c r="B72" s="23"/>
      <c r="C72" s="23" t="s">
        <v>42</v>
      </c>
      <c r="D72" s="24" t="s">
        <v>149</v>
      </c>
      <c r="E72" s="25">
        <v>30</v>
      </c>
      <c r="F72" s="25">
        <v>30</v>
      </c>
      <c r="G72" s="57">
        <f t="shared" si="7"/>
        <v>0</v>
      </c>
      <c r="H72" s="59">
        <f t="shared" si="8"/>
        <v>1</v>
      </c>
    </row>
    <row r="73" spans="1:8" s="35" customFormat="1" ht="38.25">
      <c r="A73" s="21"/>
      <c r="B73" s="23" t="s">
        <v>475</v>
      </c>
      <c r="C73" s="23"/>
      <c r="D73" s="49" t="s">
        <v>478</v>
      </c>
      <c r="E73" s="25">
        <f>E74</f>
        <v>1372.5</v>
      </c>
      <c r="F73" s="25">
        <f>F74</f>
        <v>1372.5</v>
      </c>
      <c r="G73" s="57">
        <f t="shared" si="7"/>
        <v>0</v>
      </c>
      <c r="H73" s="59">
        <f t="shared" si="8"/>
        <v>1</v>
      </c>
    </row>
    <row r="74" spans="1:8" s="35" customFormat="1" ht="51">
      <c r="A74" s="21"/>
      <c r="B74" s="23" t="s">
        <v>477</v>
      </c>
      <c r="C74" s="23"/>
      <c r="D74" s="24" t="s">
        <v>476</v>
      </c>
      <c r="E74" s="25">
        <f>E75</f>
        <v>1372.5</v>
      </c>
      <c r="F74" s="25">
        <f>F75</f>
        <v>1372.5</v>
      </c>
      <c r="G74" s="57">
        <f t="shared" si="7"/>
        <v>0</v>
      </c>
      <c r="H74" s="59">
        <f t="shared" si="8"/>
        <v>1</v>
      </c>
    </row>
    <row r="75" spans="1:8" s="35" customFormat="1" ht="12.75">
      <c r="A75" s="21"/>
      <c r="B75" s="23"/>
      <c r="C75" s="26" t="s">
        <v>385</v>
      </c>
      <c r="D75" s="53" t="s">
        <v>386</v>
      </c>
      <c r="E75" s="25">
        <v>1372.5</v>
      </c>
      <c r="F75" s="25">
        <v>1372.5</v>
      </c>
      <c r="G75" s="57">
        <f t="shared" si="7"/>
        <v>0</v>
      </c>
      <c r="H75" s="59">
        <f t="shared" si="8"/>
        <v>1</v>
      </c>
    </row>
    <row r="76" spans="1:8" ht="36.75" customHeight="1">
      <c r="A76" s="23" t="s">
        <v>52</v>
      </c>
      <c r="B76" s="23"/>
      <c r="C76" s="23"/>
      <c r="D76" s="24" t="s">
        <v>155</v>
      </c>
      <c r="E76" s="25">
        <f>E77+E90</f>
        <v>12018.900000000001</v>
      </c>
      <c r="F76" s="25">
        <f>F77+F90</f>
        <v>5186.800000000001</v>
      </c>
      <c r="G76" s="25">
        <f t="shared" si="1"/>
        <v>6832.1</v>
      </c>
      <c r="H76" s="64">
        <f t="shared" si="2"/>
        <v>0.4315536363560726</v>
      </c>
    </row>
    <row r="77" spans="1:8" ht="25.5">
      <c r="A77" s="23"/>
      <c r="B77" s="23" t="s">
        <v>81</v>
      </c>
      <c r="C77" s="23"/>
      <c r="D77" s="24" t="s">
        <v>285</v>
      </c>
      <c r="E77" s="25">
        <f>E78+E82+E84+E86+E88</f>
        <v>11953.400000000001</v>
      </c>
      <c r="F77" s="25">
        <f>F78+F82+F84+F86+F88</f>
        <v>5154.000000000001</v>
      </c>
      <c r="G77" s="25">
        <f t="shared" si="1"/>
        <v>6799.400000000001</v>
      </c>
      <c r="H77" s="64">
        <f t="shared" si="2"/>
        <v>0.4311743938962973</v>
      </c>
    </row>
    <row r="78" spans="1:8" ht="38.25">
      <c r="A78" s="23"/>
      <c r="B78" s="23" t="s">
        <v>147</v>
      </c>
      <c r="C78" s="23"/>
      <c r="D78" s="24" t="s">
        <v>148</v>
      </c>
      <c r="E78" s="25">
        <f>SUM(E79:E81)</f>
        <v>11528</v>
      </c>
      <c r="F78" s="25">
        <f>SUM(F79:F81)</f>
        <v>4943.1</v>
      </c>
      <c r="G78" s="25">
        <f t="shared" si="1"/>
        <v>6584.9</v>
      </c>
      <c r="H78" s="64">
        <f t="shared" si="2"/>
        <v>0.4287907702984039</v>
      </c>
    </row>
    <row r="79" spans="1:8" ht="76.5">
      <c r="A79" s="23"/>
      <c r="B79" s="23"/>
      <c r="C79" s="23" t="s">
        <v>42</v>
      </c>
      <c r="D79" s="24" t="s">
        <v>149</v>
      </c>
      <c r="E79" s="25">
        <v>10205.9</v>
      </c>
      <c r="F79" s="25">
        <v>4734.6</v>
      </c>
      <c r="G79" s="25">
        <f t="shared" si="1"/>
        <v>5471.299999999999</v>
      </c>
      <c r="H79" s="64">
        <f t="shared" si="2"/>
        <v>0.4639081315709541</v>
      </c>
    </row>
    <row r="80" spans="1:8" ht="25.5">
      <c r="A80" s="23"/>
      <c r="B80" s="23"/>
      <c r="C80" s="23" t="s">
        <v>43</v>
      </c>
      <c r="D80" s="24" t="s">
        <v>150</v>
      </c>
      <c r="E80" s="25">
        <v>1320.9</v>
      </c>
      <c r="F80" s="25">
        <v>208.2</v>
      </c>
      <c r="G80" s="25">
        <f t="shared" si="1"/>
        <v>1112.7</v>
      </c>
      <c r="H80" s="64">
        <f t="shared" si="2"/>
        <v>0.15761980467862818</v>
      </c>
    </row>
    <row r="81" spans="1:8" ht="12.75">
      <c r="A81" s="23"/>
      <c r="B81" s="23"/>
      <c r="C81" s="23" t="s">
        <v>44</v>
      </c>
      <c r="D81" s="24" t="s">
        <v>45</v>
      </c>
      <c r="E81" s="25">
        <v>1.2</v>
      </c>
      <c r="F81" s="25">
        <v>0.3</v>
      </c>
      <c r="G81" s="25">
        <f t="shared" si="1"/>
        <v>0.8999999999999999</v>
      </c>
      <c r="H81" s="64">
        <f t="shared" si="2"/>
        <v>0.25</v>
      </c>
    </row>
    <row r="82" spans="1:8" ht="51">
      <c r="A82" s="23"/>
      <c r="B82" s="23" t="s">
        <v>463</v>
      </c>
      <c r="C82" s="23"/>
      <c r="D82" s="24" t="s">
        <v>464</v>
      </c>
      <c r="E82" s="25">
        <f>E83</f>
        <v>224.1</v>
      </c>
      <c r="F82" s="25">
        <f>F83</f>
        <v>110.3</v>
      </c>
      <c r="G82" s="25">
        <f t="shared" si="1"/>
        <v>113.8</v>
      </c>
      <c r="H82" s="64">
        <f t="shared" si="2"/>
        <v>0.4921909861668898</v>
      </c>
    </row>
    <row r="83" spans="1:8" ht="76.5">
      <c r="A83" s="23"/>
      <c r="B83" s="23"/>
      <c r="C83" s="23" t="s">
        <v>42</v>
      </c>
      <c r="D83" s="24" t="s">
        <v>149</v>
      </c>
      <c r="E83" s="25">
        <v>224.1</v>
      </c>
      <c r="F83" s="25">
        <v>110.3</v>
      </c>
      <c r="G83" s="25">
        <f t="shared" si="1"/>
        <v>113.8</v>
      </c>
      <c r="H83" s="64">
        <f t="shared" si="2"/>
        <v>0.4921909861668898</v>
      </c>
    </row>
    <row r="84" spans="1:8" ht="51">
      <c r="A84" s="23"/>
      <c r="B84" s="23" t="s">
        <v>465</v>
      </c>
      <c r="C84" s="23"/>
      <c r="D84" s="24" t="s">
        <v>468</v>
      </c>
      <c r="E84" s="25">
        <f>E85</f>
        <v>76.7</v>
      </c>
      <c r="F84" s="25">
        <f>F85</f>
        <v>38.3</v>
      </c>
      <c r="G84" s="25">
        <f aca="true" t="shared" si="9" ref="G84:G152">E84-F84</f>
        <v>38.400000000000006</v>
      </c>
      <c r="H84" s="64">
        <f t="shared" si="2"/>
        <v>0.499348109517601</v>
      </c>
    </row>
    <row r="85" spans="1:8" ht="76.5">
      <c r="A85" s="23"/>
      <c r="B85" s="23"/>
      <c r="C85" s="23" t="s">
        <v>42</v>
      </c>
      <c r="D85" s="24" t="s">
        <v>149</v>
      </c>
      <c r="E85" s="25">
        <v>76.7</v>
      </c>
      <c r="F85" s="25">
        <v>38.3</v>
      </c>
      <c r="G85" s="25">
        <f t="shared" si="9"/>
        <v>38.400000000000006</v>
      </c>
      <c r="H85" s="64">
        <f aca="true" t="shared" si="10" ref="H85:H153">F85/E85</f>
        <v>0.499348109517601</v>
      </c>
    </row>
    <row r="86" spans="1:8" ht="38.25">
      <c r="A86" s="23"/>
      <c r="B86" s="23" t="s">
        <v>466</v>
      </c>
      <c r="C86" s="23"/>
      <c r="D86" s="24" t="s">
        <v>467</v>
      </c>
      <c r="E86" s="25">
        <f>E87</f>
        <v>67.1</v>
      </c>
      <c r="F86" s="25">
        <f>F87</f>
        <v>33.6</v>
      </c>
      <c r="G86" s="25">
        <f t="shared" si="9"/>
        <v>33.49999999999999</v>
      </c>
      <c r="H86" s="64">
        <f t="shared" si="10"/>
        <v>0.5007451564828614</v>
      </c>
    </row>
    <row r="87" spans="1:8" ht="76.5">
      <c r="A87" s="23"/>
      <c r="B87" s="23"/>
      <c r="C87" s="23" t="s">
        <v>42</v>
      </c>
      <c r="D87" s="24" t="s">
        <v>149</v>
      </c>
      <c r="E87" s="25">
        <v>67.1</v>
      </c>
      <c r="F87" s="25">
        <v>33.6</v>
      </c>
      <c r="G87" s="25">
        <f t="shared" si="9"/>
        <v>33.49999999999999</v>
      </c>
      <c r="H87" s="64">
        <f t="shared" si="10"/>
        <v>0.5007451564828614</v>
      </c>
    </row>
    <row r="88" spans="1:8" ht="51">
      <c r="A88" s="23"/>
      <c r="B88" s="23" t="s">
        <v>469</v>
      </c>
      <c r="C88" s="23"/>
      <c r="D88" s="24" t="s">
        <v>470</v>
      </c>
      <c r="E88" s="25">
        <f>E89</f>
        <v>57.5</v>
      </c>
      <c r="F88" s="25">
        <f>F89</f>
        <v>28.7</v>
      </c>
      <c r="G88" s="25">
        <f t="shared" si="9"/>
        <v>28.8</v>
      </c>
      <c r="H88" s="64">
        <f t="shared" si="10"/>
        <v>0.49913043478260866</v>
      </c>
    </row>
    <row r="89" spans="1:8" ht="76.5">
      <c r="A89" s="23"/>
      <c r="B89" s="23"/>
      <c r="C89" s="23" t="s">
        <v>42</v>
      </c>
      <c r="D89" s="24" t="s">
        <v>149</v>
      </c>
      <c r="E89" s="25">
        <v>57.5</v>
      </c>
      <c r="F89" s="25">
        <v>28.7</v>
      </c>
      <c r="G89" s="25">
        <f t="shared" si="9"/>
        <v>28.8</v>
      </c>
      <c r="H89" s="64">
        <f t="shared" si="10"/>
        <v>0.49913043478260866</v>
      </c>
    </row>
    <row r="90" spans="1:8" ht="38.25">
      <c r="A90" s="23"/>
      <c r="B90" s="23" t="s">
        <v>53</v>
      </c>
      <c r="C90" s="23"/>
      <c r="D90" s="24" t="s">
        <v>289</v>
      </c>
      <c r="E90" s="25">
        <f aca="true" t="shared" si="11" ref="E90:F92">E91</f>
        <v>65.5</v>
      </c>
      <c r="F90" s="25">
        <f t="shared" si="11"/>
        <v>32.8</v>
      </c>
      <c r="G90" s="25">
        <f t="shared" si="9"/>
        <v>32.7</v>
      </c>
      <c r="H90" s="64">
        <f t="shared" si="10"/>
        <v>0.5007633587786259</v>
      </c>
    </row>
    <row r="91" spans="1:8" ht="63.75">
      <c r="A91" s="23"/>
      <c r="B91" s="23" t="s">
        <v>290</v>
      </c>
      <c r="C91" s="23"/>
      <c r="D91" s="24" t="s">
        <v>291</v>
      </c>
      <c r="E91" s="25">
        <f t="shared" si="11"/>
        <v>65.5</v>
      </c>
      <c r="F91" s="25">
        <f t="shared" si="11"/>
        <v>32.8</v>
      </c>
      <c r="G91" s="25">
        <f t="shared" si="9"/>
        <v>32.7</v>
      </c>
      <c r="H91" s="64">
        <f t="shared" si="10"/>
        <v>0.5007633587786259</v>
      </c>
    </row>
    <row r="92" spans="1:8" ht="38.25">
      <c r="A92" s="23"/>
      <c r="B92" s="23" t="s">
        <v>288</v>
      </c>
      <c r="C92" s="23"/>
      <c r="D92" s="24" t="s">
        <v>54</v>
      </c>
      <c r="E92" s="25">
        <f t="shared" si="11"/>
        <v>65.5</v>
      </c>
      <c r="F92" s="25">
        <f t="shared" si="11"/>
        <v>32.8</v>
      </c>
      <c r="G92" s="25">
        <f t="shared" si="9"/>
        <v>32.7</v>
      </c>
      <c r="H92" s="64">
        <f t="shared" si="10"/>
        <v>0.5007633587786259</v>
      </c>
    </row>
    <row r="93" spans="1:8" ht="76.5">
      <c r="A93" s="23"/>
      <c r="B93" s="23"/>
      <c r="C93" s="23" t="s">
        <v>42</v>
      </c>
      <c r="D93" s="24" t="s">
        <v>149</v>
      </c>
      <c r="E93" s="25">
        <v>65.5</v>
      </c>
      <c r="F93" s="25">
        <v>32.8</v>
      </c>
      <c r="G93" s="25">
        <f t="shared" si="9"/>
        <v>32.7</v>
      </c>
      <c r="H93" s="64">
        <f t="shared" si="10"/>
        <v>0.5007633587786259</v>
      </c>
    </row>
    <row r="94" spans="1:8" ht="12.75">
      <c r="A94" s="23" t="s">
        <v>56</v>
      </c>
      <c r="B94" s="23"/>
      <c r="C94" s="23"/>
      <c r="D94" s="24" t="s">
        <v>57</v>
      </c>
      <c r="E94" s="25">
        <f aca="true" t="shared" si="12" ref="E94:F96">E95</f>
        <v>1666.7</v>
      </c>
      <c r="F94" s="25">
        <f t="shared" si="12"/>
        <v>0</v>
      </c>
      <c r="G94" s="25">
        <f t="shared" si="9"/>
        <v>1666.7</v>
      </c>
      <c r="H94" s="64">
        <f t="shared" si="10"/>
        <v>0</v>
      </c>
    </row>
    <row r="95" spans="1:8" ht="25.5">
      <c r="A95" s="23"/>
      <c r="B95" s="23" t="s">
        <v>55</v>
      </c>
      <c r="C95" s="23"/>
      <c r="D95" s="24" t="s">
        <v>297</v>
      </c>
      <c r="E95" s="25">
        <f t="shared" si="12"/>
        <v>1666.7</v>
      </c>
      <c r="F95" s="25">
        <f t="shared" si="12"/>
        <v>0</v>
      </c>
      <c r="G95" s="25">
        <f t="shared" si="9"/>
        <v>1666.7</v>
      </c>
      <c r="H95" s="64">
        <f t="shared" si="10"/>
        <v>0</v>
      </c>
    </row>
    <row r="96" spans="1:8" ht="25.5">
      <c r="A96" s="23"/>
      <c r="B96" s="23" t="s">
        <v>244</v>
      </c>
      <c r="C96" s="23"/>
      <c r="D96" s="24" t="s">
        <v>245</v>
      </c>
      <c r="E96" s="25">
        <f t="shared" si="12"/>
        <v>1666.7</v>
      </c>
      <c r="F96" s="25">
        <f t="shared" si="12"/>
        <v>0</v>
      </c>
      <c r="G96" s="25">
        <f t="shared" si="9"/>
        <v>1666.7</v>
      </c>
      <c r="H96" s="64">
        <f t="shared" si="10"/>
        <v>0</v>
      </c>
    </row>
    <row r="97" spans="1:8" ht="12.75">
      <c r="A97" s="23"/>
      <c r="B97" s="23"/>
      <c r="C97" s="23" t="s">
        <v>44</v>
      </c>
      <c r="D97" s="24" t="s">
        <v>45</v>
      </c>
      <c r="E97" s="25">
        <v>1666.7</v>
      </c>
      <c r="F97" s="25">
        <v>0</v>
      </c>
      <c r="G97" s="25">
        <f t="shared" si="9"/>
        <v>1666.7</v>
      </c>
      <c r="H97" s="64">
        <f t="shared" si="10"/>
        <v>0</v>
      </c>
    </row>
    <row r="98" spans="1:8" ht="12.75">
      <c r="A98" s="23" t="s">
        <v>58</v>
      </c>
      <c r="B98" s="23"/>
      <c r="C98" s="23"/>
      <c r="D98" s="24" t="s">
        <v>59</v>
      </c>
      <c r="E98" s="25">
        <f>E110+E99+E139+E143+E152+E155</f>
        <v>34933.1</v>
      </c>
      <c r="F98" s="25">
        <f>F110+F99+F139+F143+F152+F155</f>
        <v>12790</v>
      </c>
      <c r="G98" s="25">
        <f t="shared" si="9"/>
        <v>22143.1</v>
      </c>
      <c r="H98" s="64">
        <f t="shared" si="10"/>
        <v>0.36612839971259353</v>
      </c>
    </row>
    <row r="99" spans="1:8" ht="25.5">
      <c r="A99" s="23"/>
      <c r="B99" s="23" t="s">
        <v>81</v>
      </c>
      <c r="C99" s="23"/>
      <c r="D99" s="24" t="s">
        <v>285</v>
      </c>
      <c r="E99" s="25">
        <f>E100+E104+E108+E106</f>
        <v>19627.6</v>
      </c>
      <c r="F99" s="25">
        <f>F100+F104+F108+F106</f>
        <v>7563.2</v>
      </c>
      <c r="G99" s="25">
        <f t="shared" si="9"/>
        <v>12064.399999999998</v>
      </c>
      <c r="H99" s="64">
        <f t="shared" si="10"/>
        <v>0.3853349365179645</v>
      </c>
    </row>
    <row r="100" spans="1:8" ht="25.5">
      <c r="A100" s="23"/>
      <c r="B100" s="23" t="s">
        <v>223</v>
      </c>
      <c r="C100" s="23"/>
      <c r="D100" s="24" t="s">
        <v>64</v>
      </c>
      <c r="E100" s="25">
        <f>SUM(E101:E103)</f>
        <v>19413.399999999998</v>
      </c>
      <c r="F100" s="25">
        <f>SUM(F101:F103)</f>
        <v>7563.2</v>
      </c>
      <c r="G100" s="25">
        <f t="shared" si="9"/>
        <v>11850.199999999997</v>
      </c>
      <c r="H100" s="64">
        <f t="shared" si="10"/>
        <v>0.3895865742219292</v>
      </c>
    </row>
    <row r="101" spans="1:8" ht="76.5">
      <c r="A101" s="23"/>
      <c r="B101" s="23"/>
      <c r="C101" s="23" t="s">
        <v>42</v>
      </c>
      <c r="D101" s="24" t="s">
        <v>149</v>
      </c>
      <c r="E101" s="25">
        <f>2931.9+10425.2+4988</f>
        <v>18345.1</v>
      </c>
      <c r="F101" s="25">
        <f>495+4081.7+2425</f>
        <v>7001.7</v>
      </c>
      <c r="G101" s="25">
        <f t="shared" si="9"/>
        <v>11343.399999999998</v>
      </c>
      <c r="H101" s="64">
        <f t="shared" si="10"/>
        <v>0.381665948945495</v>
      </c>
    </row>
    <row r="102" spans="1:8" ht="25.5">
      <c r="A102" s="23"/>
      <c r="B102" s="23"/>
      <c r="C102" s="23" t="s">
        <v>43</v>
      </c>
      <c r="D102" s="24" t="s">
        <v>150</v>
      </c>
      <c r="E102" s="25">
        <f>147.7+529.3+342.2</f>
        <v>1019.2</v>
      </c>
      <c r="F102" s="25">
        <f>11.6+364.1+164</f>
        <v>539.7</v>
      </c>
      <c r="G102" s="25">
        <f t="shared" si="9"/>
        <v>479.5</v>
      </c>
      <c r="H102" s="64">
        <f t="shared" si="10"/>
        <v>0.529532967032967</v>
      </c>
    </row>
    <row r="103" spans="1:8" ht="12.75">
      <c r="A103" s="23"/>
      <c r="B103" s="23"/>
      <c r="C103" s="23" t="s">
        <v>44</v>
      </c>
      <c r="D103" s="24" t="s">
        <v>45</v>
      </c>
      <c r="E103" s="25">
        <f>1.8+47.3</f>
        <v>49.099999999999994</v>
      </c>
      <c r="F103" s="25">
        <f>1.2+20.6</f>
        <v>21.8</v>
      </c>
      <c r="G103" s="25">
        <f t="shared" si="9"/>
        <v>27.299999999999994</v>
      </c>
      <c r="H103" s="64">
        <f t="shared" si="10"/>
        <v>0.44399185336048885</v>
      </c>
    </row>
    <row r="104" spans="1:8" ht="114.75">
      <c r="A104" s="23"/>
      <c r="B104" s="23" t="s">
        <v>487</v>
      </c>
      <c r="C104" s="23"/>
      <c r="D104" s="24" t="s">
        <v>1016</v>
      </c>
      <c r="E104" s="25">
        <f>E105</f>
        <v>151.2</v>
      </c>
      <c r="F104" s="25">
        <f>F105</f>
        <v>0</v>
      </c>
      <c r="G104" s="25">
        <f t="shared" si="9"/>
        <v>151.2</v>
      </c>
      <c r="H104" s="64">
        <f t="shared" si="10"/>
        <v>0</v>
      </c>
    </row>
    <row r="105" spans="1:8" ht="76.5">
      <c r="A105" s="23"/>
      <c r="B105" s="23"/>
      <c r="C105" s="23" t="s">
        <v>42</v>
      </c>
      <c r="D105" s="24" t="s">
        <v>149</v>
      </c>
      <c r="E105" s="25">
        <v>151.2</v>
      </c>
      <c r="F105" s="25">
        <v>0</v>
      </c>
      <c r="G105" s="25">
        <f t="shared" si="9"/>
        <v>151.2</v>
      </c>
      <c r="H105" s="64">
        <f t="shared" si="10"/>
        <v>0</v>
      </c>
    </row>
    <row r="106" spans="1:8" ht="102">
      <c r="A106" s="23"/>
      <c r="B106" s="23" t="s">
        <v>1079</v>
      </c>
      <c r="C106" s="23"/>
      <c r="D106" s="24" t="s">
        <v>1080</v>
      </c>
      <c r="E106" s="25">
        <f>E107</f>
        <v>29.4</v>
      </c>
      <c r="F106" s="25">
        <f>F107</f>
        <v>0</v>
      </c>
      <c r="G106" s="25">
        <f>E106-F106</f>
        <v>29.4</v>
      </c>
      <c r="H106" s="64">
        <f>F106/E106</f>
        <v>0</v>
      </c>
    </row>
    <row r="107" spans="1:8" ht="76.5">
      <c r="A107" s="23"/>
      <c r="B107" s="23"/>
      <c r="C107" s="23" t="s">
        <v>42</v>
      </c>
      <c r="D107" s="24" t="s">
        <v>149</v>
      </c>
      <c r="E107" s="25">
        <v>29.4</v>
      </c>
      <c r="F107" s="25">
        <v>0</v>
      </c>
      <c r="G107" s="25">
        <f>E107-F107</f>
        <v>29.4</v>
      </c>
      <c r="H107" s="64">
        <f>F107/E107</f>
        <v>0</v>
      </c>
    </row>
    <row r="108" spans="1:8" ht="75" customHeight="1">
      <c r="A108" s="23"/>
      <c r="B108" s="23" t="s">
        <v>489</v>
      </c>
      <c r="C108" s="23"/>
      <c r="D108" s="24" t="s">
        <v>490</v>
      </c>
      <c r="E108" s="25">
        <f>E109</f>
        <v>33.6</v>
      </c>
      <c r="F108" s="25">
        <f>F109</f>
        <v>0</v>
      </c>
      <c r="G108" s="25">
        <f t="shared" si="9"/>
        <v>33.6</v>
      </c>
      <c r="H108" s="64">
        <f t="shared" si="10"/>
        <v>0</v>
      </c>
    </row>
    <row r="109" spans="1:8" ht="76.5">
      <c r="A109" s="23"/>
      <c r="B109" s="23"/>
      <c r="C109" s="23" t="s">
        <v>42</v>
      </c>
      <c r="D109" s="24" t="s">
        <v>149</v>
      </c>
      <c r="E109" s="25">
        <v>33.6</v>
      </c>
      <c r="F109" s="25">
        <v>0</v>
      </c>
      <c r="G109" s="25">
        <f t="shared" si="9"/>
        <v>33.6</v>
      </c>
      <c r="H109" s="64">
        <f t="shared" si="10"/>
        <v>0</v>
      </c>
    </row>
    <row r="110" spans="1:8" ht="25.5">
      <c r="A110" s="23"/>
      <c r="B110" s="23" t="s">
        <v>55</v>
      </c>
      <c r="C110" s="23"/>
      <c r="D110" s="24" t="s">
        <v>297</v>
      </c>
      <c r="E110" s="25">
        <f>E121+E117+E137+E111+E114+E123+E125+E127+E135+E132</f>
        <v>9930.199999999999</v>
      </c>
      <c r="F110" s="25">
        <f>F121+F117+F137+F111+F114+F123+F125+F127+F135+F132</f>
        <v>4029</v>
      </c>
      <c r="G110" s="25">
        <f t="shared" si="9"/>
        <v>5901.199999999999</v>
      </c>
      <c r="H110" s="64">
        <f t="shared" si="10"/>
        <v>0.4057320094257921</v>
      </c>
    </row>
    <row r="111" spans="1:8" ht="38.25">
      <c r="A111" s="23"/>
      <c r="B111" s="23" t="s">
        <v>162</v>
      </c>
      <c r="C111" s="23"/>
      <c r="D111" s="24" t="s">
        <v>163</v>
      </c>
      <c r="E111" s="25">
        <f>E112+E113</f>
        <v>5225.4</v>
      </c>
      <c r="F111" s="25">
        <f>F112+F113</f>
        <v>2764.3</v>
      </c>
      <c r="G111" s="25">
        <f t="shared" si="9"/>
        <v>2461.0999999999995</v>
      </c>
      <c r="H111" s="64">
        <f t="shared" si="10"/>
        <v>0.5290121330424465</v>
      </c>
    </row>
    <row r="112" spans="1:8" ht="25.5">
      <c r="A112" s="23"/>
      <c r="B112" s="23"/>
      <c r="C112" s="23" t="s">
        <v>43</v>
      </c>
      <c r="D112" s="24" t="s">
        <v>150</v>
      </c>
      <c r="E112" s="25">
        <f>4712.7+429.7</f>
        <v>5142.4</v>
      </c>
      <c r="F112" s="25">
        <f>2603.8+121.1</f>
        <v>2724.9</v>
      </c>
      <c r="G112" s="25">
        <f t="shared" si="9"/>
        <v>2417.4999999999995</v>
      </c>
      <c r="H112" s="64">
        <f t="shared" si="10"/>
        <v>0.5298887678904792</v>
      </c>
    </row>
    <row r="113" spans="1:8" ht="12.75">
      <c r="A113" s="23"/>
      <c r="B113" s="23"/>
      <c r="C113" s="23" t="s">
        <v>44</v>
      </c>
      <c r="D113" s="24" t="s">
        <v>45</v>
      </c>
      <c r="E113" s="25">
        <v>83</v>
      </c>
      <c r="F113" s="25">
        <v>39.4</v>
      </c>
      <c r="G113" s="25">
        <f t="shared" si="9"/>
        <v>43.6</v>
      </c>
      <c r="H113" s="64">
        <f t="shared" si="10"/>
        <v>0.4746987951807229</v>
      </c>
    </row>
    <row r="114" spans="1:8" ht="38.25">
      <c r="A114" s="23"/>
      <c r="B114" s="23" t="s">
        <v>272</v>
      </c>
      <c r="C114" s="23"/>
      <c r="D114" s="24" t="s">
        <v>273</v>
      </c>
      <c r="E114" s="25">
        <f>E116+E115</f>
        <v>836.2</v>
      </c>
      <c r="F114" s="25">
        <f>F116+F115</f>
        <v>333.6</v>
      </c>
      <c r="G114" s="25">
        <f t="shared" si="9"/>
        <v>502.6</v>
      </c>
      <c r="H114" s="64">
        <f t="shared" si="10"/>
        <v>0.39894762018655827</v>
      </c>
    </row>
    <row r="115" spans="1:8" ht="25.5">
      <c r="A115" s="23"/>
      <c r="B115" s="23"/>
      <c r="C115" s="23" t="s">
        <v>43</v>
      </c>
      <c r="D115" s="24" t="s">
        <v>150</v>
      </c>
      <c r="E115" s="25">
        <v>628.2</v>
      </c>
      <c r="F115" s="25">
        <v>125.6</v>
      </c>
      <c r="G115" s="25">
        <f t="shared" si="9"/>
        <v>502.6</v>
      </c>
      <c r="H115" s="64">
        <f t="shared" si="10"/>
        <v>0.19993632601082456</v>
      </c>
    </row>
    <row r="116" spans="1:8" ht="38.25">
      <c r="A116" s="23"/>
      <c r="B116" s="23"/>
      <c r="C116" s="23" t="s">
        <v>65</v>
      </c>
      <c r="D116" s="24" t="s">
        <v>178</v>
      </c>
      <c r="E116" s="25">
        <v>208</v>
      </c>
      <c r="F116" s="25">
        <v>208</v>
      </c>
      <c r="G116" s="25">
        <f t="shared" si="9"/>
        <v>0</v>
      </c>
      <c r="H116" s="64">
        <f t="shared" si="10"/>
        <v>1</v>
      </c>
    </row>
    <row r="117" spans="1:8" ht="12.75">
      <c r="A117" s="23"/>
      <c r="B117" s="23" t="s">
        <v>170</v>
      </c>
      <c r="C117" s="23"/>
      <c r="D117" s="24" t="s">
        <v>171</v>
      </c>
      <c r="E117" s="25">
        <f>E120+E118+E119</f>
        <v>544.5</v>
      </c>
      <c r="F117" s="25">
        <f>F120+F118+F119</f>
        <v>256.1</v>
      </c>
      <c r="G117" s="25">
        <f t="shared" si="9"/>
        <v>288.4</v>
      </c>
      <c r="H117" s="64">
        <f t="shared" si="10"/>
        <v>0.4703397612488522</v>
      </c>
    </row>
    <row r="118" spans="1:8" ht="25.5">
      <c r="A118" s="23"/>
      <c r="B118" s="23"/>
      <c r="C118" s="23" t="s">
        <v>43</v>
      </c>
      <c r="D118" s="24" t="s">
        <v>150</v>
      </c>
      <c r="E118" s="25">
        <f>204.7+190+90+24.8</f>
        <v>509.5</v>
      </c>
      <c r="F118" s="25">
        <f>196.3+24.8</f>
        <v>221.10000000000002</v>
      </c>
      <c r="G118" s="25">
        <f t="shared" si="9"/>
        <v>288.4</v>
      </c>
      <c r="H118" s="64">
        <f t="shared" si="10"/>
        <v>0.43395485770363107</v>
      </c>
    </row>
    <row r="119" spans="1:8" ht="38.25">
      <c r="A119" s="23"/>
      <c r="B119" s="23"/>
      <c r="C119" s="23" t="s">
        <v>65</v>
      </c>
      <c r="D119" s="24" t="s">
        <v>178</v>
      </c>
      <c r="E119" s="25">
        <f>33+1.5+0.5</f>
        <v>35</v>
      </c>
      <c r="F119" s="25">
        <f>33+1.5+0.5</f>
        <v>35</v>
      </c>
      <c r="G119" s="25">
        <f t="shared" si="9"/>
        <v>0</v>
      </c>
      <c r="H119" s="64">
        <f t="shared" si="10"/>
        <v>1</v>
      </c>
    </row>
    <row r="120" spans="1:8" ht="12.75">
      <c r="A120" s="23"/>
      <c r="B120" s="23"/>
      <c r="C120" s="23" t="s">
        <v>44</v>
      </c>
      <c r="D120" s="24" t="s">
        <v>45</v>
      </c>
      <c r="E120" s="25"/>
      <c r="F120" s="25"/>
      <c r="G120" s="25">
        <f t="shared" si="9"/>
        <v>0</v>
      </c>
      <c r="H120" s="64" t="e">
        <f t="shared" si="10"/>
        <v>#DIV/0!</v>
      </c>
    </row>
    <row r="121" spans="1:8" ht="51">
      <c r="A121" s="23"/>
      <c r="B121" s="23" t="s">
        <v>236</v>
      </c>
      <c r="C121" s="23"/>
      <c r="D121" s="24" t="s">
        <v>237</v>
      </c>
      <c r="E121" s="25">
        <f>E122</f>
        <v>0.1</v>
      </c>
      <c r="F121" s="25">
        <f>F122</f>
        <v>0</v>
      </c>
      <c r="G121" s="25">
        <f t="shared" si="9"/>
        <v>0.1</v>
      </c>
      <c r="H121" s="64">
        <f t="shared" si="10"/>
        <v>0</v>
      </c>
    </row>
    <row r="122" spans="1:8" ht="12.75">
      <c r="A122" s="23"/>
      <c r="B122" s="23"/>
      <c r="C122" s="23" t="s">
        <v>44</v>
      </c>
      <c r="D122" s="24" t="s">
        <v>45</v>
      </c>
      <c r="E122" s="25">
        <v>0.1</v>
      </c>
      <c r="F122" s="25">
        <v>0</v>
      </c>
      <c r="G122" s="25">
        <f t="shared" si="9"/>
        <v>0.1</v>
      </c>
      <c r="H122" s="64">
        <f t="shared" si="10"/>
        <v>0</v>
      </c>
    </row>
    <row r="123" spans="1:8" ht="38.25">
      <c r="A123" s="23"/>
      <c r="B123" s="23" t="s">
        <v>179</v>
      </c>
      <c r="C123" s="23"/>
      <c r="D123" s="24" t="s">
        <v>274</v>
      </c>
      <c r="E123" s="25">
        <f>E124</f>
        <v>736.6</v>
      </c>
      <c r="F123" s="25">
        <f>F124</f>
        <v>326.4</v>
      </c>
      <c r="G123" s="25">
        <f t="shared" si="9"/>
        <v>410.20000000000005</v>
      </c>
      <c r="H123" s="64">
        <f t="shared" si="10"/>
        <v>0.44311702416508275</v>
      </c>
    </row>
    <row r="124" spans="1:8" ht="25.5">
      <c r="A124" s="23"/>
      <c r="B124" s="23"/>
      <c r="C124" s="23" t="s">
        <v>47</v>
      </c>
      <c r="D124" s="24" t="s">
        <v>48</v>
      </c>
      <c r="E124" s="25">
        <v>736.6</v>
      </c>
      <c r="F124" s="25">
        <v>326.4</v>
      </c>
      <c r="G124" s="25">
        <f t="shared" si="9"/>
        <v>410.20000000000005</v>
      </c>
      <c r="H124" s="64">
        <f t="shared" si="10"/>
        <v>0.44311702416508275</v>
      </c>
    </row>
    <row r="125" spans="1:8" ht="38.25">
      <c r="A125" s="23"/>
      <c r="B125" s="23" t="s">
        <v>180</v>
      </c>
      <c r="C125" s="23"/>
      <c r="D125" s="24" t="s">
        <v>275</v>
      </c>
      <c r="E125" s="25">
        <f>E126</f>
        <v>20</v>
      </c>
      <c r="F125" s="25">
        <f>F126</f>
        <v>0</v>
      </c>
      <c r="G125" s="25">
        <f t="shared" si="9"/>
        <v>20</v>
      </c>
      <c r="H125" s="64">
        <f t="shared" si="10"/>
        <v>0</v>
      </c>
    </row>
    <row r="126" spans="1:8" ht="25.5">
      <c r="A126" s="23"/>
      <c r="B126" s="23"/>
      <c r="C126" s="23" t="s">
        <v>47</v>
      </c>
      <c r="D126" s="24" t="s">
        <v>48</v>
      </c>
      <c r="E126" s="25">
        <v>20</v>
      </c>
      <c r="F126" s="25">
        <v>0</v>
      </c>
      <c r="G126" s="25">
        <f t="shared" si="9"/>
        <v>20</v>
      </c>
      <c r="H126" s="64">
        <f t="shared" si="10"/>
        <v>0</v>
      </c>
    </row>
    <row r="127" spans="1:8" ht="25.5">
      <c r="A127" s="23"/>
      <c r="B127" s="23" t="s">
        <v>278</v>
      </c>
      <c r="C127" s="23"/>
      <c r="D127" s="24" t="s">
        <v>279</v>
      </c>
      <c r="E127" s="25">
        <f>E131+E129+E128+E130</f>
        <v>1500</v>
      </c>
      <c r="F127" s="25">
        <f>F131+F129+F128+F130</f>
        <v>15.1</v>
      </c>
      <c r="G127" s="25">
        <f t="shared" si="9"/>
        <v>1484.9</v>
      </c>
      <c r="H127" s="64">
        <f t="shared" si="10"/>
        <v>0.010066666666666666</v>
      </c>
    </row>
    <row r="128" spans="1:8" ht="25.5">
      <c r="A128" s="23"/>
      <c r="B128" s="23"/>
      <c r="C128" s="23" t="s">
        <v>43</v>
      </c>
      <c r="D128" s="24" t="s">
        <v>150</v>
      </c>
      <c r="E128" s="25">
        <v>15.1</v>
      </c>
      <c r="F128" s="25">
        <v>15.1</v>
      </c>
      <c r="G128" s="25">
        <f>E128-F128</f>
        <v>0</v>
      </c>
      <c r="H128" s="64">
        <f>F128/E128</f>
        <v>1</v>
      </c>
    </row>
    <row r="129" spans="1:8" ht="12.75">
      <c r="A129" s="23"/>
      <c r="B129" s="23"/>
      <c r="C129" s="23" t="s">
        <v>49</v>
      </c>
      <c r="D129" s="24" t="s">
        <v>50</v>
      </c>
      <c r="E129" s="25">
        <v>50</v>
      </c>
      <c r="F129" s="25">
        <v>0</v>
      </c>
      <c r="G129" s="25">
        <f>E129-F129</f>
        <v>50</v>
      </c>
      <c r="H129" s="64">
        <f>F129/E129</f>
        <v>0</v>
      </c>
    </row>
    <row r="130" spans="1:8" ht="38.25">
      <c r="A130" s="23"/>
      <c r="B130" s="23"/>
      <c r="C130" s="23" t="s">
        <v>65</v>
      </c>
      <c r="D130" s="24" t="s">
        <v>178</v>
      </c>
      <c r="E130" s="25">
        <f>116.3+398+405.6</f>
        <v>919.9</v>
      </c>
      <c r="F130" s="25">
        <v>0</v>
      </c>
      <c r="G130" s="25">
        <f>E130-F130</f>
        <v>919.9</v>
      </c>
      <c r="H130" s="64">
        <f>F130/E130</f>
        <v>0</v>
      </c>
    </row>
    <row r="131" spans="1:8" ht="12.75">
      <c r="A131" s="23"/>
      <c r="B131" s="23"/>
      <c r="C131" s="23" t="s">
        <v>44</v>
      </c>
      <c r="D131" s="24" t="s">
        <v>45</v>
      </c>
      <c r="E131" s="25">
        <v>515</v>
      </c>
      <c r="F131" s="25">
        <v>0</v>
      </c>
      <c r="G131" s="25">
        <f t="shared" si="9"/>
        <v>515</v>
      </c>
      <c r="H131" s="64">
        <f t="shared" si="10"/>
        <v>0</v>
      </c>
    </row>
    <row r="132" spans="1:8" ht="39" customHeight="1">
      <c r="A132" s="23"/>
      <c r="B132" s="23" t="s">
        <v>471</v>
      </c>
      <c r="C132" s="23"/>
      <c r="D132" s="24" t="s">
        <v>472</v>
      </c>
      <c r="E132" s="25">
        <f>E133+E134</f>
        <v>31</v>
      </c>
      <c r="F132" s="25">
        <f>F133+F134</f>
        <v>31</v>
      </c>
      <c r="G132" s="25">
        <f t="shared" si="9"/>
        <v>0</v>
      </c>
      <c r="H132" s="64">
        <f t="shared" si="10"/>
        <v>1</v>
      </c>
    </row>
    <row r="133" spans="1:8" ht="25.5">
      <c r="A133" s="23"/>
      <c r="B133" s="23"/>
      <c r="C133" s="23" t="s">
        <v>47</v>
      </c>
      <c r="D133" s="24" t="s">
        <v>48</v>
      </c>
      <c r="E133" s="25">
        <f>1+16+4+2</f>
        <v>23</v>
      </c>
      <c r="F133" s="25">
        <f>1+16+4+2</f>
        <v>23</v>
      </c>
      <c r="G133" s="25">
        <f t="shared" si="9"/>
        <v>0</v>
      </c>
      <c r="H133" s="64">
        <f t="shared" si="10"/>
        <v>1</v>
      </c>
    </row>
    <row r="134" spans="1:8" ht="38.25">
      <c r="A134" s="23"/>
      <c r="B134" s="23"/>
      <c r="C134" s="23" t="s">
        <v>65</v>
      </c>
      <c r="D134" s="24" t="s">
        <v>178</v>
      </c>
      <c r="E134" s="25">
        <f>5+1+2</f>
        <v>8</v>
      </c>
      <c r="F134" s="25">
        <f>5+1+2</f>
        <v>8</v>
      </c>
      <c r="G134" s="25">
        <f t="shared" si="9"/>
        <v>0</v>
      </c>
      <c r="H134" s="64">
        <f t="shared" si="10"/>
        <v>1</v>
      </c>
    </row>
    <row r="135" spans="1:8" ht="38.25">
      <c r="A135" s="23"/>
      <c r="B135" s="23" t="s">
        <v>410</v>
      </c>
      <c r="C135" s="23"/>
      <c r="D135" s="49" t="s">
        <v>411</v>
      </c>
      <c r="E135" s="25">
        <f>E136</f>
        <v>302.6</v>
      </c>
      <c r="F135" s="25">
        <f>F136</f>
        <v>302.5</v>
      </c>
      <c r="G135" s="25">
        <f t="shared" si="9"/>
        <v>0.10000000000002274</v>
      </c>
      <c r="H135" s="64">
        <f t="shared" si="10"/>
        <v>0.9996695307336417</v>
      </c>
    </row>
    <row r="136" spans="1:8" ht="12.75">
      <c r="A136" s="23"/>
      <c r="B136" s="23"/>
      <c r="C136" s="23" t="s">
        <v>44</v>
      </c>
      <c r="D136" s="24" t="s">
        <v>45</v>
      </c>
      <c r="E136" s="25">
        <v>302.6</v>
      </c>
      <c r="F136" s="25">
        <v>302.5</v>
      </c>
      <c r="G136" s="25">
        <f t="shared" si="9"/>
        <v>0.10000000000002274</v>
      </c>
      <c r="H136" s="64">
        <f t="shared" si="10"/>
        <v>0.9996695307336417</v>
      </c>
    </row>
    <row r="137" spans="1:8" ht="63.75">
      <c r="A137" s="23"/>
      <c r="B137" s="23" t="s">
        <v>304</v>
      </c>
      <c r="C137" s="23"/>
      <c r="D137" s="24" t="s">
        <v>249</v>
      </c>
      <c r="E137" s="25">
        <f>E138</f>
        <v>733.8</v>
      </c>
      <c r="F137" s="25">
        <f>F138</f>
        <v>0</v>
      </c>
      <c r="G137" s="25">
        <f t="shared" si="9"/>
        <v>733.8</v>
      </c>
      <c r="H137" s="64">
        <f t="shared" si="10"/>
        <v>0</v>
      </c>
    </row>
    <row r="138" spans="1:8" ht="12.75">
      <c r="A138" s="23"/>
      <c r="B138" s="23"/>
      <c r="C138" s="23" t="s">
        <v>44</v>
      </c>
      <c r="D138" s="24" t="s">
        <v>45</v>
      </c>
      <c r="E138" s="25">
        <v>733.8</v>
      </c>
      <c r="F138" s="25">
        <v>0</v>
      </c>
      <c r="G138" s="25">
        <f t="shared" si="9"/>
        <v>733.8</v>
      </c>
      <c r="H138" s="64">
        <f t="shared" si="10"/>
        <v>0</v>
      </c>
    </row>
    <row r="139" spans="1:8" ht="25.5">
      <c r="A139" s="23"/>
      <c r="B139" s="50" t="s">
        <v>55</v>
      </c>
      <c r="C139" s="50"/>
      <c r="D139" s="49" t="s">
        <v>333</v>
      </c>
      <c r="E139" s="25">
        <f>E140</f>
        <v>9.2</v>
      </c>
      <c r="F139" s="25">
        <f>F140</f>
        <v>0</v>
      </c>
      <c r="G139" s="25">
        <f t="shared" si="9"/>
        <v>9.2</v>
      </c>
      <c r="H139" s="64">
        <f t="shared" si="10"/>
        <v>0</v>
      </c>
    </row>
    <row r="140" spans="1:8" ht="38.25">
      <c r="A140" s="23"/>
      <c r="B140" s="23" t="s">
        <v>335</v>
      </c>
      <c r="C140" s="50"/>
      <c r="D140" s="49" t="s">
        <v>334</v>
      </c>
      <c r="E140" s="25">
        <f>E141</f>
        <v>9.2</v>
      </c>
      <c r="F140" s="25">
        <f>F141</f>
        <v>0</v>
      </c>
      <c r="G140" s="25">
        <f t="shared" si="9"/>
        <v>9.2</v>
      </c>
      <c r="H140" s="64">
        <f t="shared" si="10"/>
        <v>0</v>
      </c>
    </row>
    <row r="141" spans="1:8" ht="38.25">
      <c r="A141" s="23"/>
      <c r="B141" s="23" t="s">
        <v>332</v>
      </c>
      <c r="C141" s="23"/>
      <c r="D141" s="24" t="s">
        <v>331</v>
      </c>
      <c r="E141" s="25">
        <f>SUM(E142:E142)</f>
        <v>9.2</v>
      </c>
      <c r="F141" s="25">
        <f>SUM(F142:F142)</f>
        <v>0</v>
      </c>
      <c r="G141" s="25">
        <f t="shared" si="9"/>
        <v>9.2</v>
      </c>
      <c r="H141" s="64">
        <f t="shared" si="10"/>
        <v>0</v>
      </c>
    </row>
    <row r="142" spans="1:8" ht="25.5">
      <c r="A142" s="23"/>
      <c r="B142" s="23"/>
      <c r="C142" s="23" t="s">
        <v>43</v>
      </c>
      <c r="D142" s="24" t="s">
        <v>150</v>
      </c>
      <c r="E142" s="25">
        <v>9.2</v>
      </c>
      <c r="F142" s="25">
        <v>0</v>
      </c>
      <c r="G142" s="25">
        <f t="shared" si="9"/>
        <v>9.2</v>
      </c>
      <c r="H142" s="64">
        <f t="shared" si="10"/>
        <v>0</v>
      </c>
    </row>
    <row r="143" spans="1:8" ht="25.5">
      <c r="A143" s="23"/>
      <c r="B143" s="23" t="s">
        <v>62</v>
      </c>
      <c r="C143" s="50"/>
      <c r="D143" s="49" t="s">
        <v>307</v>
      </c>
      <c r="E143" s="25">
        <f>E148+E144</f>
        <v>560</v>
      </c>
      <c r="F143" s="25">
        <f>F148+F144</f>
        <v>188.89999999999998</v>
      </c>
      <c r="G143" s="25">
        <f t="shared" si="9"/>
        <v>371.1</v>
      </c>
      <c r="H143" s="64">
        <f t="shared" si="10"/>
        <v>0.33732142857142855</v>
      </c>
    </row>
    <row r="144" spans="1:8" ht="51">
      <c r="A144" s="23"/>
      <c r="B144" s="23" t="s">
        <v>356</v>
      </c>
      <c r="C144" s="50"/>
      <c r="D144" s="49" t="s">
        <v>357</v>
      </c>
      <c r="E144" s="25">
        <f>E145</f>
        <v>399.1</v>
      </c>
      <c r="F144" s="25">
        <f>F145</f>
        <v>126.6</v>
      </c>
      <c r="G144" s="25">
        <f t="shared" si="9"/>
        <v>272.5</v>
      </c>
      <c r="H144" s="64">
        <f t="shared" si="10"/>
        <v>0.3172137308945126</v>
      </c>
    </row>
    <row r="145" spans="1:8" ht="63.75">
      <c r="A145" s="23"/>
      <c r="B145" s="23" t="s">
        <v>358</v>
      </c>
      <c r="C145" s="23"/>
      <c r="D145" s="24" t="s">
        <v>365</v>
      </c>
      <c r="E145" s="25">
        <f>SUM(E146:E147)</f>
        <v>399.1</v>
      </c>
      <c r="F145" s="25">
        <f>SUM(F146:F147)</f>
        <v>126.6</v>
      </c>
      <c r="G145" s="25">
        <f t="shared" si="9"/>
        <v>272.5</v>
      </c>
      <c r="H145" s="64">
        <f t="shared" si="10"/>
        <v>0.3172137308945126</v>
      </c>
    </row>
    <row r="146" spans="1:8" ht="76.5">
      <c r="A146" s="23"/>
      <c r="B146" s="23"/>
      <c r="C146" s="23" t="s">
        <v>42</v>
      </c>
      <c r="D146" s="24" t="s">
        <v>149</v>
      </c>
      <c r="E146" s="25">
        <v>228.8</v>
      </c>
      <c r="F146" s="25">
        <v>116</v>
      </c>
      <c r="G146" s="25">
        <f t="shared" si="9"/>
        <v>112.80000000000001</v>
      </c>
      <c r="H146" s="64">
        <f t="shared" si="10"/>
        <v>0.506993006993007</v>
      </c>
    </row>
    <row r="147" spans="1:8" ht="25.5">
      <c r="A147" s="23"/>
      <c r="B147" s="23"/>
      <c r="C147" s="23" t="s">
        <v>43</v>
      </c>
      <c r="D147" s="24" t="s">
        <v>150</v>
      </c>
      <c r="E147" s="25">
        <v>170.3</v>
      </c>
      <c r="F147" s="25">
        <v>10.6</v>
      </c>
      <c r="G147" s="25">
        <f t="shared" si="9"/>
        <v>159.70000000000002</v>
      </c>
      <c r="H147" s="64">
        <f t="shared" si="10"/>
        <v>0.06224310041103934</v>
      </c>
    </row>
    <row r="148" spans="1:8" ht="51">
      <c r="A148" s="23"/>
      <c r="B148" s="23" t="s">
        <v>351</v>
      </c>
      <c r="C148" s="50"/>
      <c r="D148" s="49" t="s">
        <v>352</v>
      </c>
      <c r="E148" s="25">
        <f>E149</f>
        <v>160.9</v>
      </c>
      <c r="F148" s="25">
        <f>F149</f>
        <v>62.3</v>
      </c>
      <c r="G148" s="25">
        <f t="shared" si="9"/>
        <v>98.60000000000001</v>
      </c>
      <c r="H148" s="64">
        <f t="shared" si="10"/>
        <v>0.387197016780609</v>
      </c>
    </row>
    <row r="149" spans="1:8" ht="12.75">
      <c r="A149" s="23"/>
      <c r="B149" s="23" t="s">
        <v>350</v>
      </c>
      <c r="C149" s="23"/>
      <c r="D149" s="24" t="s">
        <v>108</v>
      </c>
      <c r="E149" s="25">
        <f>SUM(E150:E151)</f>
        <v>160.9</v>
      </c>
      <c r="F149" s="25">
        <f>SUM(F150:F151)</f>
        <v>62.3</v>
      </c>
      <c r="G149" s="25">
        <f t="shared" si="9"/>
        <v>98.60000000000001</v>
      </c>
      <c r="H149" s="64">
        <f t="shared" si="10"/>
        <v>0.387197016780609</v>
      </c>
    </row>
    <row r="150" spans="1:8" ht="76.5">
      <c r="A150" s="23"/>
      <c r="B150" s="23"/>
      <c r="C150" s="23" t="s">
        <v>42</v>
      </c>
      <c r="D150" s="24" t="s">
        <v>149</v>
      </c>
      <c r="E150" s="25">
        <v>147.4</v>
      </c>
      <c r="F150" s="25">
        <v>62.3</v>
      </c>
      <c r="G150" s="25">
        <f t="shared" si="9"/>
        <v>85.10000000000001</v>
      </c>
      <c r="H150" s="64">
        <f t="shared" si="10"/>
        <v>0.42265943012211665</v>
      </c>
    </row>
    <row r="151" spans="1:8" ht="25.5">
      <c r="A151" s="23"/>
      <c r="B151" s="23"/>
      <c r="C151" s="23" t="s">
        <v>43</v>
      </c>
      <c r="D151" s="24" t="s">
        <v>150</v>
      </c>
      <c r="E151" s="25">
        <v>13.5</v>
      </c>
      <c r="F151" s="25">
        <v>0</v>
      </c>
      <c r="G151" s="25">
        <f t="shared" si="9"/>
        <v>13.5</v>
      </c>
      <c r="H151" s="64">
        <f t="shared" si="10"/>
        <v>0</v>
      </c>
    </row>
    <row r="152" spans="1:8" ht="12.75">
      <c r="A152" s="23"/>
      <c r="B152" s="23" t="s">
        <v>421</v>
      </c>
      <c r="C152" s="23"/>
      <c r="D152" s="24" t="s">
        <v>422</v>
      </c>
      <c r="E152" s="25">
        <f>E153</f>
        <v>500</v>
      </c>
      <c r="F152" s="25">
        <f>F153</f>
        <v>0</v>
      </c>
      <c r="G152" s="25">
        <f t="shared" si="9"/>
        <v>500</v>
      </c>
      <c r="H152" s="64">
        <f t="shared" si="10"/>
        <v>0</v>
      </c>
    </row>
    <row r="153" spans="1:8" ht="51">
      <c r="A153" s="23"/>
      <c r="B153" s="23" t="s">
        <v>423</v>
      </c>
      <c r="C153" s="23"/>
      <c r="D153" s="24" t="s">
        <v>424</v>
      </c>
      <c r="E153" s="25">
        <f>E154</f>
        <v>500</v>
      </c>
      <c r="F153" s="25">
        <f>F154</f>
        <v>0</v>
      </c>
      <c r="G153" s="25">
        <f aca="true" t="shared" si="13" ref="G153:G230">E153-F153</f>
        <v>500</v>
      </c>
      <c r="H153" s="64">
        <f t="shared" si="10"/>
        <v>0</v>
      </c>
    </row>
    <row r="154" spans="1:8" ht="25.5">
      <c r="A154" s="23"/>
      <c r="B154" s="23"/>
      <c r="C154" s="23" t="s">
        <v>43</v>
      </c>
      <c r="D154" s="24" t="s">
        <v>150</v>
      </c>
      <c r="E154" s="25">
        <v>500</v>
      </c>
      <c r="F154" s="25">
        <v>0</v>
      </c>
      <c r="G154" s="25">
        <f t="shared" si="13"/>
        <v>500</v>
      </c>
      <c r="H154" s="64">
        <f aca="true" t="shared" si="14" ref="H154:H231">F154/E154</f>
        <v>0</v>
      </c>
    </row>
    <row r="155" spans="1:8" ht="25.5">
      <c r="A155" s="23"/>
      <c r="B155" s="23" t="s">
        <v>378</v>
      </c>
      <c r="C155" s="23"/>
      <c r="D155" s="49" t="s">
        <v>379</v>
      </c>
      <c r="E155" s="25">
        <f>E156</f>
        <v>4306.1</v>
      </c>
      <c r="F155" s="25">
        <f>F156</f>
        <v>1008.9</v>
      </c>
      <c r="G155" s="25">
        <f t="shared" si="13"/>
        <v>3297.2000000000003</v>
      </c>
      <c r="H155" s="64">
        <f t="shared" si="14"/>
        <v>0.23429553424212163</v>
      </c>
    </row>
    <row r="156" spans="1:8" ht="25.5">
      <c r="A156" s="23"/>
      <c r="B156" s="23" t="s">
        <v>380</v>
      </c>
      <c r="C156" s="23"/>
      <c r="D156" s="49" t="s">
        <v>381</v>
      </c>
      <c r="E156" s="25">
        <f>E157+E158</f>
        <v>4306.1</v>
      </c>
      <c r="F156" s="25">
        <f>F157+F158</f>
        <v>1008.9</v>
      </c>
      <c r="G156" s="25">
        <f t="shared" si="13"/>
        <v>3297.2000000000003</v>
      </c>
      <c r="H156" s="64">
        <f t="shared" si="14"/>
        <v>0.23429553424212163</v>
      </c>
    </row>
    <row r="157" spans="1:8" ht="76.5">
      <c r="A157" s="23"/>
      <c r="B157" s="23"/>
      <c r="C157" s="23" t="s">
        <v>42</v>
      </c>
      <c r="D157" s="24" t="s">
        <v>149</v>
      </c>
      <c r="E157" s="25">
        <v>1869.7</v>
      </c>
      <c r="F157" s="25">
        <v>804.3</v>
      </c>
      <c r="G157" s="25">
        <f t="shared" si="13"/>
        <v>1065.4</v>
      </c>
      <c r="H157" s="64">
        <f t="shared" si="14"/>
        <v>0.4301759640584051</v>
      </c>
    </row>
    <row r="158" spans="1:8" ht="25.5">
      <c r="A158" s="23"/>
      <c r="B158" s="23"/>
      <c r="C158" s="23" t="s">
        <v>43</v>
      </c>
      <c r="D158" s="24" t="s">
        <v>150</v>
      </c>
      <c r="E158" s="25">
        <v>2436.4</v>
      </c>
      <c r="F158" s="25">
        <v>204.6</v>
      </c>
      <c r="G158" s="25">
        <f t="shared" si="13"/>
        <v>2231.8</v>
      </c>
      <c r="H158" s="64">
        <f t="shared" si="14"/>
        <v>0.0839763585618125</v>
      </c>
    </row>
    <row r="159" spans="1:8" ht="12.75">
      <c r="A159" s="23"/>
      <c r="B159" s="23"/>
      <c r="C159" s="23"/>
      <c r="D159" s="24"/>
      <c r="E159" s="25"/>
      <c r="F159" s="25"/>
      <c r="G159" s="25"/>
      <c r="H159" s="64"/>
    </row>
    <row r="160" spans="1:8" s="35" customFormat="1" ht="28.5" customHeight="1">
      <c r="A160" s="21" t="s">
        <v>75</v>
      </c>
      <c r="B160" s="21"/>
      <c r="C160" s="21"/>
      <c r="D160" s="38" t="s">
        <v>76</v>
      </c>
      <c r="E160" s="36">
        <f>E161+E169</f>
        <v>9056.2</v>
      </c>
      <c r="F160" s="36">
        <f>F161+F169</f>
        <v>3513.7999999999997</v>
      </c>
      <c r="G160" s="36">
        <f t="shared" si="13"/>
        <v>5542.4000000000015</v>
      </c>
      <c r="H160" s="65">
        <f t="shared" si="14"/>
        <v>0.38799938163909803</v>
      </c>
    </row>
    <row r="161" spans="1:8" ht="38.25">
      <c r="A161" s="23" t="s">
        <v>77</v>
      </c>
      <c r="B161" s="23"/>
      <c r="C161" s="23"/>
      <c r="D161" s="24" t="s">
        <v>227</v>
      </c>
      <c r="E161" s="25">
        <f>E162</f>
        <v>8973.6</v>
      </c>
      <c r="F161" s="25">
        <f>F162</f>
        <v>3513.7999999999997</v>
      </c>
      <c r="G161" s="25">
        <f t="shared" si="13"/>
        <v>5459.800000000001</v>
      </c>
      <c r="H161" s="64">
        <f t="shared" si="14"/>
        <v>0.39157082999019344</v>
      </c>
    </row>
    <row r="162" spans="1:8" ht="25.5">
      <c r="A162" s="23"/>
      <c r="B162" s="23" t="s">
        <v>62</v>
      </c>
      <c r="C162" s="23"/>
      <c r="D162" s="24" t="s">
        <v>367</v>
      </c>
      <c r="E162" s="25">
        <f>E165+E163</f>
        <v>8973.6</v>
      </c>
      <c r="F162" s="25">
        <f>F165+F163</f>
        <v>3513.7999999999997</v>
      </c>
      <c r="G162" s="25">
        <f t="shared" si="13"/>
        <v>5459.800000000001</v>
      </c>
      <c r="H162" s="64">
        <f t="shared" si="14"/>
        <v>0.39157082999019344</v>
      </c>
    </row>
    <row r="163" spans="1:8" ht="38.25">
      <c r="A163" s="23"/>
      <c r="B163" s="23" t="s">
        <v>1032</v>
      </c>
      <c r="C163" s="23"/>
      <c r="D163" s="24" t="s">
        <v>1063</v>
      </c>
      <c r="E163" s="25">
        <f>E164</f>
        <v>168.2</v>
      </c>
      <c r="F163" s="25">
        <f>F164</f>
        <v>0</v>
      </c>
      <c r="G163" s="57">
        <f>E163-F163</f>
        <v>168.2</v>
      </c>
      <c r="H163" s="59">
        <f>F163/E163</f>
        <v>0</v>
      </c>
    </row>
    <row r="164" spans="1:8" ht="25.5">
      <c r="A164" s="23"/>
      <c r="B164" s="23"/>
      <c r="C164" s="23" t="s">
        <v>43</v>
      </c>
      <c r="D164" s="24" t="s">
        <v>150</v>
      </c>
      <c r="E164" s="25">
        <f>3+165.2</f>
        <v>168.2</v>
      </c>
      <c r="F164" s="25">
        <v>0</v>
      </c>
      <c r="G164" s="57">
        <f>E164-F164</f>
        <v>168.2</v>
      </c>
      <c r="H164" s="59">
        <f>F164/E164</f>
        <v>0</v>
      </c>
    </row>
    <row r="165" spans="1:8" ht="25.5">
      <c r="A165" s="23"/>
      <c r="B165" s="23" t="s">
        <v>228</v>
      </c>
      <c r="C165" s="23"/>
      <c r="D165" s="24" t="s">
        <v>64</v>
      </c>
      <c r="E165" s="25">
        <f>SUM(E166:E168)</f>
        <v>8805.4</v>
      </c>
      <c r="F165" s="25">
        <f>SUM(F166:F168)</f>
        <v>3513.7999999999997</v>
      </c>
      <c r="G165" s="25">
        <f t="shared" si="13"/>
        <v>5291.6</v>
      </c>
      <c r="H165" s="64">
        <f t="shared" si="14"/>
        <v>0.39905058259704274</v>
      </c>
    </row>
    <row r="166" spans="1:8" ht="76.5">
      <c r="A166" s="23"/>
      <c r="B166" s="23"/>
      <c r="C166" s="23" t="s">
        <v>42</v>
      </c>
      <c r="D166" s="24" t="s">
        <v>149</v>
      </c>
      <c r="E166" s="25">
        <v>7063</v>
      </c>
      <c r="F166" s="25">
        <v>2590.9</v>
      </c>
      <c r="G166" s="25">
        <f t="shared" si="13"/>
        <v>4472.1</v>
      </c>
      <c r="H166" s="64">
        <f t="shared" si="14"/>
        <v>0.36682712728302425</v>
      </c>
    </row>
    <row r="167" spans="1:8" ht="25.5">
      <c r="A167" s="23"/>
      <c r="B167" s="23"/>
      <c r="C167" s="23" t="s">
        <v>43</v>
      </c>
      <c r="D167" s="24" t="s">
        <v>150</v>
      </c>
      <c r="E167" s="25">
        <v>1691.6</v>
      </c>
      <c r="F167" s="25">
        <v>894.3</v>
      </c>
      <c r="G167" s="25">
        <f t="shared" si="13"/>
        <v>797.3</v>
      </c>
      <c r="H167" s="64">
        <f t="shared" si="14"/>
        <v>0.5286710806337196</v>
      </c>
    </row>
    <row r="168" spans="1:8" ht="12.75">
      <c r="A168" s="23"/>
      <c r="B168" s="23"/>
      <c r="C168" s="23" t="s">
        <v>44</v>
      </c>
      <c r="D168" s="24" t="s">
        <v>45</v>
      </c>
      <c r="E168" s="25">
        <v>50.8</v>
      </c>
      <c r="F168" s="25">
        <v>28.6</v>
      </c>
      <c r="G168" s="25">
        <f t="shared" si="13"/>
        <v>22.199999999999996</v>
      </c>
      <c r="H168" s="64">
        <f t="shared" si="14"/>
        <v>0.5629921259842521</v>
      </c>
    </row>
    <row r="169" spans="1:8" ht="12.75">
      <c r="A169" s="23" t="s">
        <v>473</v>
      </c>
      <c r="B169" s="23"/>
      <c r="C169" s="23"/>
      <c r="D169" s="27" t="s">
        <v>474</v>
      </c>
      <c r="E169" s="25">
        <f>E173+E170</f>
        <v>82.6</v>
      </c>
      <c r="F169" s="25">
        <f>F173+F170</f>
        <v>0</v>
      </c>
      <c r="G169" s="25">
        <f t="shared" si="13"/>
        <v>82.6</v>
      </c>
      <c r="H169" s="64">
        <f t="shared" si="14"/>
        <v>0</v>
      </c>
    </row>
    <row r="170" spans="1:8" ht="25.5">
      <c r="A170" s="23"/>
      <c r="B170" s="23" t="s">
        <v>62</v>
      </c>
      <c r="C170" s="23"/>
      <c r="D170" s="24" t="s">
        <v>367</v>
      </c>
      <c r="E170" s="25">
        <f>E171</f>
        <v>82.6</v>
      </c>
      <c r="F170" s="25">
        <f>F171</f>
        <v>0</v>
      </c>
      <c r="G170" s="57">
        <f t="shared" si="13"/>
        <v>82.6</v>
      </c>
      <c r="H170" s="59">
        <f t="shared" si="14"/>
        <v>0</v>
      </c>
    </row>
    <row r="171" spans="1:8" ht="51">
      <c r="A171" s="23"/>
      <c r="B171" s="23" t="s">
        <v>1019</v>
      </c>
      <c r="C171" s="23"/>
      <c r="D171" s="24" t="s">
        <v>1050</v>
      </c>
      <c r="E171" s="25">
        <f>E172</f>
        <v>82.6</v>
      </c>
      <c r="F171" s="25">
        <f>F172</f>
        <v>0</v>
      </c>
      <c r="G171" s="57">
        <f t="shared" si="13"/>
        <v>82.6</v>
      </c>
      <c r="H171" s="59">
        <f t="shared" si="14"/>
        <v>0</v>
      </c>
    </row>
    <row r="172" spans="1:8" ht="12.75">
      <c r="A172" s="23"/>
      <c r="B172" s="23"/>
      <c r="C172" s="23" t="s">
        <v>49</v>
      </c>
      <c r="D172" s="24" t="s">
        <v>50</v>
      </c>
      <c r="E172" s="25">
        <v>82.6</v>
      </c>
      <c r="F172" s="25">
        <v>0</v>
      </c>
      <c r="G172" s="57">
        <f t="shared" si="13"/>
        <v>82.6</v>
      </c>
      <c r="H172" s="59">
        <f t="shared" si="14"/>
        <v>0</v>
      </c>
    </row>
    <row r="173" spans="1:8" ht="38.25" hidden="1">
      <c r="A173" s="23"/>
      <c r="B173" s="23" t="s">
        <v>475</v>
      </c>
      <c r="C173" s="23"/>
      <c r="D173" s="24" t="s">
        <v>478</v>
      </c>
      <c r="E173" s="25">
        <f>E174</f>
        <v>0</v>
      </c>
      <c r="F173" s="25">
        <f>F174</f>
        <v>0</v>
      </c>
      <c r="G173" s="25">
        <f t="shared" si="13"/>
        <v>0</v>
      </c>
      <c r="H173" s="64" t="e">
        <f t="shared" si="14"/>
        <v>#DIV/0!</v>
      </c>
    </row>
    <row r="174" spans="1:8" ht="51" hidden="1">
      <c r="A174" s="23"/>
      <c r="B174" s="23" t="s">
        <v>477</v>
      </c>
      <c r="C174" s="23"/>
      <c r="D174" s="24" t="s">
        <v>476</v>
      </c>
      <c r="E174" s="25">
        <f>E175</f>
        <v>0</v>
      </c>
      <c r="F174" s="25">
        <f>F175</f>
        <v>0</v>
      </c>
      <c r="G174" s="25">
        <f t="shared" si="13"/>
        <v>0</v>
      </c>
      <c r="H174" s="64" t="e">
        <f t="shared" si="14"/>
        <v>#DIV/0!</v>
      </c>
    </row>
    <row r="175" spans="1:8" ht="12.75" hidden="1">
      <c r="A175" s="23"/>
      <c r="B175" s="23"/>
      <c r="C175" s="23" t="s">
        <v>49</v>
      </c>
      <c r="D175" s="24" t="s">
        <v>50</v>
      </c>
      <c r="E175" s="25"/>
      <c r="F175" s="25">
        <v>0</v>
      </c>
      <c r="G175" s="25">
        <f t="shared" si="13"/>
        <v>0</v>
      </c>
      <c r="H175" s="64" t="e">
        <f t="shared" si="14"/>
        <v>#DIV/0!</v>
      </c>
    </row>
    <row r="176" spans="1:8" ht="12.75">
      <c r="A176" s="23"/>
      <c r="B176" s="23"/>
      <c r="C176" s="23"/>
      <c r="D176" s="24"/>
      <c r="E176" s="25"/>
      <c r="F176" s="25"/>
      <c r="G176" s="25"/>
      <c r="H176" s="64"/>
    </row>
    <row r="177" spans="1:8" s="35" customFormat="1" ht="12.75">
      <c r="A177" s="21" t="s">
        <v>79</v>
      </c>
      <c r="B177" s="21"/>
      <c r="C177" s="21"/>
      <c r="D177" s="38" t="s">
        <v>80</v>
      </c>
      <c r="E177" s="36">
        <f>E178+E198+E211+E230</f>
        <v>45096</v>
      </c>
      <c r="F177" s="36">
        <f>F178+F198+F211+F230</f>
        <v>23343.7</v>
      </c>
      <c r="G177" s="36">
        <f t="shared" si="13"/>
        <v>21752.3</v>
      </c>
      <c r="H177" s="65">
        <f t="shared" si="14"/>
        <v>0.5176445804505942</v>
      </c>
    </row>
    <row r="178" spans="1:8" ht="12.75">
      <c r="A178" s="23" t="s">
        <v>82</v>
      </c>
      <c r="B178" s="23"/>
      <c r="C178" s="23"/>
      <c r="D178" s="24" t="s">
        <v>83</v>
      </c>
      <c r="E178" s="25">
        <f>E179+E184+E194</f>
        <v>5526.3</v>
      </c>
      <c r="F178" s="25">
        <f>F179+F184+F194</f>
        <v>1266.1</v>
      </c>
      <c r="G178" s="25">
        <f t="shared" si="13"/>
        <v>4260.200000000001</v>
      </c>
      <c r="H178" s="64">
        <f t="shared" si="14"/>
        <v>0.22910446410799268</v>
      </c>
    </row>
    <row r="179" spans="1:8" ht="25.5">
      <c r="A179" s="23"/>
      <c r="B179" s="23" t="s">
        <v>81</v>
      </c>
      <c r="C179" s="23"/>
      <c r="D179" s="24" t="s">
        <v>285</v>
      </c>
      <c r="E179" s="25">
        <f>E180</f>
        <v>1782.3999999999999</v>
      </c>
      <c r="F179" s="25">
        <f>F180</f>
        <v>749.0999999999999</v>
      </c>
      <c r="G179" s="25">
        <f t="shared" si="13"/>
        <v>1033.3</v>
      </c>
      <c r="H179" s="64">
        <f t="shared" si="14"/>
        <v>0.42027603231597843</v>
      </c>
    </row>
    <row r="180" spans="1:8" ht="38.25">
      <c r="A180" s="23"/>
      <c r="B180" s="23" t="s">
        <v>147</v>
      </c>
      <c r="C180" s="23"/>
      <c r="D180" s="24" t="s">
        <v>148</v>
      </c>
      <c r="E180" s="25">
        <f>SUM(E181:E183)</f>
        <v>1782.3999999999999</v>
      </c>
      <c r="F180" s="25">
        <f>SUM(F181:F183)</f>
        <v>749.0999999999999</v>
      </c>
      <c r="G180" s="25">
        <f t="shared" si="13"/>
        <v>1033.3</v>
      </c>
      <c r="H180" s="64">
        <f t="shared" si="14"/>
        <v>0.42027603231597843</v>
      </c>
    </row>
    <row r="181" spans="1:8" ht="76.5">
      <c r="A181" s="23"/>
      <c r="B181" s="23"/>
      <c r="C181" s="23" t="s">
        <v>42</v>
      </c>
      <c r="D181" s="24" t="s">
        <v>149</v>
      </c>
      <c r="E181" s="25">
        <v>1647.3</v>
      </c>
      <c r="F181" s="25">
        <v>706.3</v>
      </c>
      <c r="G181" s="25">
        <f t="shared" si="13"/>
        <v>941</v>
      </c>
      <c r="H181" s="64">
        <f t="shared" si="14"/>
        <v>0.42876221696108785</v>
      </c>
    </row>
    <row r="182" spans="1:8" ht="25.5">
      <c r="A182" s="23"/>
      <c r="B182" s="23"/>
      <c r="C182" s="23" t="s">
        <v>43</v>
      </c>
      <c r="D182" s="24" t="s">
        <v>150</v>
      </c>
      <c r="E182" s="25">
        <v>76</v>
      </c>
      <c r="F182" s="25">
        <v>28.5</v>
      </c>
      <c r="G182" s="25">
        <f t="shared" si="13"/>
        <v>47.5</v>
      </c>
      <c r="H182" s="64">
        <f t="shared" si="14"/>
        <v>0.375</v>
      </c>
    </row>
    <row r="183" spans="1:8" ht="12.75">
      <c r="A183" s="23"/>
      <c r="B183" s="23"/>
      <c r="C183" s="23" t="s">
        <v>44</v>
      </c>
      <c r="D183" s="24" t="s">
        <v>45</v>
      </c>
      <c r="E183" s="25">
        <v>59.1</v>
      </c>
      <c r="F183" s="25">
        <v>14.3</v>
      </c>
      <c r="G183" s="25">
        <f t="shared" si="13"/>
        <v>44.8</v>
      </c>
      <c r="H183" s="64">
        <f t="shared" si="14"/>
        <v>0.24196277495769883</v>
      </c>
    </row>
    <row r="184" spans="1:8" ht="51">
      <c r="A184" s="23"/>
      <c r="B184" s="23" t="s">
        <v>84</v>
      </c>
      <c r="C184" s="23"/>
      <c r="D184" s="24" t="s">
        <v>292</v>
      </c>
      <c r="E184" s="25">
        <f>E185+E190</f>
        <v>2893.9</v>
      </c>
      <c r="F184" s="25">
        <f>F185+F190</f>
        <v>287.7</v>
      </c>
      <c r="G184" s="25">
        <f t="shared" si="13"/>
        <v>2606.2000000000003</v>
      </c>
      <c r="H184" s="64">
        <f t="shared" si="14"/>
        <v>0.09941601299284701</v>
      </c>
    </row>
    <row r="185" spans="1:8" ht="63.75">
      <c r="A185" s="23"/>
      <c r="B185" s="23" t="s">
        <v>293</v>
      </c>
      <c r="C185" s="23"/>
      <c r="D185" s="24" t="s">
        <v>294</v>
      </c>
      <c r="E185" s="25">
        <f>E188+E186</f>
        <v>2285.5</v>
      </c>
      <c r="F185" s="25">
        <f>F188+F186</f>
        <v>0</v>
      </c>
      <c r="G185" s="25">
        <f t="shared" si="13"/>
        <v>2285.5</v>
      </c>
      <c r="H185" s="64">
        <f t="shared" si="14"/>
        <v>0</v>
      </c>
    </row>
    <row r="186" spans="1:8" ht="63.75">
      <c r="A186" s="23"/>
      <c r="B186" s="23" t="s">
        <v>1018</v>
      </c>
      <c r="C186" s="23"/>
      <c r="D186" s="24" t="s">
        <v>1049</v>
      </c>
      <c r="E186" s="25">
        <f>E187</f>
        <v>2188</v>
      </c>
      <c r="F186" s="25">
        <f>F187</f>
        <v>0</v>
      </c>
      <c r="G186" s="25">
        <f>E186-F186</f>
        <v>2188</v>
      </c>
      <c r="H186" s="64">
        <f>F186/E186</f>
        <v>0</v>
      </c>
    </row>
    <row r="187" spans="1:8" ht="12.75">
      <c r="A187" s="23"/>
      <c r="B187" s="23"/>
      <c r="C187" s="23" t="s">
        <v>44</v>
      </c>
      <c r="D187" s="24" t="s">
        <v>45</v>
      </c>
      <c r="E187" s="25">
        <v>2188</v>
      </c>
      <c r="F187" s="25">
        <v>0</v>
      </c>
      <c r="G187" s="25">
        <f>E187-F187</f>
        <v>2188</v>
      </c>
      <c r="H187" s="64">
        <f>F187/E187</f>
        <v>0</v>
      </c>
    </row>
    <row r="188" spans="1:8" ht="25.5">
      <c r="A188" s="23"/>
      <c r="B188" s="23" t="s">
        <v>286</v>
      </c>
      <c r="C188" s="23"/>
      <c r="D188" s="24" t="s">
        <v>85</v>
      </c>
      <c r="E188" s="25">
        <f>E189</f>
        <v>97.5</v>
      </c>
      <c r="F188" s="25">
        <f>F189</f>
        <v>0</v>
      </c>
      <c r="G188" s="25">
        <f t="shared" si="13"/>
        <v>97.5</v>
      </c>
      <c r="H188" s="64">
        <f t="shared" si="14"/>
        <v>0</v>
      </c>
    </row>
    <row r="189" spans="1:8" ht="12.75">
      <c r="A189" s="23"/>
      <c r="B189" s="23"/>
      <c r="C189" s="23" t="s">
        <v>44</v>
      </c>
      <c r="D189" s="24" t="s">
        <v>45</v>
      </c>
      <c r="E189" s="25">
        <v>97.5</v>
      </c>
      <c r="F189" s="25">
        <v>0</v>
      </c>
      <c r="G189" s="25">
        <f t="shared" si="13"/>
        <v>97.5</v>
      </c>
      <c r="H189" s="64">
        <f t="shared" si="14"/>
        <v>0</v>
      </c>
    </row>
    <row r="190" spans="1:8" ht="62.25" customHeight="1">
      <c r="A190" s="23"/>
      <c r="B190" s="23" t="s">
        <v>295</v>
      </c>
      <c r="C190" s="23"/>
      <c r="D190" s="24" t="s">
        <v>296</v>
      </c>
      <c r="E190" s="25">
        <f>E191</f>
        <v>608.4</v>
      </c>
      <c r="F190" s="25">
        <f>F191</f>
        <v>287.7</v>
      </c>
      <c r="G190" s="25">
        <f t="shared" si="13"/>
        <v>320.7</v>
      </c>
      <c r="H190" s="64">
        <f t="shared" si="14"/>
        <v>0.47287968441814593</v>
      </c>
    </row>
    <row r="191" spans="1:8" ht="38.25">
      <c r="A191" s="23"/>
      <c r="B191" s="23" t="s">
        <v>284</v>
      </c>
      <c r="C191" s="23"/>
      <c r="D191" s="24" t="s">
        <v>86</v>
      </c>
      <c r="E191" s="25">
        <f>SUM(E192:E193)</f>
        <v>608.4</v>
      </c>
      <c r="F191" s="25">
        <f>SUM(F192:F193)</f>
        <v>287.7</v>
      </c>
      <c r="G191" s="25">
        <f t="shared" si="13"/>
        <v>320.7</v>
      </c>
      <c r="H191" s="64">
        <f t="shared" si="14"/>
        <v>0.47287968441814593</v>
      </c>
    </row>
    <row r="192" spans="1:8" ht="76.5">
      <c r="A192" s="23"/>
      <c r="B192" s="23"/>
      <c r="C192" s="23" t="s">
        <v>42</v>
      </c>
      <c r="D192" s="24" t="s">
        <v>149</v>
      </c>
      <c r="E192" s="25">
        <v>583.9</v>
      </c>
      <c r="F192" s="25">
        <v>280.9</v>
      </c>
      <c r="G192" s="25">
        <f t="shared" si="13"/>
        <v>303</v>
      </c>
      <c r="H192" s="64">
        <f t="shared" si="14"/>
        <v>0.48107552663127245</v>
      </c>
    </row>
    <row r="193" spans="1:8" ht="25.5">
      <c r="A193" s="23"/>
      <c r="B193" s="23"/>
      <c r="C193" s="23" t="s">
        <v>43</v>
      </c>
      <c r="D193" s="24" t="s">
        <v>150</v>
      </c>
      <c r="E193" s="25">
        <v>24.5</v>
      </c>
      <c r="F193" s="25">
        <v>6.8</v>
      </c>
      <c r="G193" s="25">
        <f t="shared" si="13"/>
        <v>17.7</v>
      </c>
      <c r="H193" s="64">
        <f t="shared" si="14"/>
        <v>0.27755102040816326</v>
      </c>
    </row>
    <row r="194" spans="1:8" ht="12.75">
      <c r="A194" s="23"/>
      <c r="B194" s="23" t="s">
        <v>421</v>
      </c>
      <c r="C194" s="23"/>
      <c r="D194" s="24" t="s">
        <v>422</v>
      </c>
      <c r="E194" s="25">
        <f>E195</f>
        <v>850</v>
      </c>
      <c r="F194" s="25">
        <f>F195</f>
        <v>229.3</v>
      </c>
      <c r="G194" s="25">
        <f t="shared" si="13"/>
        <v>620.7</v>
      </c>
      <c r="H194" s="64">
        <f t="shared" si="14"/>
        <v>0.26976470588235296</v>
      </c>
    </row>
    <row r="195" spans="1:8" ht="63.75">
      <c r="A195" s="23"/>
      <c r="B195" s="23" t="s">
        <v>425</v>
      </c>
      <c r="C195" s="23"/>
      <c r="D195" s="24" t="s">
        <v>426</v>
      </c>
      <c r="E195" s="25">
        <f>E196+E197</f>
        <v>850</v>
      </c>
      <c r="F195" s="25">
        <f>F196+F197</f>
        <v>229.3</v>
      </c>
      <c r="G195" s="25">
        <f t="shared" si="13"/>
        <v>620.7</v>
      </c>
      <c r="H195" s="64">
        <f t="shared" si="14"/>
        <v>0.26976470588235296</v>
      </c>
    </row>
    <row r="196" spans="1:8" ht="25.5">
      <c r="A196" s="23"/>
      <c r="B196" s="23"/>
      <c r="C196" s="23" t="s">
        <v>43</v>
      </c>
      <c r="D196" s="24" t="s">
        <v>150</v>
      </c>
      <c r="E196" s="25">
        <v>30</v>
      </c>
      <c r="F196" s="25">
        <v>15</v>
      </c>
      <c r="G196" s="25">
        <f t="shared" si="13"/>
        <v>15</v>
      </c>
      <c r="H196" s="64">
        <f t="shared" si="14"/>
        <v>0.5</v>
      </c>
    </row>
    <row r="197" spans="1:8" ht="12.75">
      <c r="A197" s="23"/>
      <c r="B197" s="23"/>
      <c r="C197" s="23" t="s">
        <v>44</v>
      </c>
      <c r="D197" s="24" t="s">
        <v>45</v>
      </c>
      <c r="E197" s="25">
        <v>820</v>
      </c>
      <c r="F197" s="25">
        <v>214.3</v>
      </c>
      <c r="G197" s="25">
        <f t="shared" si="13"/>
        <v>605.7</v>
      </c>
      <c r="H197" s="64">
        <f t="shared" si="14"/>
        <v>0.26134146341463416</v>
      </c>
    </row>
    <row r="198" spans="1:8" ht="12.75">
      <c r="A198" s="23" t="s">
        <v>87</v>
      </c>
      <c r="B198" s="23"/>
      <c r="C198" s="23"/>
      <c r="D198" s="24" t="s">
        <v>88</v>
      </c>
      <c r="E198" s="25">
        <f>E208+E199+E204</f>
        <v>12107.4</v>
      </c>
      <c r="F198" s="25">
        <f>F208+F199+F204</f>
        <v>7264.1</v>
      </c>
      <c r="G198" s="25">
        <f t="shared" si="13"/>
        <v>4843.299999999999</v>
      </c>
      <c r="H198" s="64">
        <f t="shared" si="14"/>
        <v>0.5999719180005617</v>
      </c>
    </row>
    <row r="199" spans="1:8" ht="25.5">
      <c r="A199" s="23"/>
      <c r="B199" s="23" t="s">
        <v>81</v>
      </c>
      <c r="C199" s="23"/>
      <c r="D199" s="24" t="s">
        <v>285</v>
      </c>
      <c r="E199" s="25">
        <f>E200</f>
        <v>7312</v>
      </c>
      <c r="F199" s="25">
        <f>F200</f>
        <v>2742.2000000000003</v>
      </c>
      <c r="G199" s="25">
        <f t="shared" si="13"/>
        <v>4569.799999999999</v>
      </c>
      <c r="H199" s="64">
        <f t="shared" si="14"/>
        <v>0.37502735229759304</v>
      </c>
    </row>
    <row r="200" spans="1:8" ht="25.5">
      <c r="A200" s="23"/>
      <c r="B200" s="23" t="s">
        <v>223</v>
      </c>
      <c r="C200" s="23"/>
      <c r="D200" s="24" t="s">
        <v>64</v>
      </c>
      <c r="E200" s="25">
        <f>SUM(E201:E203)</f>
        <v>7312</v>
      </c>
      <c r="F200" s="25">
        <f>SUM(F201:F203)</f>
        <v>2742.2000000000003</v>
      </c>
      <c r="G200" s="25">
        <f t="shared" si="13"/>
        <v>4569.799999999999</v>
      </c>
      <c r="H200" s="64">
        <f t="shared" si="14"/>
        <v>0.37502735229759304</v>
      </c>
    </row>
    <row r="201" spans="1:8" ht="76.5">
      <c r="A201" s="23"/>
      <c r="B201" s="23"/>
      <c r="C201" s="23" t="s">
        <v>42</v>
      </c>
      <c r="D201" s="24" t="s">
        <v>149</v>
      </c>
      <c r="E201" s="25">
        <v>4767.5</v>
      </c>
      <c r="F201" s="25">
        <v>1807.9</v>
      </c>
      <c r="G201" s="25">
        <f t="shared" si="13"/>
        <v>2959.6</v>
      </c>
      <c r="H201" s="64">
        <f t="shared" si="14"/>
        <v>0.37921342422653387</v>
      </c>
    </row>
    <row r="202" spans="1:8" ht="25.5">
      <c r="A202" s="23"/>
      <c r="B202" s="23"/>
      <c r="C202" s="23" t="s">
        <v>43</v>
      </c>
      <c r="D202" s="24" t="s">
        <v>150</v>
      </c>
      <c r="E202" s="25">
        <v>2377</v>
      </c>
      <c r="F202" s="25">
        <v>901</v>
      </c>
      <c r="G202" s="25">
        <f t="shared" si="13"/>
        <v>1476</v>
      </c>
      <c r="H202" s="64">
        <f t="shared" si="14"/>
        <v>0.37904922170803534</v>
      </c>
    </row>
    <row r="203" spans="1:8" ht="12.75">
      <c r="A203" s="23"/>
      <c r="B203" s="23"/>
      <c r="C203" s="23" t="s">
        <v>44</v>
      </c>
      <c r="D203" s="24" t="s">
        <v>45</v>
      </c>
      <c r="E203" s="25">
        <v>167.5</v>
      </c>
      <c r="F203" s="25">
        <v>33.3</v>
      </c>
      <c r="G203" s="25">
        <f t="shared" si="13"/>
        <v>134.2</v>
      </c>
      <c r="H203" s="64">
        <f t="shared" si="14"/>
        <v>0.19880597014925372</v>
      </c>
    </row>
    <row r="204" spans="1:8" ht="38.25">
      <c r="A204" s="23"/>
      <c r="B204" s="23" t="s">
        <v>60</v>
      </c>
      <c r="C204" s="23"/>
      <c r="D204" s="49" t="s">
        <v>301</v>
      </c>
      <c r="E204" s="25">
        <f aca="true" t="shared" si="15" ref="E204:F206">E205</f>
        <v>4521.9</v>
      </c>
      <c r="F204" s="25">
        <f t="shared" si="15"/>
        <v>4521.9</v>
      </c>
      <c r="G204" s="25">
        <f t="shared" si="13"/>
        <v>0</v>
      </c>
      <c r="H204" s="64">
        <f t="shared" si="14"/>
        <v>1</v>
      </c>
    </row>
    <row r="205" spans="1:8" ht="76.5">
      <c r="A205" s="23"/>
      <c r="B205" s="23" t="s">
        <v>300</v>
      </c>
      <c r="C205" s="23"/>
      <c r="D205" s="49" t="s">
        <v>302</v>
      </c>
      <c r="E205" s="25">
        <f t="shared" si="15"/>
        <v>4521.9</v>
      </c>
      <c r="F205" s="25">
        <f t="shared" si="15"/>
        <v>4521.9</v>
      </c>
      <c r="G205" s="25">
        <f t="shared" si="13"/>
        <v>0</v>
      </c>
      <c r="H205" s="64">
        <f t="shared" si="14"/>
        <v>1</v>
      </c>
    </row>
    <row r="206" spans="1:8" ht="50.25" customHeight="1">
      <c r="A206" s="23"/>
      <c r="B206" s="23" t="s">
        <v>491</v>
      </c>
      <c r="C206" s="23"/>
      <c r="D206" s="24" t="s">
        <v>492</v>
      </c>
      <c r="E206" s="25">
        <f t="shared" si="15"/>
        <v>4521.9</v>
      </c>
      <c r="F206" s="25">
        <f t="shared" si="15"/>
        <v>4521.9</v>
      </c>
      <c r="G206" s="25">
        <f t="shared" si="13"/>
        <v>0</v>
      </c>
      <c r="H206" s="64">
        <f t="shared" si="14"/>
        <v>1</v>
      </c>
    </row>
    <row r="207" spans="1:8" ht="12.75">
      <c r="A207" s="23"/>
      <c r="B207" s="23"/>
      <c r="C207" s="23" t="s">
        <v>44</v>
      </c>
      <c r="D207" s="24" t="s">
        <v>45</v>
      </c>
      <c r="E207" s="25">
        <v>4521.9</v>
      </c>
      <c r="F207" s="25">
        <v>4521.9</v>
      </c>
      <c r="G207" s="25">
        <f t="shared" si="13"/>
        <v>0</v>
      </c>
      <c r="H207" s="64">
        <f t="shared" si="14"/>
        <v>1</v>
      </c>
    </row>
    <row r="208" spans="1:8" ht="12.75">
      <c r="A208" s="23"/>
      <c r="B208" s="23" t="s">
        <v>104</v>
      </c>
      <c r="C208" s="23"/>
      <c r="D208" s="24" t="s">
        <v>88</v>
      </c>
      <c r="E208" s="25">
        <f>E209</f>
        <v>273.5</v>
      </c>
      <c r="F208" s="25">
        <f>F209</f>
        <v>0</v>
      </c>
      <c r="G208" s="25">
        <f t="shared" si="13"/>
        <v>273.5</v>
      </c>
      <c r="H208" s="64">
        <f t="shared" si="14"/>
        <v>0</v>
      </c>
    </row>
    <row r="209" spans="1:8" ht="76.5">
      <c r="A209" s="23"/>
      <c r="B209" s="23" t="s">
        <v>168</v>
      </c>
      <c r="C209" s="23"/>
      <c r="D209" s="24" t="s">
        <v>169</v>
      </c>
      <c r="E209" s="25">
        <f>E210</f>
        <v>273.5</v>
      </c>
      <c r="F209" s="25">
        <f>F210</f>
        <v>0</v>
      </c>
      <c r="G209" s="25">
        <f t="shared" si="13"/>
        <v>273.5</v>
      </c>
      <c r="H209" s="64">
        <f t="shared" si="14"/>
        <v>0</v>
      </c>
    </row>
    <row r="210" spans="1:8" ht="12.75">
      <c r="A210" s="23"/>
      <c r="B210" s="23"/>
      <c r="C210" s="23" t="s">
        <v>44</v>
      </c>
      <c r="D210" s="24" t="s">
        <v>45</v>
      </c>
      <c r="E210" s="25">
        <v>273.5</v>
      </c>
      <c r="F210" s="25">
        <v>0</v>
      </c>
      <c r="G210" s="25">
        <f t="shared" si="13"/>
        <v>273.5</v>
      </c>
      <c r="H210" s="64">
        <f t="shared" si="14"/>
        <v>0</v>
      </c>
    </row>
    <row r="211" spans="1:8" ht="12.75">
      <c r="A211" s="26" t="s">
        <v>89</v>
      </c>
      <c r="B211" s="23"/>
      <c r="C211" s="23"/>
      <c r="D211" s="24" t="s">
        <v>90</v>
      </c>
      <c r="E211" s="25">
        <f>E212+E227</f>
        <v>25557.5</v>
      </c>
      <c r="F211" s="25">
        <f>F212+F227</f>
        <v>14075.5</v>
      </c>
      <c r="G211" s="25">
        <f t="shared" si="13"/>
        <v>11482</v>
      </c>
      <c r="H211" s="64">
        <f t="shared" si="14"/>
        <v>0.5507385307639636</v>
      </c>
    </row>
    <row r="212" spans="1:8" ht="12.75">
      <c r="A212" s="52"/>
      <c r="B212" s="23" t="s">
        <v>60</v>
      </c>
      <c r="C212" s="23"/>
      <c r="D212" s="24" t="s">
        <v>368</v>
      </c>
      <c r="E212" s="25">
        <f>E213+E215+E217+E219+E221+E225+E223</f>
        <v>24678.2</v>
      </c>
      <c r="F212" s="25">
        <f>F213+F215+F217+F219+F221+F225+F223</f>
        <v>14075.5</v>
      </c>
      <c r="G212" s="25">
        <f t="shared" si="13"/>
        <v>10602.7</v>
      </c>
      <c r="H212" s="64">
        <f t="shared" si="14"/>
        <v>0.5703616957476639</v>
      </c>
    </row>
    <row r="213" spans="1:8" ht="25.5" hidden="1">
      <c r="A213" s="23"/>
      <c r="B213" s="23" t="s">
        <v>230</v>
      </c>
      <c r="C213" s="23"/>
      <c r="D213" s="24" t="s">
        <v>231</v>
      </c>
      <c r="E213" s="25">
        <f>E214</f>
        <v>0</v>
      </c>
      <c r="F213" s="25">
        <f>F214</f>
        <v>0</v>
      </c>
      <c r="G213" s="25">
        <f t="shared" si="13"/>
        <v>0</v>
      </c>
      <c r="H213" s="64" t="e">
        <f t="shared" si="14"/>
        <v>#DIV/0!</v>
      </c>
    </row>
    <row r="214" spans="1:8" ht="12.75" hidden="1">
      <c r="A214" s="23"/>
      <c r="B214" s="23"/>
      <c r="C214" s="23" t="s">
        <v>44</v>
      </c>
      <c r="D214" s="24" t="s">
        <v>45</v>
      </c>
      <c r="E214" s="25"/>
      <c r="F214" s="25"/>
      <c r="G214" s="25">
        <f t="shared" si="13"/>
        <v>0</v>
      </c>
      <c r="H214" s="64" t="e">
        <f t="shared" si="14"/>
        <v>#DIV/0!</v>
      </c>
    </row>
    <row r="215" spans="1:8" ht="51">
      <c r="A215" s="23"/>
      <c r="B215" s="23" t="s">
        <v>404</v>
      </c>
      <c r="C215" s="23"/>
      <c r="D215" s="61" t="s">
        <v>401</v>
      </c>
      <c r="E215" s="25">
        <f>E216</f>
        <v>15712.9</v>
      </c>
      <c r="F215" s="25">
        <f>F216</f>
        <v>11964.9</v>
      </c>
      <c r="G215" s="25">
        <f t="shared" si="13"/>
        <v>3748</v>
      </c>
      <c r="H215" s="64">
        <f t="shared" si="14"/>
        <v>0.7614698750708017</v>
      </c>
    </row>
    <row r="216" spans="1:8" ht="25.5">
      <c r="A216" s="23"/>
      <c r="B216" s="23"/>
      <c r="C216" s="23" t="s">
        <v>43</v>
      </c>
      <c r="D216" s="24" t="s">
        <v>150</v>
      </c>
      <c r="E216" s="25">
        <v>15712.9</v>
      </c>
      <c r="F216" s="25">
        <v>11964.9</v>
      </c>
      <c r="G216" s="25">
        <f t="shared" si="13"/>
        <v>3748</v>
      </c>
      <c r="H216" s="64">
        <f t="shared" si="14"/>
        <v>0.7614698750708017</v>
      </c>
    </row>
    <row r="217" spans="1:8" ht="63.75">
      <c r="A217" s="23"/>
      <c r="B217" s="23" t="s">
        <v>405</v>
      </c>
      <c r="C217" s="23"/>
      <c r="D217" s="61" t="s">
        <v>402</v>
      </c>
      <c r="E217" s="25">
        <f>E218</f>
        <v>3711.6</v>
      </c>
      <c r="F217" s="25">
        <f>F218</f>
        <v>0</v>
      </c>
      <c r="G217" s="25">
        <f t="shared" si="13"/>
        <v>3711.6</v>
      </c>
      <c r="H217" s="64">
        <f t="shared" si="14"/>
        <v>0</v>
      </c>
    </row>
    <row r="218" spans="1:8" ht="25.5">
      <c r="A218" s="23"/>
      <c r="B218" s="23"/>
      <c r="C218" s="23" t="s">
        <v>43</v>
      </c>
      <c r="D218" s="24" t="s">
        <v>150</v>
      </c>
      <c r="E218" s="25">
        <v>3711.6</v>
      </c>
      <c r="F218" s="25">
        <v>0</v>
      </c>
      <c r="G218" s="25">
        <f t="shared" si="13"/>
        <v>3711.6</v>
      </c>
      <c r="H218" s="64">
        <f t="shared" si="14"/>
        <v>0</v>
      </c>
    </row>
    <row r="219" spans="1:8" ht="51">
      <c r="A219" s="23"/>
      <c r="B219" s="23" t="s">
        <v>403</v>
      </c>
      <c r="C219" s="23"/>
      <c r="D219" s="60" t="s">
        <v>383</v>
      </c>
      <c r="E219" s="25">
        <f>E220</f>
        <v>1120.3</v>
      </c>
      <c r="F219" s="25">
        <f>F220</f>
        <v>360.6</v>
      </c>
      <c r="G219" s="25">
        <f t="shared" si="13"/>
        <v>759.6999999999999</v>
      </c>
      <c r="H219" s="64">
        <f t="shared" si="14"/>
        <v>0.3218780683745426</v>
      </c>
    </row>
    <row r="220" spans="1:8" ht="25.5">
      <c r="A220" s="23"/>
      <c r="B220" s="23"/>
      <c r="C220" s="23" t="s">
        <v>43</v>
      </c>
      <c r="D220" s="24" t="s">
        <v>150</v>
      </c>
      <c r="E220" s="25">
        <v>1120.3</v>
      </c>
      <c r="F220" s="25">
        <v>360.6</v>
      </c>
      <c r="G220" s="25">
        <f t="shared" si="13"/>
        <v>759.6999999999999</v>
      </c>
      <c r="H220" s="64">
        <f t="shared" si="14"/>
        <v>0.3218780683745426</v>
      </c>
    </row>
    <row r="221" spans="1:8" ht="51">
      <c r="A221" s="23"/>
      <c r="B221" s="26" t="s">
        <v>438</v>
      </c>
      <c r="C221" s="26"/>
      <c r="D221" s="60" t="s">
        <v>451</v>
      </c>
      <c r="E221" s="25">
        <f>E222</f>
        <v>1883.4</v>
      </c>
      <c r="F221" s="25">
        <f>F222</f>
        <v>1750</v>
      </c>
      <c r="G221" s="25">
        <f t="shared" si="13"/>
        <v>133.4000000000001</v>
      </c>
      <c r="H221" s="64">
        <f t="shared" si="14"/>
        <v>0.9291706488265902</v>
      </c>
    </row>
    <row r="222" spans="1:8" ht="25.5">
      <c r="A222" s="23"/>
      <c r="B222" s="26"/>
      <c r="C222" s="26" t="s">
        <v>43</v>
      </c>
      <c r="D222" s="60" t="s">
        <v>384</v>
      </c>
      <c r="E222" s="25">
        <v>1883.4</v>
      </c>
      <c r="F222" s="25">
        <v>1750</v>
      </c>
      <c r="G222" s="25">
        <f t="shared" si="13"/>
        <v>133.4000000000001</v>
      </c>
      <c r="H222" s="64">
        <f t="shared" si="14"/>
        <v>0.9291706488265902</v>
      </c>
    </row>
    <row r="223" spans="1:8" ht="25.5">
      <c r="A223" s="23"/>
      <c r="B223" s="26" t="s">
        <v>1041</v>
      </c>
      <c r="C223" s="26"/>
      <c r="D223" s="24" t="s">
        <v>1072</v>
      </c>
      <c r="E223" s="25">
        <f>E224</f>
        <v>1500</v>
      </c>
      <c r="F223" s="25">
        <f>F224</f>
        <v>0</v>
      </c>
      <c r="G223" s="57">
        <f>E223-F223</f>
        <v>1500</v>
      </c>
      <c r="H223" s="59">
        <f>F223/E223</f>
        <v>0</v>
      </c>
    </row>
    <row r="224" spans="1:8" ht="25.5">
      <c r="A224" s="23"/>
      <c r="B224" s="26"/>
      <c r="C224" s="26" t="s">
        <v>43</v>
      </c>
      <c r="D224" s="24" t="s">
        <v>150</v>
      </c>
      <c r="E224" s="25">
        <v>1500</v>
      </c>
      <c r="F224" s="25">
        <v>0</v>
      </c>
      <c r="G224" s="57">
        <f>E224-F224</f>
        <v>1500</v>
      </c>
      <c r="H224" s="59">
        <f>F224/E224</f>
        <v>0</v>
      </c>
    </row>
    <row r="225" spans="1:8" ht="51">
      <c r="A225" s="23"/>
      <c r="B225" s="23" t="s">
        <v>1020</v>
      </c>
      <c r="C225" s="23"/>
      <c r="D225" s="24" t="s">
        <v>1050</v>
      </c>
      <c r="E225" s="25">
        <f>E226</f>
        <v>750</v>
      </c>
      <c r="F225" s="25">
        <f>F226</f>
        <v>0</v>
      </c>
      <c r="G225" s="57">
        <f t="shared" si="13"/>
        <v>750</v>
      </c>
      <c r="H225" s="59">
        <f t="shared" si="14"/>
        <v>0</v>
      </c>
    </row>
    <row r="226" spans="1:8" ht="12.75">
      <c r="A226" s="23"/>
      <c r="B226" s="23"/>
      <c r="C226" s="23" t="s">
        <v>49</v>
      </c>
      <c r="D226" s="24" t="s">
        <v>50</v>
      </c>
      <c r="E226" s="25">
        <v>750</v>
      </c>
      <c r="F226" s="25">
        <v>0</v>
      </c>
      <c r="G226" s="57">
        <f t="shared" si="13"/>
        <v>750</v>
      </c>
      <c r="H226" s="59">
        <f t="shared" si="14"/>
        <v>0</v>
      </c>
    </row>
    <row r="227" spans="1:8" ht="38.25">
      <c r="A227" s="23"/>
      <c r="B227" s="23" t="s">
        <v>475</v>
      </c>
      <c r="C227" s="23"/>
      <c r="D227" s="24" t="s">
        <v>478</v>
      </c>
      <c r="E227" s="25">
        <f>E228</f>
        <v>879.3</v>
      </c>
      <c r="F227" s="25">
        <f>F228</f>
        <v>0</v>
      </c>
      <c r="G227" s="57">
        <f t="shared" si="13"/>
        <v>879.3</v>
      </c>
      <c r="H227" s="59">
        <f t="shared" si="14"/>
        <v>0</v>
      </c>
    </row>
    <row r="228" spans="1:8" ht="51">
      <c r="A228" s="23"/>
      <c r="B228" s="23" t="s">
        <v>477</v>
      </c>
      <c r="C228" s="23"/>
      <c r="D228" s="24" t="s">
        <v>476</v>
      </c>
      <c r="E228" s="25">
        <f>E229</f>
        <v>879.3</v>
      </c>
      <c r="F228" s="25">
        <f>F229</f>
        <v>0</v>
      </c>
      <c r="G228" s="57">
        <f t="shared" si="13"/>
        <v>879.3</v>
      </c>
      <c r="H228" s="59">
        <f t="shared" si="14"/>
        <v>0</v>
      </c>
    </row>
    <row r="229" spans="1:8" ht="12.75">
      <c r="A229" s="23"/>
      <c r="B229" s="23"/>
      <c r="C229" s="23" t="s">
        <v>49</v>
      </c>
      <c r="D229" s="24" t="s">
        <v>50</v>
      </c>
      <c r="E229" s="25">
        <v>879.3</v>
      </c>
      <c r="F229" s="25">
        <v>0</v>
      </c>
      <c r="G229" s="57">
        <f t="shared" si="13"/>
        <v>879.3</v>
      </c>
      <c r="H229" s="59">
        <f t="shared" si="14"/>
        <v>0</v>
      </c>
    </row>
    <row r="230" spans="1:8" ht="25.5">
      <c r="A230" s="23" t="s">
        <v>387</v>
      </c>
      <c r="B230" s="23"/>
      <c r="C230" s="23"/>
      <c r="D230" s="49" t="s">
        <v>388</v>
      </c>
      <c r="E230" s="25">
        <f>E238+E231+E243</f>
        <v>1904.8</v>
      </c>
      <c r="F230" s="25">
        <f>F238+F231+F243</f>
        <v>738</v>
      </c>
      <c r="G230" s="25">
        <f t="shared" si="13"/>
        <v>1166.8</v>
      </c>
      <c r="H230" s="64">
        <f t="shared" si="14"/>
        <v>0.38744225115497694</v>
      </c>
    </row>
    <row r="231" spans="1:8" ht="25.5">
      <c r="A231" s="23"/>
      <c r="B231" s="26" t="s">
        <v>389</v>
      </c>
      <c r="C231" s="26"/>
      <c r="D231" s="53" t="s">
        <v>390</v>
      </c>
      <c r="E231" s="25">
        <f>E232+E234+E236</f>
        <v>1076.5</v>
      </c>
      <c r="F231" s="25">
        <f>F232+F234+F236</f>
        <v>359.7</v>
      </c>
      <c r="G231" s="25">
        <f aca="true" t="shared" si="16" ref="G231:G317">E231-F231</f>
        <v>716.8</v>
      </c>
      <c r="H231" s="64">
        <f t="shared" si="14"/>
        <v>0.33413841151881096</v>
      </c>
    </row>
    <row r="232" spans="1:8" ht="38.25">
      <c r="A232" s="23"/>
      <c r="B232" s="26" t="s">
        <v>391</v>
      </c>
      <c r="C232" s="26"/>
      <c r="D232" s="53" t="s">
        <v>392</v>
      </c>
      <c r="E232" s="25">
        <f>E233</f>
        <v>775</v>
      </c>
      <c r="F232" s="25">
        <f>F233</f>
        <v>358.2</v>
      </c>
      <c r="G232" s="25">
        <f t="shared" si="16"/>
        <v>416.8</v>
      </c>
      <c r="H232" s="64">
        <f aca="true" t="shared" si="17" ref="H232:H318">F232/E232</f>
        <v>0.46219354838709675</v>
      </c>
    </row>
    <row r="233" spans="1:8" ht="25.5">
      <c r="A233" s="23"/>
      <c r="B233" s="26"/>
      <c r="C233" s="26" t="s">
        <v>43</v>
      </c>
      <c r="D233" s="60" t="s">
        <v>384</v>
      </c>
      <c r="E233" s="25">
        <v>775</v>
      </c>
      <c r="F233" s="25">
        <v>358.2</v>
      </c>
      <c r="G233" s="25">
        <f t="shared" si="16"/>
        <v>416.8</v>
      </c>
      <c r="H233" s="64">
        <f t="shared" si="17"/>
        <v>0.46219354838709675</v>
      </c>
    </row>
    <row r="234" spans="1:8" ht="51">
      <c r="A234" s="23"/>
      <c r="B234" s="23" t="s">
        <v>1029</v>
      </c>
      <c r="C234" s="23"/>
      <c r="D234" s="24" t="s">
        <v>1060</v>
      </c>
      <c r="E234" s="25">
        <f>E235</f>
        <v>1.5</v>
      </c>
      <c r="F234" s="25">
        <f>F235</f>
        <v>1.5</v>
      </c>
      <c r="G234" s="57">
        <f>E234-F234</f>
        <v>0</v>
      </c>
      <c r="H234" s="59">
        <f>F234/E234</f>
        <v>1</v>
      </c>
    </row>
    <row r="235" spans="1:8" ht="25.5">
      <c r="A235" s="23"/>
      <c r="B235" s="23"/>
      <c r="C235" s="23" t="s">
        <v>43</v>
      </c>
      <c r="D235" s="24" t="s">
        <v>150</v>
      </c>
      <c r="E235" s="25">
        <v>1.5</v>
      </c>
      <c r="F235" s="25">
        <v>1.5</v>
      </c>
      <c r="G235" s="57">
        <f>E235-F235</f>
        <v>0</v>
      </c>
      <c r="H235" s="59">
        <f>F235/E235</f>
        <v>1</v>
      </c>
    </row>
    <row r="236" spans="1:8" ht="51">
      <c r="A236" s="23"/>
      <c r="B236" s="23" t="s">
        <v>1030</v>
      </c>
      <c r="C236" s="23"/>
      <c r="D236" s="24" t="s">
        <v>1061</v>
      </c>
      <c r="E236" s="25">
        <f>E237</f>
        <v>300</v>
      </c>
      <c r="F236" s="25">
        <f>F237</f>
        <v>0</v>
      </c>
      <c r="G236" s="57">
        <f>E236-F236</f>
        <v>300</v>
      </c>
      <c r="H236" s="59">
        <f>F236/E236</f>
        <v>0</v>
      </c>
    </row>
    <row r="237" spans="1:8" ht="25.5">
      <c r="A237" s="23"/>
      <c r="B237" s="23"/>
      <c r="C237" s="23" t="s">
        <v>43</v>
      </c>
      <c r="D237" s="24" t="s">
        <v>150</v>
      </c>
      <c r="E237" s="25">
        <v>300</v>
      </c>
      <c r="F237" s="25">
        <v>0</v>
      </c>
      <c r="G237" s="57">
        <f>E237-F237</f>
        <v>300</v>
      </c>
      <c r="H237" s="59">
        <f>F237/E237</f>
        <v>0</v>
      </c>
    </row>
    <row r="238" spans="1:8" ht="12.75">
      <c r="A238" s="23"/>
      <c r="B238" s="23" t="s">
        <v>421</v>
      </c>
      <c r="C238" s="23"/>
      <c r="D238" s="24" t="s">
        <v>422</v>
      </c>
      <c r="E238" s="25">
        <f>E239</f>
        <v>800</v>
      </c>
      <c r="F238" s="25">
        <f>F239</f>
        <v>350</v>
      </c>
      <c r="G238" s="25">
        <f t="shared" si="16"/>
        <v>450</v>
      </c>
      <c r="H238" s="64">
        <f t="shared" si="17"/>
        <v>0.4375</v>
      </c>
    </row>
    <row r="239" spans="1:8" ht="51">
      <c r="A239" s="23"/>
      <c r="B239" s="23" t="s">
        <v>427</v>
      </c>
      <c r="C239" s="23"/>
      <c r="D239" s="24" t="s">
        <v>428</v>
      </c>
      <c r="E239" s="25">
        <f>E240+E242+E241</f>
        <v>800</v>
      </c>
      <c r="F239" s="25">
        <f>F240+F242+F241</f>
        <v>350</v>
      </c>
      <c r="G239" s="25">
        <f t="shared" si="16"/>
        <v>450</v>
      </c>
      <c r="H239" s="64">
        <f t="shared" si="17"/>
        <v>0.4375</v>
      </c>
    </row>
    <row r="240" spans="1:8" ht="25.5" hidden="1">
      <c r="A240" s="23"/>
      <c r="B240" s="23"/>
      <c r="C240" s="23" t="s">
        <v>43</v>
      </c>
      <c r="D240" s="24" t="s">
        <v>150</v>
      </c>
      <c r="E240" s="25"/>
      <c r="F240" s="25"/>
      <c r="G240" s="25">
        <f t="shared" si="16"/>
        <v>0</v>
      </c>
      <c r="H240" s="64" t="e">
        <f t="shared" si="17"/>
        <v>#DIV/0!</v>
      </c>
    </row>
    <row r="241" spans="1:8" ht="38.25">
      <c r="A241" s="23"/>
      <c r="B241" s="23"/>
      <c r="C241" s="23" t="s">
        <v>65</v>
      </c>
      <c r="D241" s="24" t="s">
        <v>178</v>
      </c>
      <c r="E241" s="25">
        <v>350</v>
      </c>
      <c r="F241" s="25">
        <v>350</v>
      </c>
      <c r="G241" s="25">
        <f t="shared" si="16"/>
        <v>0</v>
      </c>
      <c r="H241" s="64">
        <f t="shared" si="17"/>
        <v>1</v>
      </c>
    </row>
    <row r="242" spans="1:8" ht="12.75">
      <c r="A242" s="23"/>
      <c r="B242" s="23"/>
      <c r="C242" s="23" t="s">
        <v>44</v>
      </c>
      <c r="D242" s="24" t="s">
        <v>45</v>
      </c>
      <c r="E242" s="25">
        <v>450</v>
      </c>
      <c r="F242" s="25">
        <v>0</v>
      </c>
      <c r="G242" s="25">
        <f t="shared" si="16"/>
        <v>450</v>
      </c>
      <c r="H242" s="64">
        <f t="shared" si="17"/>
        <v>0</v>
      </c>
    </row>
    <row r="243" spans="1:8" ht="38.25">
      <c r="A243" s="23"/>
      <c r="B243" s="23" t="s">
        <v>475</v>
      </c>
      <c r="C243" s="23"/>
      <c r="D243" s="24" t="s">
        <v>478</v>
      </c>
      <c r="E243" s="25">
        <f>E244</f>
        <v>28.3</v>
      </c>
      <c r="F243" s="25">
        <f>F244</f>
        <v>28.3</v>
      </c>
      <c r="G243" s="25">
        <f t="shared" si="16"/>
        <v>0</v>
      </c>
      <c r="H243" s="64">
        <f t="shared" si="17"/>
        <v>1</v>
      </c>
    </row>
    <row r="244" spans="1:8" ht="38.25">
      <c r="A244" s="23"/>
      <c r="B244" s="23" t="s">
        <v>481</v>
      </c>
      <c r="C244" s="23"/>
      <c r="D244" s="24" t="s">
        <v>482</v>
      </c>
      <c r="E244" s="25">
        <f>E245</f>
        <v>28.3</v>
      </c>
      <c r="F244" s="25">
        <f>F245</f>
        <v>28.3</v>
      </c>
      <c r="G244" s="25">
        <f t="shared" si="16"/>
        <v>0</v>
      </c>
      <c r="H244" s="64">
        <f t="shared" si="17"/>
        <v>1</v>
      </c>
    </row>
    <row r="245" spans="1:8" ht="25.5">
      <c r="A245" s="23"/>
      <c r="B245" s="23"/>
      <c r="C245" s="23" t="s">
        <v>43</v>
      </c>
      <c r="D245" s="24" t="s">
        <v>150</v>
      </c>
      <c r="E245" s="25">
        <v>28.3</v>
      </c>
      <c r="F245" s="25">
        <v>28.3</v>
      </c>
      <c r="G245" s="25">
        <f t="shared" si="16"/>
        <v>0</v>
      </c>
      <c r="H245" s="64">
        <f t="shared" si="17"/>
        <v>1</v>
      </c>
    </row>
    <row r="246" spans="1:8" ht="12.75">
      <c r="A246" s="23"/>
      <c r="B246" s="23"/>
      <c r="C246" s="23"/>
      <c r="D246" s="24"/>
      <c r="E246" s="25"/>
      <c r="F246" s="25"/>
      <c r="G246" s="25"/>
      <c r="H246" s="64"/>
    </row>
    <row r="247" spans="1:8" s="35" customFormat="1" ht="25.5">
      <c r="A247" s="21" t="s">
        <v>91</v>
      </c>
      <c r="B247" s="21"/>
      <c r="C247" s="21"/>
      <c r="D247" s="38" t="s">
        <v>92</v>
      </c>
      <c r="E247" s="36">
        <f>E272+E248+E256</f>
        <v>19069.899999999998</v>
      </c>
      <c r="F247" s="36">
        <f>F272+F248+F256</f>
        <v>667.8</v>
      </c>
      <c r="G247" s="36">
        <f t="shared" si="16"/>
        <v>18402.1</v>
      </c>
      <c r="H247" s="65">
        <f t="shared" si="17"/>
        <v>0.03501853706626674</v>
      </c>
    </row>
    <row r="248" spans="1:8" s="35" customFormat="1" ht="12.75">
      <c r="A248" s="23" t="s">
        <v>412</v>
      </c>
      <c r="B248" s="23"/>
      <c r="C248" s="23"/>
      <c r="D248" s="24" t="s">
        <v>413</v>
      </c>
      <c r="E248" s="25">
        <f>E249+E253</f>
        <v>10833.8</v>
      </c>
      <c r="F248" s="25">
        <f>F249+F253</f>
        <v>97.5</v>
      </c>
      <c r="G248" s="25">
        <f t="shared" si="16"/>
        <v>10736.3</v>
      </c>
      <c r="H248" s="64">
        <f t="shared" si="17"/>
        <v>0.00899961232439218</v>
      </c>
    </row>
    <row r="249" spans="1:8" s="35" customFormat="1" ht="38.25">
      <c r="A249" s="23"/>
      <c r="B249" s="26" t="s">
        <v>66</v>
      </c>
      <c r="C249" s="50"/>
      <c r="D249" s="49" t="s">
        <v>416</v>
      </c>
      <c r="E249" s="25">
        <f aca="true" t="shared" si="18" ref="E249:F251">E250</f>
        <v>8433.6</v>
      </c>
      <c r="F249" s="25">
        <f t="shared" si="18"/>
        <v>0</v>
      </c>
      <c r="G249" s="25">
        <f t="shared" si="16"/>
        <v>8433.6</v>
      </c>
      <c r="H249" s="64">
        <f t="shared" si="17"/>
        <v>0</v>
      </c>
    </row>
    <row r="250" spans="1:8" s="35" customFormat="1" ht="63.75">
      <c r="A250" s="23"/>
      <c r="B250" s="26" t="s">
        <v>417</v>
      </c>
      <c r="C250" s="50"/>
      <c r="D250" s="49" t="s">
        <v>418</v>
      </c>
      <c r="E250" s="25">
        <f t="shared" si="18"/>
        <v>8433.6</v>
      </c>
      <c r="F250" s="25">
        <f t="shared" si="18"/>
        <v>0</v>
      </c>
      <c r="G250" s="25">
        <f t="shared" si="16"/>
        <v>8433.6</v>
      </c>
      <c r="H250" s="64">
        <f t="shared" si="17"/>
        <v>0</v>
      </c>
    </row>
    <row r="251" spans="1:8" s="35" customFormat="1" ht="25.5">
      <c r="A251" s="23"/>
      <c r="B251" s="26" t="s">
        <v>414</v>
      </c>
      <c r="C251" s="50"/>
      <c r="D251" s="49" t="s">
        <v>415</v>
      </c>
      <c r="E251" s="25">
        <f t="shared" si="18"/>
        <v>8433.6</v>
      </c>
      <c r="F251" s="25">
        <f t="shared" si="18"/>
        <v>0</v>
      </c>
      <c r="G251" s="25">
        <f t="shared" si="16"/>
        <v>8433.6</v>
      </c>
      <c r="H251" s="64">
        <f t="shared" si="17"/>
        <v>0</v>
      </c>
    </row>
    <row r="252" spans="1:8" s="35" customFormat="1" ht="12.75">
      <c r="A252" s="23"/>
      <c r="B252" s="50"/>
      <c r="C252" s="50" t="s">
        <v>49</v>
      </c>
      <c r="D252" s="49" t="s">
        <v>50</v>
      </c>
      <c r="E252" s="25">
        <v>8433.6</v>
      </c>
      <c r="F252" s="25">
        <v>0</v>
      </c>
      <c r="G252" s="25">
        <f t="shared" si="16"/>
        <v>8433.6</v>
      </c>
      <c r="H252" s="64">
        <f t="shared" si="17"/>
        <v>0</v>
      </c>
    </row>
    <row r="253" spans="1:8" s="35" customFormat="1" ht="25.5">
      <c r="A253" s="23"/>
      <c r="B253" s="26" t="s">
        <v>393</v>
      </c>
      <c r="C253" s="26"/>
      <c r="D253" s="60" t="s">
        <v>394</v>
      </c>
      <c r="E253" s="25">
        <f>E254</f>
        <v>2400.2</v>
      </c>
      <c r="F253" s="25">
        <f>F254</f>
        <v>97.5</v>
      </c>
      <c r="G253" s="57">
        <f>E253-F253</f>
        <v>2302.7</v>
      </c>
      <c r="H253" s="59">
        <f>F253/E253</f>
        <v>0.04062161486542788</v>
      </c>
    </row>
    <row r="254" spans="1:8" s="35" customFormat="1" ht="25.5">
      <c r="A254" s="23"/>
      <c r="B254" s="26" t="s">
        <v>1042</v>
      </c>
      <c r="C254" s="26"/>
      <c r="D254" s="24" t="s">
        <v>1073</v>
      </c>
      <c r="E254" s="25">
        <f>E255</f>
        <v>2400.2</v>
      </c>
      <c r="F254" s="25">
        <f>F255</f>
        <v>97.5</v>
      </c>
      <c r="G254" s="57">
        <f>E254-F254</f>
        <v>2302.7</v>
      </c>
      <c r="H254" s="59">
        <f>F254/E254</f>
        <v>0.04062161486542788</v>
      </c>
    </row>
    <row r="255" spans="1:8" s="35" customFormat="1" ht="12.75">
      <c r="A255" s="23"/>
      <c r="B255" s="26"/>
      <c r="C255" s="26" t="s">
        <v>385</v>
      </c>
      <c r="D255" s="53" t="s">
        <v>386</v>
      </c>
      <c r="E255" s="25">
        <v>2400.2</v>
      </c>
      <c r="F255" s="25">
        <v>97.5</v>
      </c>
      <c r="G255" s="57">
        <f>E255-F255</f>
        <v>2302.7</v>
      </c>
      <c r="H255" s="59">
        <f>F255/E255</f>
        <v>0.04062161486542788</v>
      </c>
    </row>
    <row r="256" spans="1:8" s="35" customFormat="1" ht="12.75">
      <c r="A256" s="23" t="s">
        <v>406</v>
      </c>
      <c r="B256" s="23"/>
      <c r="C256" s="23"/>
      <c r="D256" s="24" t="s">
        <v>407</v>
      </c>
      <c r="E256" s="25">
        <f>E257+E260+E269</f>
        <v>7781.7</v>
      </c>
      <c r="F256" s="25">
        <f>F257+F260+F269</f>
        <v>382.7</v>
      </c>
      <c r="G256" s="25">
        <f t="shared" si="16"/>
        <v>7399</v>
      </c>
      <c r="H256" s="64">
        <f t="shared" si="17"/>
        <v>0.04917948520246219</v>
      </c>
    </row>
    <row r="257" spans="1:8" s="35" customFormat="1" ht="25.5">
      <c r="A257" s="23"/>
      <c r="B257" s="23" t="s">
        <v>55</v>
      </c>
      <c r="C257" s="23"/>
      <c r="D257" s="24" t="s">
        <v>297</v>
      </c>
      <c r="E257" s="25">
        <f>E258</f>
        <v>60</v>
      </c>
      <c r="F257" s="25">
        <f>F258</f>
        <v>0</v>
      </c>
      <c r="G257" s="25">
        <f t="shared" si="16"/>
        <v>60</v>
      </c>
      <c r="H257" s="64">
        <f t="shared" si="17"/>
        <v>0</v>
      </c>
    </row>
    <row r="258" spans="1:8" s="35" customFormat="1" ht="38.25">
      <c r="A258" s="23"/>
      <c r="B258" s="23" t="s">
        <v>408</v>
      </c>
      <c r="C258" s="23"/>
      <c r="D258" s="24" t="s">
        <v>409</v>
      </c>
      <c r="E258" s="25">
        <f>E259</f>
        <v>60</v>
      </c>
      <c r="F258" s="25">
        <f>F259</f>
        <v>0</v>
      </c>
      <c r="G258" s="25">
        <f t="shared" si="16"/>
        <v>60</v>
      </c>
      <c r="H258" s="64">
        <f t="shared" si="17"/>
        <v>0</v>
      </c>
    </row>
    <row r="259" spans="1:8" s="35" customFormat="1" ht="12.75">
      <c r="A259" s="23"/>
      <c r="B259" s="23"/>
      <c r="C259" s="26" t="s">
        <v>385</v>
      </c>
      <c r="D259" s="60" t="s">
        <v>386</v>
      </c>
      <c r="E259" s="25">
        <v>60</v>
      </c>
      <c r="F259" s="25">
        <v>0</v>
      </c>
      <c r="G259" s="25">
        <f t="shared" si="16"/>
        <v>60</v>
      </c>
      <c r="H259" s="64">
        <f t="shared" si="17"/>
        <v>0</v>
      </c>
    </row>
    <row r="260" spans="1:8" s="35" customFormat="1" ht="25.5">
      <c r="A260" s="23"/>
      <c r="B260" s="26" t="s">
        <v>393</v>
      </c>
      <c r="C260" s="242"/>
      <c r="D260" s="243" t="s">
        <v>394</v>
      </c>
      <c r="E260" s="25">
        <f>E267+E265+E263+E261</f>
        <v>6281</v>
      </c>
      <c r="F260" s="25">
        <f>F267+F265+F263+F261</f>
        <v>94.30000000000001</v>
      </c>
      <c r="G260" s="57">
        <f>E260-F260</f>
        <v>6186.7</v>
      </c>
      <c r="H260" s="59">
        <f>F260/E260</f>
        <v>0.015013532876930427</v>
      </c>
    </row>
    <row r="261" spans="1:8" s="35" customFormat="1" ht="38.25">
      <c r="A261" s="23"/>
      <c r="B261" s="26" t="s">
        <v>1043</v>
      </c>
      <c r="C261" s="26"/>
      <c r="D261" s="60" t="s">
        <v>1074</v>
      </c>
      <c r="E261" s="25">
        <f>E262</f>
        <v>1330</v>
      </c>
      <c r="F261" s="25">
        <f>F262</f>
        <v>14.4</v>
      </c>
      <c r="G261" s="57">
        <f aca="true" t="shared" si="19" ref="G261:G266">E261-F261</f>
        <v>1315.6</v>
      </c>
      <c r="H261" s="59">
        <f aca="true" t="shared" si="20" ref="H261:H266">F261/E261</f>
        <v>0.010827067669172933</v>
      </c>
    </row>
    <row r="262" spans="1:8" s="35" customFormat="1" ht="12.75">
      <c r="A262" s="23"/>
      <c r="B262" s="26"/>
      <c r="C262" s="26" t="s">
        <v>385</v>
      </c>
      <c r="D262" s="53" t="s">
        <v>386</v>
      </c>
      <c r="E262" s="25">
        <v>1330</v>
      </c>
      <c r="F262" s="25">
        <v>14.4</v>
      </c>
      <c r="G262" s="57">
        <f t="shared" si="19"/>
        <v>1315.6</v>
      </c>
      <c r="H262" s="59">
        <f t="shared" si="20"/>
        <v>0.010827067669172933</v>
      </c>
    </row>
    <row r="263" spans="1:8" s="35" customFormat="1" ht="12.75">
      <c r="A263" s="23"/>
      <c r="B263" s="26" t="s">
        <v>1044</v>
      </c>
      <c r="C263" s="26"/>
      <c r="D263" s="53" t="s">
        <v>1075</v>
      </c>
      <c r="E263" s="25">
        <f>E264</f>
        <v>454.1</v>
      </c>
      <c r="F263" s="25">
        <f>F264</f>
        <v>79.9</v>
      </c>
      <c r="G263" s="57">
        <f t="shared" si="19"/>
        <v>374.20000000000005</v>
      </c>
      <c r="H263" s="59">
        <f t="shared" si="20"/>
        <v>0.17595243338471703</v>
      </c>
    </row>
    <row r="264" spans="1:8" s="35" customFormat="1" ht="12.75">
      <c r="A264" s="23"/>
      <c r="B264" s="26"/>
      <c r="C264" s="26" t="s">
        <v>385</v>
      </c>
      <c r="D264" s="53" t="s">
        <v>386</v>
      </c>
      <c r="E264" s="25">
        <v>454.1</v>
      </c>
      <c r="F264" s="25">
        <v>79.9</v>
      </c>
      <c r="G264" s="57">
        <f t="shared" si="19"/>
        <v>374.20000000000005</v>
      </c>
      <c r="H264" s="59">
        <f t="shared" si="20"/>
        <v>0.17595243338471703</v>
      </c>
    </row>
    <row r="265" spans="1:8" s="35" customFormat="1" ht="12.75">
      <c r="A265" s="23"/>
      <c r="B265" s="26" t="s">
        <v>1045</v>
      </c>
      <c r="C265" s="26"/>
      <c r="D265" s="53" t="s">
        <v>1076</v>
      </c>
      <c r="E265" s="25">
        <f>E266</f>
        <v>496.9</v>
      </c>
      <c r="F265" s="25">
        <f>F266</f>
        <v>0</v>
      </c>
      <c r="G265" s="57">
        <f t="shared" si="19"/>
        <v>496.9</v>
      </c>
      <c r="H265" s="59">
        <f t="shared" si="20"/>
        <v>0</v>
      </c>
    </row>
    <row r="266" spans="1:8" s="35" customFormat="1" ht="12.75">
      <c r="A266" s="23"/>
      <c r="B266" s="26"/>
      <c r="C266" s="26" t="s">
        <v>385</v>
      </c>
      <c r="D266" s="53" t="s">
        <v>386</v>
      </c>
      <c r="E266" s="25">
        <v>496.9</v>
      </c>
      <c r="F266" s="25">
        <v>0</v>
      </c>
      <c r="G266" s="57">
        <f t="shared" si="19"/>
        <v>496.9</v>
      </c>
      <c r="H266" s="59">
        <f t="shared" si="20"/>
        <v>0</v>
      </c>
    </row>
    <row r="267" spans="1:8" s="35" customFormat="1" ht="76.5">
      <c r="A267" s="23"/>
      <c r="B267" s="242" t="s">
        <v>1021</v>
      </c>
      <c r="C267" s="242"/>
      <c r="D267" s="243" t="s">
        <v>1051</v>
      </c>
      <c r="E267" s="25">
        <f>E268</f>
        <v>4000</v>
      </c>
      <c r="F267" s="25">
        <f>F268</f>
        <v>0</v>
      </c>
      <c r="G267" s="57">
        <f>E267-F267</f>
        <v>4000</v>
      </c>
      <c r="H267" s="59">
        <f>F267/E267</f>
        <v>0</v>
      </c>
    </row>
    <row r="268" spans="1:8" s="35" customFormat="1" ht="12.75">
      <c r="A268" s="23"/>
      <c r="B268" s="242"/>
      <c r="C268" s="50" t="s">
        <v>49</v>
      </c>
      <c r="D268" s="49" t="s">
        <v>50</v>
      </c>
      <c r="E268" s="25">
        <v>4000</v>
      </c>
      <c r="F268" s="25">
        <v>0</v>
      </c>
      <c r="G268" s="57">
        <f>E268-F268</f>
        <v>4000</v>
      </c>
      <c r="H268" s="59">
        <f>F268/E268</f>
        <v>0</v>
      </c>
    </row>
    <row r="269" spans="1:8" s="35" customFormat="1" ht="38.25">
      <c r="A269" s="23"/>
      <c r="B269" s="23" t="s">
        <v>475</v>
      </c>
      <c r="C269" s="23"/>
      <c r="D269" s="49" t="s">
        <v>478</v>
      </c>
      <c r="E269" s="25">
        <f>E270</f>
        <v>1440.7</v>
      </c>
      <c r="F269" s="25">
        <f>F270</f>
        <v>288.4</v>
      </c>
      <c r="G269" s="57">
        <f>E269-F269</f>
        <v>1152.3000000000002</v>
      </c>
      <c r="H269" s="59">
        <f>F269/E269</f>
        <v>0.20018046782813909</v>
      </c>
    </row>
    <row r="270" spans="1:8" s="35" customFormat="1" ht="51">
      <c r="A270" s="23"/>
      <c r="B270" s="23" t="s">
        <v>477</v>
      </c>
      <c r="C270" s="23"/>
      <c r="D270" s="24" t="s">
        <v>476</v>
      </c>
      <c r="E270" s="25">
        <f>E271</f>
        <v>1440.7</v>
      </c>
      <c r="F270" s="25">
        <f>F271</f>
        <v>288.4</v>
      </c>
      <c r="G270" s="57">
        <f>E270-F270</f>
        <v>1152.3000000000002</v>
      </c>
      <c r="H270" s="59">
        <f>F270/E270</f>
        <v>0.20018046782813909</v>
      </c>
    </row>
    <row r="271" spans="1:8" s="35" customFormat="1" ht="12.75">
      <c r="A271" s="23"/>
      <c r="B271" s="23"/>
      <c r="C271" s="26" t="s">
        <v>385</v>
      </c>
      <c r="D271" s="53" t="s">
        <v>386</v>
      </c>
      <c r="E271" s="25">
        <v>1440.7</v>
      </c>
      <c r="F271" s="25">
        <v>288.4</v>
      </c>
      <c r="G271" s="57">
        <f>E271-F271</f>
        <v>1152.3000000000002</v>
      </c>
      <c r="H271" s="59">
        <f>F271/E271</f>
        <v>0.20018046782813909</v>
      </c>
    </row>
    <row r="272" spans="1:8" ht="12.75">
      <c r="A272" s="23" t="s">
        <v>232</v>
      </c>
      <c r="B272" s="23"/>
      <c r="C272" s="23"/>
      <c r="D272" s="24" t="s">
        <v>233</v>
      </c>
      <c r="E272" s="25">
        <f aca="true" t="shared" si="21" ref="E272:F274">E273</f>
        <v>454.4</v>
      </c>
      <c r="F272" s="25">
        <f t="shared" si="21"/>
        <v>187.6</v>
      </c>
      <c r="G272" s="25">
        <f t="shared" si="16"/>
        <v>266.79999999999995</v>
      </c>
      <c r="H272" s="64">
        <f t="shared" si="17"/>
        <v>0.41285211267605637</v>
      </c>
    </row>
    <row r="273" spans="1:8" ht="12.75">
      <c r="A273" s="23"/>
      <c r="B273" s="23" t="s">
        <v>84</v>
      </c>
      <c r="C273" s="23"/>
      <c r="D273" s="24" t="s">
        <v>233</v>
      </c>
      <c r="E273" s="25">
        <f t="shared" si="21"/>
        <v>454.4</v>
      </c>
      <c r="F273" s="25">
        <f t="shared" si="21"/>
        <v>187.6</v>
      </c>
      <c r="G273" s="25">
        <f t="shared" si="16"/>
        <v>266.79999999999995</v>
      </c>
      <c r="H273" s="64">
        <f t="shared" si="17"/>
        <v>0.41285211267605637</v>
      </c>
    </row>
    <row r="274" spans="1:8" ht="38.25">
      <c r="A274" s="23"/>
      <c r="B274" s="23" t="s">
        <v>234</v>
      </c>
      <c r="C274" s="23"/>
      <c r="D274" s="24" t="s">
        <v>235</v>
      </c>
      <c r="E274" s="25">
        <f t="shared" si="21"/>
        <v>454.4</v>
      </c>
      <c r="F274" s="25">
        <f t="shared" si="21"/>
        <v>187.6</v>
      </c>
      <c r="G274" s="25">
        <f t="shared" si="16"/>
        <v>266.79999999999995</v>
      </c>
      <c r="H274" s="64">
        <f t="shared" si="17"/>
        <v>0.41285211267605637</v>
      </c>
    </row>
    <row r="275" spans="1:8" ht="12.75">
      <c r="A275" s="23"/>
      <c r="B275" s="23"/>
      <c r="C275" s="23" t="s">
        <v>44</v>
      </c>
      <c r="D275" s="24" t="s">
        <v>45</v>
      </c>
      <c r="E275" s="25">
        <v>454.4</v>
      </c>
      <c r="F275" s="25">
        <v>187.6</v>
      </c>
      <c r="G275" s="25">
        <f t="shared" si="16"/>
        <v>266.79999999999995</v>
      </c>
      <c r="H275" s="64">
        <f t="shared" si="17"/>
        <v>0.41285211267605637</v>
      </c>
    </row>
    <row r="276" spans="1:8" ht="12.75">
      <c r="A276" s="23"/>
      <c r="B276" s="23"/>
      <c r="C276" s="23"/>
      <c r="D276" s="24"/>
      <c r="E276" s="25"/>
      <c r="F276" s="25"/>
      <c r="G276" s="25"/>
      <c r="H276" s="64"/>
    </row>
    <row r="277" spans="1:8" s="35" customFormat="1" ht="12.75">
      <c r="A277" s="21" t="s">
        <v>93</v>
      </c>
      <c r="B277" s="21"/>
      <c r="C277" s="21"/>
      <c r="D277" s="38" t="s">
        <v>94</v>
      </c>
      <c r="E277" s="36">
        <f>E278</f>
        <v>873.6</v>
      </c>
      <c r="F277" s="36">
        <f>F278</f>
        <v>506.8</v>
      </c>
      <c r="G277" s="36">
        <f t="shared" si="16"/>
        <v>366.8</v>
      </c>
      <c r="H277" s="65">
        <f t="shared" si="17"/>
        <v>0.5801282051282052</v>
      </c>
    </row>
    <row r="278" spans="1:8" ht="25.5">
      <c r="A278" s="23" t="s">
        <v>95</v>
      </c>
      <c r="B278" s="23"/>
      <c r="C278" s="23"/>
      <c r="D278" s="24" t="s">
        <v>96</v>
      </c>
      <c r="E278" s="25">
        <f>E279+E284</f>
        <v>873.6</v>
      </c>
      <c r="F278" s="25">
        <f>F279+F284</f>
        <v>506.8</v>
      </c>
      <c r="G278" s="25">
        <f t="shared" si="16"/>
        <v>366.8</v>
      </c>
      <c r="H278" s="64">
        <f t="shared" si="17"/>
        <v>0.5801282051282052</v>
      </c>
    </row>
    <row r="279" spans="1:8" ht="12.75">
      <c r="A279" s="23"/>
      <c r="B279" s="23" t="s">
        <v>63</v>
      </c>
      <c r="C279" s="23"/>
      <c r="D279" s="24" t="s">
        <v>366</v>
      </c>
      <c r="E279" s="25">
        <f>E280</f>
        <v>473.6</v>
      </c>
      <c r="F279" s="25">
        <f>F280</f>
        <v>473.6</v>
      </c>
      <c r="G279" s="25">
        <f t="shared" si="16"/>
        <v>0</v>
      </c>
      <c r="H279" s="64">
        <f t="shared" si="17"/>
        <v>1</v>
      </c>
    </row>
    <row r="280" spans="1:8" ht="25.5">
      <c r="A280" s="23"/>
      <c r="B280" s="23" t="s">
        <v>225</v>
      </c>
      <c r="C280" s="23"/>
      <c r="D280" s="24" t="s">
        <v>64</v>
      </c>
      <c r="E280" s="25">
        <f>SUM(E281:E283)</f>
        <v>473.6</v>
      </c>
      <c r="F280" s="25">
        <f>SUM(F281:F283)</f>
        <v>473.6</v>
      </c>
      <c r="G280" s="25">
        <f t="shared" si="16"/>
        <v>0</v>
      </c>
      <c r="H280" s="64">
        <f t="shared" si="17"/>
        <v>1</v>
      </c>
    </row>
    <row r="281" spans="1:8" ht="76.5">
      <c r="A281" s="23"/>
      <c r="B281" s="23"/>
      <c r="C281" s="23" t="s">
        <v>42</v>
      </c>
      <c r="D281" s="24" t="s">
        <v>149</v>
      </c>
      <c r="E281" s="25">
        <v>446.1</v>
      </c>
      <c r="F281" s="25">
        <v>446.1</v>
      </c>
      <c r="G281" s="25">
        <f t="shared" si="16"/>
        <v>0</v>
      </c>
      <c r="H281" s="64">
        <f t="shared" si="17"/>
        <v>1</v>
      </c>
    </row>
    <row r="282" spans="1:8" ht="25.5">
      <c r="A282" s="23"/>
      <c r="B282" s="23"/>
      <c r="C282" s="23" t="s">
        <v>43</v>
      </c>
      <c r="D282" s="24" t="s">
        <v>150</v>
      </c>
      <c r="E282" s="25">
        <v>26</v>
      </c>
      <c r="F282" s="25">
        <v>26</v>
      </c>
      <c r="G282" s="25">
        <f t="shared" si="16"/>
        <v>0</v>
      </c>
      <c r="H282" s="64">
        <f t="shared" si="17"/>
        <v>1</v>
      </c>
    </row>
    <row r="283" spans="1:8" ht="12.75">
      <c r="A283" s="23"/>
      <c r="B283" s="23"/>
      <c r="C283" s="23" t="s">
        <v>44</v>
      </c>
      <c r="D283" s="24" t="s">
        <v>45</v>
      </c>
      <c r="E283" s="25">
        <v>1.5</v>
      </c>
      <c r="F283" s="25">
        <v>1.5</v>
      </c>
      <c r="G283" s="25">
        <f t="shared" si="16"/>
        <v>0</v>
      </c>
      <c r="H283" s="64">
        <f t="shared" si="17"/>
        <v>1</v>
      </c>
    </row>
    <row r="284" spans="1:8" ht="12.75">
      <c r="A284" s="23"/>
      <c r="B284" s="23" t="s">
        <v>421</v>
      </c>
      <c r="C284" s="23"/>
      <c r="D284" s="24" t="s">
        <v>422</v>
      </c>
      <c r="E284" s="25">
        <f>E285</f>
        <v>400</v>
      </c>
      <c r="F284" s="25">
        <f>F285</f>
        <v>33.2</v>
      </c>
      <c r="G284" s="25">
        <f t="shared" si="16"/>
        <v>366.8</v>
      </c>
      <c r="H284" s="64">
        <f t="shared" si="17"/>
        <v>0.083</v>
      </c>
    </row>
    <row r="285" spans="1:8" ht="38.25">
      <c r="A285" s="23"/>
      <c r="B285" s="23" t="s">
        <v>452</v>
      </c>
      <c r="C285" s="23"/>
      <c r="D285" s="24" t="s">
        <v>453</v>
      </c>
      <c r="E285" s="25">
        <f>E286</f>
        <v>400</v>
      </c>
      <c r="F285" s="25">
        <f>F286</f>
        <v>33.2</v>
      </c>
      <c r="G285" s="25">
        <f t="shared" si="16"/>
        <v>366.8</v>
      </c>
      <c r="H285" s="64">
        <f t="shared" si="17"/>
        <v>0.083</v>
      </c>
    </row>
    <row r="286" spans="1:8" ht="25.5">
      <c r="A286" s="23"/>
      <c r="B286" s="23"/>
      <c r="C286" s="23" t="s">
        <v>43</v>
      </c>
      <c r="D286" s="24" t="s">
        <v>150</v>
      </c>
      <c r="E286" s="57">
        <v>400</v>
      </c>
      <c r="F286" s="57">
        <v>33.2</v>
      </c>
      <c r="G286" s="25">
        <f t="shared" si="16"/>
        <v>366.8</v>
      </c>
      <c r="H286" s="64">
        <f t="shared" si="17"/>
        <v>0.083</v>
      </c>
    </row>
    <row r="287" spans="1:8" ht="12.75">
      <c r="A287" s="23"/>
      <c r="B287" s="23"/>
      <c r="C287" s="23"/>
      <c r="D287" s="24"/>
      <c r="E287" s="25"/>
      <c r="F287" s="25"/>
      <c r="G287" s="25"/>
      <c r="H287" s="64"/>
    </row>
    <row r="288" spans="1:8" s="35" customFormat="1" ht="12.75">
      <c r="A288" s="21" t="s">
        <v>97</v>
      </c>
      <c r="B288" s="21"/>
      <c r="C288" s="21"/>
      <c r="D288" s="38" t="s">
        <v>98</v>
      </c>
      <c r="E288" s="36">
        <f>E289+E329+E381+E396</f>
        <v>871408.7</v>
      </c>
      <c r="F288" s="36">
        <f>F289+F329+F381+F396</f>
        <v>452325.50000000006</v>
      </c>
      <c r="G288" s="36">
        <f t="shared" si="16"/>
        <v>419083.1999999999</v>
      </c>
      <c r="H288" s="65">
        <f t="shared" si="17"/>
        <v>0.519073885766805</v>
      </c>
    </row>
    <row r="289" spans="1:8" ht="12.75">
      <c r="A289" s="23" t="s">
        <v>99</v>
      </c>
      <c r="B289" s="23"/>
      <c r="C289" s="23"/>
      <c r="D289" s="24" t="s">
        <v>100</v>
      </c>
      <c r="E289" s="25">
        <f>E290+E300+E311+E326+E307</f>
        <v>186132.4</v>
      </c>
      <c r="F289" s="25">
        <f>F290+F300+F311+F326+F307</f>
        <v>105769.09999999999</v>
      </c>
      <c r="G289" s="25">
        <f t="shared" si="16"/>
        <v>80363.3</v>
      </c>
      <c r="H289" s="64">
        <f t="shared" si="17"/>
        <v>0.5682465814656663</v>
      </c>
    </row>
    <row r="290" spans="1:8" ht="25.5">
      <c r="A290" s="23"/>
      <c r="B290" s="50" t="s">
        <v>55</v>
      </c>
      <c r="C290" s="50"/>
      <c r="D290" s="49" t="s">
        <v>333</v>
      </c>
      <c r="E290" s="25">
        <f>E291+E297</f>
        <v>101256.09999999999</v>
      </c>
      <c r="F290" s="25">
        <f>F291+F297</f>
        <v>63821.399999999994</v>
      </c>
      <c r="G290" s="25">
        <f t="shared" si="16"/>
        <v>37434.7</v>
      </c>
      <c r="H290" s="64">
        <f t="shared" si="17"/>
        <v>0.6302968413754826</v>
      </c>
    </row>
    <row r="291" spans="1:8" ht="38.25">
      <c r="A291" s="23"/>
      <c r="B291" s="50" t="s">
        <v>335</v>
      </c>
      <c r="C291" s="50"/>
      <c r="D291" s="49" t="s">
        <v>334</v>
      </c>
      <c r="E291" s="25">
        <f>E292+E295</f>
        <v>99814.59999999999</v>
      </c>
      <c r="F291" s="25">
        <f>F292+F295</f>
        <v>62886.7</v>
      </c>
      <c r="G291" s="25">
        <f t="shared" si="16"/>
        <v>36927.899999999994</v>
      </c>
      <c r="H291" s="64">
        <f t="shared" si="17"/>
        <v>0.6300350850476785</v>
      </c>
    </row>
    <row r="292" spans="1:8" ht="38.25">
      <c r="A292" s="23"/>
      <c r="B292" s="23" t="s">
        <v>332</v>
      </c>
      <c r="C292" s="23"/>
      <c r="D292" s="24" t="s">
        <v>331</v>
      </c>
      <c r="E292" s="25">
        <f>SUM(E293:E294)</f>
        <v>720.4</v>
      </c>
      <c r="F292" s="25">
        <f>SUM(F293:F294)</f>
        <v>377</v>
      </c>
      <c r="G292" s="25">
        <f t="shared" si="16"/>
        <v>343.4</v>
      </c>
      <c r="H292" s="64">
        <f t="shared" si="17"/>
        <v>0.5233203775680177</v>
      </c>
    </row>
    <row r="293" spans="1:8" ht="25.5">
      <c r="A293" s="23"/>
      <c r="B293" s="23"/>
      <c r="C293" s="23" t="s">
        <v>47</v>
      </c>
      <c r="D293" s="24" t="s">
        <v>48</v>
      </c>
      <c r="E293" s="25">
        <v>617.3</v>
      </c>
      <c r="F293" s="25">
        <v>321</v>
      </c>
      <c r="G293" s="25">
        <f t="shared" si="16"/>
        <v>296.29999999999995</v>
      </c>
      <c r="H293" s="64">
        <f t="shared" si="17"/>
        <v>0.5200064798315244</v>
      </c>
    </row>
    <row r="294" spans="1:8" ht="38.25">
      <c r="A294" s="23"/>
      <c r="B294" s="23"/>
      <c r="C294" s="23" t="s">
        <v>65</v>
      </c>
      <c r="D294" s="24" t="s">
        <v>178</v>
      </c>
      <c r="E294" s="25">
        <v>103.1</v>
      </c>
      <c r="F294" s="25">
        <v>56</v>
      </c>
      <c r="G294" s="25">
        <f t="shared" si="16"/>
        <v>47.099999999999994</v>
      </c>
      <c r="H294" s="64">
        <f t="shared" si="17"/>
        <v>0.5431619786614937</v>
      </c>
    </row>
    <row r="295" spans="1:8" ht="63.75">
      <c r="A295" s="23"/>
      <c r="B295" s="23" t="s">
        <v>336</v>
      </c>
      <c r="C295" s="23"/>
      <c r="D295" s="24" t="s">
        <v>337</v>
      </c>
      <c r="E295" s="25">
        <f>E296</f>
        <v>99094.2</v>
      </c>
      <c r="F295" s="25">
        <f>F296</f>
        <v>62509.7</v>
      </c>
      <c r="G295" s="25">
        <f t="shared" si="16"/>
        <v>36584.5</v>
      </c>
      <c r="H295" s="64">
        <f t="shared" si="17"/>
        <v>0.6308108849962965</v>
      </c>
    </row>
    <row r="296" spans="1:8" ht="38.25">
      <c r="A296" s="23"/>
      <c r="B296" s="23"/>
      <c r="C296" s="23" t="s">
        <v>65</v>
      </c>
      <c r="D296" s="24" t="s">
        <v>178</v>
      </c>
      <c r="E296" s="25">
        <v>99094.2</v>
      </c>
      <c r="F296" s="25">
        <v>62509.7</v>
      </c>
      <c r="G296" s="25">
        <f t="shared" si="16"/>
        <v>36584.5</v>
      </c>
      <c r="H296" s="64">
        <f t="shared" si="17"/>
        <v>0.6308108849962965</v>
      </c>
    </row>
    <row r="297" spans="1:8" ht="26.25" customHeight="1">
      <c r="A297" s="23"/>
      <c r="B297" s="50" t="s">
        <v>339</v>
      </c>
      <c r="C297" s="50"/>
      <c r="D297" s="49" t="s">
        <v>340</v>
      </c>
      <c r="E297" s="25">
        <f>E298</f>
        <v>1441.5</v>
      </c>
      <c r="F297" s="25">
        <f>F298</f>
        <v>934.7</v>
      </c>
      <c r="G297" s="25">
        <f t="shared" si="16"/>
        <v>506.79999999999995</v>
      </c>
      <c r="H297" s="64">
        <f t="shared" si="17"/>
        <v>0.6484217828650711</v>
      </c>
    </row>
    <row r="298" spans="1:8" ht="38.25">
      <c r="A298" s="23"/>
      <c r="B298" s="23" t="s">
        <v>338</v>
      </c>
      <c r="C298" s="23"/>
      <c r="D298" s="24" t="s">
        <v>103</v>
      </c>
      <c r="E298" s="25">
        <f>E299</f>
        <v>1441.5</v>
      </c>
      <c r="F298" s="25">
        <f>F299</f>
        <v>934.7</v>
      </c>
      <c r="G298" s="25">
        <f t="shared" si="16"/>
        <v>506.79999999999995</v>
      </c>
      <c r="H298" s="64">
        <f t="shared" si="17"/>
        <v>0.6484217828650711</v>
      </c>
    </row>
    <row r="299" spans="1:8" ht="38.25">
      <c r="A299" s="23"/>
      <c r="B299" s="23"/>
      <c r="C299" s="23" t="s">
        <v>65</v>
      </c>
      <c r="D299" s="24" t="s">
        <v>178</v>
      </c>
      <c r="E299" s="25">
        <v>1441.5</v>
      </c>
      <c r="F299" s="25">
        <v>934.7</v>
      </c>
      <c r="G299" s="25">
        <f t="shared" si="16"/>
        <v>506.79999999999995</v>
      </c>
      <c r="H299" s="64">
        <f t="shared" si="17"/>
        <v>0.6484217828650711</v>
      </c>
    </row>
    <row r="300" spans="1:8" ht="12.75">
      <c r="A300" s="23"/>
      <c r="B300" s="23" t="s">
        <v>66</v>
      </c>
      <c r="C300" s="23"/>
      <c r="D300" s="24" t="s">
        <v>100</v>
      </c>
      <c r="E300" s="25">
        <f>E301+E303+E305</f>
        <v>62479.700000000004</v>
      </c>
      <c r="F300" s="25">
        <f>F301+F303+F305</f>
        <v>33698.5</v>
      </c>
      <c r="G300" s="25">
        <f t="shared" si="16"/>
        <v>28781.200000000004</v>
      </c>
      <c r="H300" s="64">
        <f t="shared" si="17"/>
        <v>0.5393511812636744</v>
      </c>
    </row>
    <row r="301" spans="1:8" ht="76.5">
      <c r="A301" s="23"/>
      <c r="B301" s="23" t="s">
        <v>190</v>
      </c>
      <c r="C301" s="23"/>
      <c r="D301" s="24" t="s">
        <v>191</v>
      </c>
      <c r="E301" s="25">
        <f>E302</f>
        <v>41031.4</v>
      </c>
      <c r="F301" s="25">
        <f>F302</f>
        <v>20972.2</v>
      </c>
      <c r="G301" s="25">
        <f t="shared" si="16"/>
        <v>20059.2</v>
      </c>
      <c r="H301" s="64">
        <f t="shared" si="17"/>
        <v>0.5111256257402867</v>
      </c>
    </row>
    <row r="302" spans="1:8" ht="38.25">
      <c r="A302" s="23"/>
      <c r="B302" s="23"/>
      <c r="C302" s="23" t="s">
        <v>65</v>
      </c>
      <c r="D302" s="24" t="s">
        <v>178</v>
      </c>
      <c r="E302" s="25">
        <v>41031.4</v>
      </c>
      <c r="F302" s="25">
        <v>20972.2</v>
      </c>
      <c r="G302" s="25">
        <f t="shared" si="16"/>
        <v>20059.2</v>
      </c>
      <c r="H302" s="64">
        <f t="shared" si="17"/>
        <v>0.5111256257402867</v>
      </c>
    </row>
    <row r="303" spans="1:8" ht="39" customHeight="1">
      <c r="A303" s="23"/>
      <c r="B303" s="23" t="s">
        <v>281</v>
      </c>
      <c r="C303" s="23"/>
      <c r="D303" s="24" t="s">
        <v>282</v>
      </c>
      <c r="E303" s="25">
        <f>E304</f>
        <v>18689.5</v>
      </c>
      <c r="F303" s="25">
        <f>F304</f>
        <v>9967.5</v>
      </c>
      <c r="G303" s="25">
        <f t="shared" si="16"/>
        <v>8722</v>
      </c>
      <c r="H303" s="64">
        <f t="shared" si="17"/>
        <v>0.5333208486048316</v>
      </c>
    </row>
    <row r="304" spans="1:8" ht="25.5">
      <c r="A304" s="23"/>
      <c r="B304" s="23"/>
      <c r="C304" s="23" t="s">
        <v>47</v>
      </c>
      <c r="D304" s="24" t="s">
        <v>48</v>
      </c>
      <c r="E304" s="25">
        <v>18689.5</v>
      </c>
      <c r="F304" s="25">
        <v>9967.5</v>
      </c>
      <c r="G304" s="25">
        <f t="shared" si="16"/>
        <v>8722</v>
      </c>
      <c r="H304" s="64">
        <f t="shared" si="17"/>
        <v>0.5333208486048316</v>
      </c>
    </row>
    <row r="305" spans="1:8" ht="76.5">
      <c r="A305" s="23"/>
      <c r="B305" s="26" t="s">
        <v>436</v>
      </c>
      <c r="C305" s="26"/>
      <c r="D305" s="53" t="s">
        <v>449</v>
      </c>
      <c r="E305" s="25">
        <f>E306</f>
        <v>2758.8</v>
      </c>
      <c r="F305" s="25">
        <f>F306</f>
        <v>2758.8</v>
      </c>
      <c r="G305" s="25">
        <f t="shared" si="16"/>
        <v>0</v>
      </c>
      <c r="H305" s="64">
        <f t="shared" si="17"/>
        <v>1</v>
      </c>
    </row>
    <row r="306" spans="1:8" ht="38.25">
      <c r="A306" s="23"/>
      <c r="B306" s="26"/>
      <c r="C306" s="26" t="s">
        <v>65</v>
      </c>
      <c r="D306" s="53" t="s">
        <v>382</v>
      </c>
      <c r="E306" s="25">
        <v>2758.8</v>
      </c>
      <c r="F306" s="25">
        <v>2758.8</v>
      </c>
      <c r="G306" s="25">
        <f t="shared" si="16"/>
        <v>0</v>
      </c>
      <c r="H306" s="64">
        <f t="shared" si="17"/>
        <v>1</v>
      </c>
    </row>
    <row r="307" spans="1:8" ht="38.25">
      <c r="A307" s="23"/>
      <c r="B307" s="23" t="s">
        <v>71</v>
      </c>
      <c r="C307" s="23"/>
      <c r="D307" s="49" t="s">
        <v>1057</v>
      </c>
      <c r="E307" s="25">
        <f aca="true" t="shared" si="22" ref="E307:F309">E308</f>
        <v>498</v>
      </c>
      <c r="F307" s="25">
        <f t="shared" si="22"/>
        <v>498</v>
      </c>
      <c r="G307" s="57">
        <f>E307-F307</f>
        <v>0</v>
      </c>
      <c r="H307" s="59">
        <f>F307/E307</f>
        <v>1</v>
      </c>
    </row>
    <row r="308" spans="1:8" ht="51">
      <c r="A308" s="23"/>
      <c r="B308" s="23" t="s">
        <v>1027</v>
      </c>
      <c r="C308" s="23"/>
      <c r="D308" s="49" t="s">
        <v>1058</v>
      </c>
      <c r="E308" s="25">
        <f t="shared" si="22"/>
        <v>498</v>
      </c>
      <c r="F308" s="25">
        <f t="shared" si="22"/>
        <v>498</v>
      </c>
      <c r="G308" s="57">
        <f>E308-F308</f>
        <v>0</v>
      </c>
      <c r="H308" s="59">
        <f>F308/E308</f>
        <v>1</v>
      </c>
    </row>
    <row r="309" spans="1:8" ht="89.25">
      <c r="A309" s="23"/>
      <c r="B309" s="23" t="s">
        <v>1028</v>
      </c>
      <c r="C309" s="23"/>
      <c r="D309" s="49" t="s">
        <v>1059</v>
      </c>
      <c r="E309" s="25">
        <f t="shared" si="22"/>
        <v>498</v>
      </c>
      <c r="F309" s="25">
        <f t="shared" si="22"/>
        <v>498</v>
      </c>
      <c r="G309" s="57">
        <f>E309-F309</f>
        <v>0</v>
      </c>
      <c r="H309" s="59">
        <f>F309/E309</f>
        <v>1</v>
      </c>
    </row>
    <row r="310" spans="1:8" ht="38.25">
      <c r="A310" s="23"/>
      <c r="B310" s="23"/>
      <c r="C310" s="26" t="s">
        <v>65</v>
      </c>
      <c r="D310" s="24" t="s">
        <v>178</v>
      </c>
      <c r="E310" s="25">
        <v>498</v>
      </c>
      <c r="F310" s="25">
        <v>498</v>
      </c>
      <c r="G310" s="57">
        <f>E310-F310</f>
        <v>0</v>
      </c>
      <c r="H310" s="59">
        <f>F310/E310</f>
        <v>1</v>
      </c>
    </row>
    <row r="311" spans="1:8" ht="25.5">
      <c r="A311" s="23"/>
      <c r="B311" s="26" t="s">
        <v>393</v>
      </c>
      <c r="C311" s="26"/>
      <c r="D311" s="60" t="s">
        <v>394</v>
      </c>
      <c r="E311" s="25">
        <f>E312+E314+E316+E318+E320+E322+E324</f>
        <v>21636.1</v>
      </c>
      <c r="F311" s="25">
        <f>F312+F314+F316+F318+F320+F322+F324</f>
        <v>7488.7</v>
      </c>
      <c r="G311" s="25">
        <f t="shared" si="16"/>
        <v>14147.399999999998</v>
      </c>
      <c r="H311" s="64">
        <f t="shared" si="17"/>
        <v>0.34612060399055283</v>
      </c>
    </row>
    <row r="312" spans="1:8" ht="38.25">
      <c r="A312" s="23"/>
      <c r="B312" s="26" t="s">
        <v>395</v>
      </c>
      <c r="C312" s="26"/>
      <c r="D312" s="53" t="s">
        <v>396</v>
      </c>
      <c r="E312" s="25">
        <f>E313</f>
        <v>1650.2</v>
      </c>
      <c r="F312" s="25">
        <f>F313</f>
        <v>1622.3</v>
      </c>
      <c r="G312" s="25">
        <f t="shared" si="16"/>
        <v>27.90000000000009</v>
      </c>
      <c r="H312" s="64">
        <f t="shared" si="17"/>
        <v>0.9830929584292812</v>
      </c>
    </row>
    <row r="313" spans="1:8" ht="12.75">
      <c r="A313" s="23"/>
      <c r="B313" s="26"/>
      <c r="C313" s="26" t="s">
        <v>385</v>
      </c>
      <c r="D313" s="53" t="s">
        <v>386</v>
      </c>
      <c r="E313" s="25">
        <v>1650.2</v>
      </c>
      <c r="F313" s="25">
        <v>1622.3</v>
      </c>
      <c r="G313" s="25">
        <f t="shared" si="16"/>
        <v>27.90000000000009</v>
      </c>
      <c r="H313" s="64">
        <f t="shared" si="17"/>
        <v>0.9830929584292812</v>
      </c>
    </row>
    <row r="314" spans="1:8" ht="38.25">
      <c r="A314" s="23"/>
      <c r="B314" s="26" t="s">
        <v>397</v>
      </c>
      <c r="C314" s="26"/>
      <c r="D314" s="60" t="s">
        <v>398</v>
      </c>
      <c r="E314" s="25">
        <f>E315</f>
        <v>539.3</v>
      </c>
      <c r="F314" s="25">
        <f>F315</f>
        <v>46.2</v>
      </c>
      <c r="G314" s="25">
        <f t="shared" si="16"/>
        <v>493.09999999999997</v>
      </c>
      <c r="H314" s="64">
        <f t="shared" si="17"/>
        <v>0.08566660485814946</v>
      </c>
    </row>
    <row r="315" spans="1:8" ht="12.75">
      <c r="A315" s="23"/>
      <c r="B315" s="26"/>
      <c r="C315" s="26" t="s">
        <v>385</v>
      </c>
      <c r="D315" s="53" t="s">
        <v>386</v>
      </c>
      <c r="E315" s="25">
        <v>539.3</v>
      </c>
      <c r="F315" s="25">
        <v>46.2</v>
      </c>
      <c r="G315" s="25">
        <f t="shared" si="16"/>
        <v>493.09999999999997</v>
      </c>
      <c r="H315" s="64">
        <f t="shared" si="17"/>
        <v>0.08566660485814946</v>
      </c>
    </row>
    <row r="316" spans="1:8" ht="25.5">
      <c r="A316" s="23"/>
      <c r="B316" s="26" t="s">
        <v>399</v>
      </c>
      <c r="C316" s="26"/>
      <c r="D316" s="53" t="s">
        <v>400</v>
      </c>
      <c r="E316" s="25">
        <f>E317</f>
        <v>525.8</v>
      </c>
      <c r="F316" s="25">
        <f>F317</f>
        <v>388.2</v>
      </c>
      <c r="G316" s="25">
        <f t="shared" si="16"/>
        <v>137.59999999999997</v>
      </c>
      <c r="H316" s="64">
        <f t="shared" si="17"/>
        <v>0.7383035374667174</v>
      </c>
    </row>
    <row r="317" spans="1:8" ht="12.75">
      <c r="A317" s="23"/>
      <c r="B317" s="26"/>
      <c r="C317" s="26" t="s">
        <v>385</v>
      </c>
      <c r="D317" s="60" t="s">
        <v>386</v>
      </c>
      <c r="E317" s="25">
        <v>525.8</v>
      </c>
      <c r="F317" s="25">
        <v>388.2</v>
      </c>
      <c r="G317" s="25">
        <f t="shared" si="16"/>
        <v>137.59999999999997</v>
      </c>
      <c r="H317" s="64">
        <f t="shared" si="17"/>
        <v>0.7383035374667174</v>
      </c>
    </row>
    <row r="318" spans="1:8" ht="38.25">
      <c r="A318" s="23"/>
      <c r="B318" s="26" t="s">
        <v>439</v>
      </c>
      <c r="C318" s="63"/>
      <c r="D318" s="53" t="s">
        <v>440</v>
      </c>
      <c r="E318" s="25">
        <f>E319</f>
        <v>5432</v>
      </c>
      <c r="F318" s="25">
        <f>F319</f>
        <v>5432</v>
      </c>
      <c r="G318" s="25">
        <f aca="true" t="shared" si="23" ref="G318:G389">E318-F318</f>
        <v>0</v>
      </c>
      <c r="H318" s="64">
        <f t="shared" si="17"/>
        <v>1</v>
      </c>
    </row>
    <row r="319" spans="1:8" ht="12.75">
      <c r="A319" s="23"/>
      <c r="B319" s="26"/>
      <c r="C319" s="26" t="s">
        <v>385</v>
      </c>
      <c r="D319" s="53" t="s">
        <v>386</v>
      </c>
      <c r="E319" s="25">
        <v>5432</v>
      </c>
      <c r="F319" s="25">
        <v>5432</v>
      </c>
      <c r="G319" s="25">
        <f t="shared" si="23"/>
        <v>0</v>
      </c>
      <c r="H319" s="64">
        <f aca="true" t="shared" si="24" ref="H319:H390">F319/E319</f>
        <v>1</v>
      </c>
    </row>
    <row r="320" spans="1:8" ht="25.5">
      <c r="A320" s="23"/>
      <c r="B320" s="26" t="s">
        <v>441</v>
      </c>
      <c r="C320" s="63"/>
      <c r="D320" s="53" t="s">
        <v>442</v>
      </c>
      <c r="E320" s="25">
        <f>E321</f>
        <v>8338.8</v>
      </c>
      <c r="F320" s="25">
        <f>F321</f>
        <v>0</v>
      </c>
      <c r="G320" s="25">
        <f t="shared" si="23"/>
        <v>8338.8</v>
      </c>
      <c r="H320" s="64">
        <f t="shared" si="24"/>
        <v>0</v>
      </c>
    </row>
    <row r="321" spans="1:8" ht="12.75">
      <c r="A321" s="23"/>
      <c r="B321" s="26"/>
      <c r="C321" s="26" t="s">
        <v>385</v>
      </c>
      <c r="D321" s="53" t="s">
        <v>386</v>
      </c>
      <c r="E321" s="25">
        <v>8338.8</v>
      </c>
      <c r="F321" s="25">
        <v>0</v>
      </c>
      <c r="G321" s="25">
        <f t="shared" si="23"/>
        <v>8338.8</v>
      </c>
      <c r="H321" s="64">
        <f t="shared" si="24"/>
        <v>0</v>
      </c>
    </row>
    <row r="322" spans="1:8" ht="38.25">
      <c r="A322" s="23"/>
      <c r="B322" s="26" t="s">
        <v>443</v>
      </c>
      <c r="C322" s="63"/>
      <c r="D322" s="53" t="s">
        <v>444</v>
      </c>
      <c r="E322" s="25">
        <f>E323</f>
        <v>3200</v>
      </c>
      <c r="F322" s="25">
        <f>F323</f>
        <v>0</v>
      </c>
      <c r="G322" s="25">
        <f t="shared" si="23"/>
        <v>3200</v>
      </c>
      <c r="H322" s="64">
        <f t="shared" si="24"/>
        <v>0</v>
      </c>
    </row>
    <row r="323" spans="1:8" ht="12.75">
      <c r="A323" s="23"/>
      <c r="B323" s="26"/>
      <c r="C323" s="26" t="s">
        <v>385</v>
      </c>
      <c r="D323" s="53" t="s">
        <v>386</v>
      </c>
      <c r="E323" s="25">
        <v>3200</v>
      </c>
      <c r="F323" s="25">
        <v>0</v>
      </c>
      <c r="G323" s="25">
        <f t="shared" si="23"/>
        <v>3200</v>
      </c>
      <c r="H323" s="64">
        <f t="shared" si="24"/>
        <v>0</v>
      </c>
    </row>
    <row r="324" spans="1:8" ht="38.25">
      <c r="A324" s="23"/>
      <c r="B324" s="26" t="s">
        <v>445</v>
      </c>
      <c r="C324" s="63"/>
      <c r="D324" s="53" t="s">
        <v>446</v>
      </c>
      <c r="E324" s="25">
        <f>E325</f>
        <v>1950</v>
      </c>
      <c r="F324" s="25">
        <f>F325</f>
        <v>0</v>
      </c>
      <c r="G324" s="25">
        <f t="shared" si="23"/>
        <v>1950</v>
      </c>
      <c r="H324" s="64">
        <f t="shared" si="24"/>
        <v>0</v>
      </c>
    </row>
    <row r="325" spans="1:8" ht="12.75">
      <c r="A325" s="23"/>
      <c r="B325" s="23"/>
      <c r="C325" s="26" t="s">
        <v>385</v>
      </c>
      <c r="D325" s="53" t="s">
        <v>386</v>
      </c>
      <c r="E325" s="25">
        <v>1950</v>
      </c>
      <c r="F325" s="25">
        <v>0</v>
      </c>
      <c r="G325" s="25">
        <f t="shared" si="23"/>
        <v>1950</v>
      </c>
      <c r="H325" s="64">
        <f t="shared" si="24"/>
        <v>0</v>
      </c>
    </row>
    <row r="326" spans="1:8" ht="38.25">
      <c r="A326" s="23"/>
      <c r="B326" s="23" t="s">
        <v>475</v>
      </c>
      <c r="C326" s="23"/>
      <c r="D326" s="49" t="s">
        <v>478</v>
      </c>
      <c r="E326" s="25">
        <f>E327</f>
        <v>262.5</v>
      </c>
      <c r="F326" s="25">
        <f>F327</f>
        <v>262.5</v>
      </c>
      <c r="G326" s="25">
        <f t="shared" si="23"/>
        <v>0</v>
      </c>
      <c r="H326" s="64">
        <f t="shared" si="24"/>
        <v>1</v>
      </c>
    </row>
    <row r="327" spans="1:8" ht="51">
      <c r="A327" s="23"/>
      <c r="B327" s="23" t="s">
        <v>477</v>
      </c>
      <c r="C327" s="23"/>
      <c r="D327" s="24" t="s">
        <v>476</v>
      </c>
      <c r="E327" s="25">
        <f>E328</f>
        <v>262.5</v>
      </c>
      <c r="F327" s="25">
        <f>F328</f>
        <v>262.5</v>
      </c>
      <c r="G327" s="25">
        <f t="shared" si="23"/>
        <v>0</v>
      </c>
      <c r="H327" s="64">
        <f t="shared" si="24"/>
        <v>1</v>
      </c>
    </row>
    <row r="328" spans="1:8" ht="38.25">
      <c r="A328" s="23"/>
      <c r="B328" s="23"/>
      <c r="C328" s="26" t="s">
        <v>65</v>
      </c>
      <c r="D328" s="24" t="s">
        <v>178</v>
      </c>
      <c r="E328" s="25">
        <v>262.5</v>
      </c>
      <c r="F328" s="25">
        <v>262.5</v>
      </c>
      <c r="G328" s="25">
        <f t="shared" si="23"/>
        <v>0</v>
      </c>
      <c r="H328" s="64">
        <f t="shared" si="24"/>
        <v>1</v>
      </c>
    </row>
    <row r="329" spans="1:8" ht="12.75">
      <c r="A329" s="23" t="s">
        <v>101</v>
      </c>
      <c r="B329" s="23"/>
      <c r="C329" s="23"/>
      <c r="D329" s="24" t="s">
        <v>102</v>
      </c>
      <c r="E329" s="25">
        <f>E330+E351+E358+E367+E375+E378+E343+E371+E347</f>
        <v>652621.1</v>
      </c>
      <c r="F329" s="25">
        <f>F330+F351+F358+F367+F375+F378+F343+F371+F347</f>
        <v>331726.00000000006</v>
      </c>
      <c r="G329" s="25">
        <f t="shared" si="23"/>
        <v>320895.0999999999</v>
      </c>
      <c r="H329" s="64">
        <f t="shared" si="24"/>
        <v>0.5082980001719222</v>
      </c>
    </row>
    <row r="330" spans="1:8" ht="25.5">
      <c r="A330" s="23"/>
      <c r="B330" s="50" t="s">
        <v>55</v>
      </c>
      <c r="C330" s="50"/>
      <c r="D330" s="49" t="s">
        <v>333</v>
      </c>
      <c r="E330" s="25">
        <f>E331+E340</f>
        <v>415123.30000000005</v>
      </c>
      <c r="F330" s="25">
        <f>F331+F340</f>
        <v>225963.19999999998</v>
      </c>
      <c r="G330" s="25">
        <f t="shared" si="23"/>
        <v>189160.10000000006</v>
      </c>
      <c r="H330" s="64">
        <f t="shared" si="24"/>
        <v>0.5443279141402083</v>
      </c>
    </row>
    <row r="331" spans="1:8" ht="38.25">
      <c r="A331" s="23"/>
      <c r="B331" s="50" t="s">
        <v>342</v>
      </c>
      <c r="C331" s="50"/>
      <c r="D331" s="49" t="s">
        <v>343</v>
      </c>
      <c r="E331" s="25">
        <f>E332+E334+E338+E336</f>
        <v>405912.00000000006</v>
      </c>
      <c r="F331" s="25">
        <f>F332+F334+F338+F336</f>
        <v>220527.8</v>
      </c>
      <c r="G331" s="25">
        <f t="shared" si="23"/>
        <v>185384.20000000007</v>
      </c>
      <c r="H331" s="64">
        <f t="shared" si="24"/>
        <v>0.5432896785510158</v>
      </c>
    </row>
    <row r="332" spans="1:8" ht="77.25" customHeight="1">
      <c r="A332" s="23"/>
      <c r="B332" s="23" t="s">
        <v>341</v>
      </c>
      <c r="C332" s="23"/>
      <c r="D332" s="24" t="s">
        <v>247</v>
      </c>
      <c r="E332" s="25">
        <f>E333</f>
        <v>370195</v>
      </c>
      <c r="F332" s="25">
        <f>F333</f>
        <v>200225.8</v>
      </c>
      <c r="G332" s="25">
        <f t="shared" si="23"/>
        <v>169969.2</v>
      </c>
      <c r="H332" s="64">
        <f t="shared" si="24"/>
        <v>0.5408657599373303</v>
      </c>
    </row>
    <row r="333" spans="1:8" ht="38.25">
      <c r="A333" s="23"/>
      <c r="B333" s="23"/>
      <c r="C333" s="23" t="s">
        <v>65</v>
      </c>
      <c r="D333" s="24" t="s">
        <v>178</v>
      </c>
      <c r="E333" s="25">
        <v>370195</v>
      </c>
      <c r="F333" s="25">
        <v>200225.8</v>
      </c>
      <c r="G333" s="25">
        <f t="shared" si="23"/>
        <v>169969.2</v>
      </c>
      <c r="H333" s="64">
        <f t="shared" si="24"/>
        <v>0.5408657599373303</v>
      </c>
    </row>
    <row r="334" spans="1:8" ht="155.25" customHeight="1">
      <c r="A334" s="23"/>
      <c r="B334" s="23" t="s">
        <v>344</v>
      </c>
      <c r="C334" s="23"/>
      <c r="D334" s="24" t="s">
        <v>248</v>
      </c>
      <c r="E334" s="25">
        <f>E335</f>
        <v>26054.7</v>
      </c>
      <c r="F334" s="25">
        <f>F335</f>
        <v>14968.7</v>
      </c>
      <c r="G334" s="25">
        <f t="shared" si="23"/>
        <v>11086</v>
      </c>
      <c r="H334" s="64">
        <f t="shared" si="24"/>
        <v>0.5745105489604563</v>
      </c>
    </row>
    <row r="335" spans="1:8" ht="38.25">
      <c r="A335" s="23"/>
      <c r="B335" s="23"/>
      <c r="C335" s="23" t="s">
        <v>65</v>
      </c>
      <c r="D335" s="24" t="s">
        <v>178</v>
      </c>
      <c r="E335" s="25">
        <v>26054.7</v>
      </c>
      <c r="F335" s="25">
        <v>14968.7</v>
      </c>
      <c r="G335" s="25">
        <f t="shared" si="23"/>
        <v>11086</v>
      </c>
      <c r="H335" s="64">
        <f t="shared" si="24"/>
        <v>0.5745105489604563</v>
      </c>
    </row>
    <row r="336" spans="1:8" ht="38.25">
      <c r="A336" s="23"/>
      <c r="B336" s="23" t="s">
        <v>353</v>
      </c>
      <c r="C336" s="23"/>
      <c r="D336" s="24" t="s">
        <v>144</v>
      </c>
      <c r="E336" s="25">
        <f>E337</f>
        <v>19.4</v>
      </c>
      <c r="F336" s="25">
        <f>F337</f>
        <v>9.3</v>
      </c>
      <c r="G336" s="25">
        <f t="shared" si="23"/>
        <v>10.099999999999998</v>
      </c>
      <c r="H336" s="64">
        <f t="shared" si="24"/>
        <v>0.47938144329896915</v>
      </c>
    </row>
    <row r="337" spans="1:8" ht="38.25">
      <c r="A337" s="23"/>
      <c r="B337" s="23"/>
      <c r="C337" s="23" t="s">
        <v>65</v>
      </c>
      <c r="D337" s="24" t="s">
        <v>178</v>
      </c>
      <c r="E337" s="25">
        <v>19.4</v>
      </c>
      <c r="F337" s="25">
        <v>9.3</v>
      </c>
      <c r="G337" s="25">
        <f t="shared" si="23"/>
        <v>10.099999999999998</v>
      </c>
      <c r="H337" s="64">
        <f t="shared" si="24"/>
        <v>0.47938144329896915</v>
      </c>
    </row>
    <row r="338" spans="1:8" ht="51">
      <c r="A338" s="23"/>
      <c r="B338" s="23" t="s">
        <v>345</v>
      </c>
      <c r="C338" s="23"/>
      <c r="D338" s="24" t="s">
        <v>346</v>
      </c>
      <c r="E338" s="25">
        <f>E339</f>
        <v>9642.9</v>
      </c>
      <c r="F338" s="25">
        <f>F339</f>
        <v>5324</v>
      </c>
      <c r="G338" s="25">
        <f t="shared" si="23"/>
        <v>4318.9</v>
      </c>
      <c r="H338" s="64">
        <f t="shared" si="24"/>
        <v>0.5521160646693423</v>
      </c>
    </row>
    <row r="339" spans="1:8" ht="38.25">
      <c r="A339" s="23"/>
      <c r="B339" s="23"/>
      <c r="C339" s="23" t="s">
        <v>65</v>
      </c>
      <c r="D339" s="24" t="s">
        <v>178</v>
      </c>
      <c r="E339" s="25">
        <v>9642.9</v>
      </c>
      <c r="F339" s="25">
        <v>5324</v>
      </c>
      <c r="G339" s="25">
        <f t="shared" si="23"/>
        <v>4318.9</v>
      </c>
      <c r="H339" s="64">
        <f t="shared" si="24"/>
        <v>0.5521160646693423</v>
      </c>
    </row>
    <row r="340" spans="1:8" ht="38.25">
      <c r="A340" s="23"/>
      <c r="B340" s="23" t="s">
        <v>339</v>
      </c>
      <c r="C340" s="50"/>
      <c r="D340" s="49" t="s">
        <v>340</v>
      </c>
      <c r="E340" s="25">
        <f>E341</f>
        <v>9211.3</v>
      </c>
      <c r="F340" s="25">
        <f>F341</f>
        <v>5435.4</v>
      </c>
      <c r="G340" s="25">
        <f t="shared" si="23"/>
        <v>3775.8999999999996</v>
      </c>
      <c r="H340" s="64">
        <f t="shared" si="24"/>
        <v>0.5900795761727443</v>
      </c>
    </row>
    <row r="341" spans="1:8" ht="38.25">
      <c r="A341" s="23"/>
      <c r="B341" s="23" t="s">
        <v>338</v>
      </c>
      <c r="C341" s="23"/>
      <c r="D341" s="24" t="s">
        <v>103</v>
      </c>
      <c r="E341" s="25">
        <f>E342</f>
        <v>9211.3</v>
      </c>
      <c r="F341" s="25">
        <f>F342</f>
        <v>5435.4</v>
      </c>
      <c r="G341" s="25">
        <f t="shared" si="23"/>
        <v>3775.8999999999996</v>
      </c>
      <c r="H341" s="64">
        <f t="shared" si="24"/>
        <v>0.5900795761727443</v>
      </c>
    </row>
    <row r="342" spans="1:8" ht="38.25">
      <c r="A342" s="23"/>
      <c r="B342" s="23"/>
      <c r="C342" s="23" t="s">
        <v>65</v>
      </c>
      <c r="D342" s="24" t="s">
        <v>178</v>
      </c>
      <c r="E342" s="25">
        <v>9211.3</v>
      </c>
      <c r="F342" s="25">
        <v>5435.4</v>
      </c>
      <c r="G342" s="25">
        <f t="shared" si="23"/>
        <v>3775.8999999999996</v>
      </c>
      <c r="H342" s="64">
        <f t="shared" si="24"/>
        <v>0.5900795761727443</v>
      </c>
    </row>
    <row r="343" spans="1:8" ht="25.5">
      <c r="A343" s="23"/>
      <c r="B343" s="23" t="s">
        <v>63</v>
      </c>
      <c r="C343" s="23"/>
      <c r="D343" s="49" t="s">
        <v>312</v>
      </c>
      <c r="E343" s="25">
        <f aca="true" t="shared" si="25" ref="E343:F345">E344</f>
        <v>536.9</v>
      </c>
      <c r="F343" s="25">
        <f t="shared" si="25"/>
        <v>536.9</v>
      </c>
      <c r="G343" s="25">
        <f t="shared" si="23"/>
        <v>0</v>
      </c>
      <c r="H343" s="64">
        <f t="shared" si="24"/>
        <v>1</v>
      </c>
    </row>
    <row r="344" spans="1:8" ht="51">
      <c r="A344" s="23"/>
      <c r="B344" s="23" t="s">
        <v>508</v>
      </c>
      <c r="C344" s="23"/>
      <c r="D344" s="49" t="s">
        <v>511</v>
      </c>
      <c r="E344" s="25">
        <f t="shared" si="25"/>
        <v>536.9</v>
      </c>
      <c r="F344" s="25">
        <f t="shared" si="25"/>
        <v>536.9</v>
      </c>
      <c r="G344" s="25">
        <f t="shared" si="23"/>
        <v>0</v>
      </c>
      <c r="H344" s="64">
        <f t="shared" si="24"/>
        <v>1</v>
      </c>
    </row>
    <row r="345" spans="1:8" ht="63.75">
      <c r="A345" s="23"/>
      <c r="B345" s="23" t="s">
        <v>509</v>
      </c>
      <c r="C345" s="23"/>
      <c r="D345" s="49" t="s">
        <v>510</v>
      </c>
      <c r="E345" s="25">
        <f t="shared" si="25"/>
        <v>536.9</v>
      </c>
      <c r="F345" s="25">
        <f t="shared" si="25"/>
        <v>536.9</v>
      </c>
      <c r="G345" s="25">
        <f t="shared" si="23"/>
        <v>0</v>
      </c>
      <c r="H345" s="64">
        <f t="shared" si="24"/>
        <v>1</v>
      </c>
    </row>
    <row r="346" spans="1:8" ht="38.25">
      <c r="A346" s="23"/>
      <c r="B346" s="23"/>
      <c r="C346" s="23" t="s">
        <v>65</v>
      </c>
      <c r="D346" s="24" t="s">
        <v>178</v>
      </c>
      <c r="E346" s="25">
        <v>536.9</v>
      </c>
      <c r="F346" s="25">
        <v>536.9</v>
      </c>
      <c r="G346" s="25">
        <f t="shared" si="23"/>
        <v>0</v>
      </c>
      <c r="H346" s="64">
        <f t="shared" si="24"/>
        <v>1</v>
      </c>
    </row>
    <row r="347" spans="1:8" ht="25.5">
      <c r="A347" s="23"/>
      <c r="B347" s="26" t="s">
        <v>104</v>
      </c>
      <c r="C347" s="26"/>
      <c r="D347" s="49" t="s">
        <v>1069</v>
      </c>
      <c r="E347" s="25">
        <f aca="true" t="shared" si="26" ref="E347:F349">E348</f>
        <v>14974.9</v>
      </c>
      <c r="F347" s="25">
        <f t="shared" si="26"/>
        <v>0</v>
      </c>
      <c r="G347" s="57">
        <f>E347-F347</f>
        <v>14974.9</v>
      </c>
      <c r="H347" s="59">
        <f>F347/E347</f>
        <v>0</v>
      </c>
    </row>
    <row r="348" spans="1:8" ht="51">
      <c r="A348" s="23"/>
      <c r="B348" s="26" t="s">
        <v>1039</v>
      </c>
      <c r="C348" s="26"/>
      <c r="D348" s="49" t="s">
        <v>1070</v>
      </c>
      <c r="E348" s="25">
        <f t="shared" si="26"/>
        <v>14974.9</v>
      </c>
      <c r="F348" s="25">
        <f t="shared" si="26"/>
        <v>0</v>
      </c>
      <c r="G348" s="57">
        <f>E348-F348</f>
        <v>14974.9</v>
      </c>
      <c r="H348" s="59">
        <f>F348/E348</f>
        <v>0</v>
      </c>
    </row>
    <row r="349" spans="1:8" ht="25.5">
      <c r="A349" s="23"/>
      <c r="B349" s="26" t="s">
        <v>1046</v>
      </c>
      <c r="C349" s="26"/>
      <c r="D349" s="49" t="s">
        <v>1077</v>
      </c>
      <c r="E349" s="25">
        <f t="shared" si="26"/>
        <v>14974.9</v>
      </c>
      <c r="F349" s="25">
        <f t="shared" si="26"/>
        <v>0</v>
      </c>
      <c r="G349" s="57">
        <f>E349-F349</f>
        <v>14974.9</v>
      </c>
      <c r="H349" s="59">
        <f>F349/E349</f>
        <v>0</v>
      </c>
    </row>
    <row r="350" spans="1:8" ht="12.75">
      <c r="A350" s="23"/>
      <c r="B350" s="26"/>
      <c r="C350" s="26" t="s">
        <v>385</v>
      </c>
      <c r="D350" s="53" t="s">
        <v>386</v>
      </c>
      <c r="E350" s="25">
        <v>14974.9</v>
      </c>
      <c r="F350" s="25">
        <v>0</v>
      </c>
      <c r="G350" s="57">
        <f>E350-F350</f>
        <v>14974.9</v>
      </c>
      <c r="H350" s="59">
        <f>F350/E350</f>
        <v>0</v>
      </c>
    </row>
    <row r="351" spans="1:8" ht="12.75">
      <c r="A351" s="23"/>
      <c r="B351" s="23" t="s">
        <v>67</v>
      </c>
      <c r="C351" s="23"/>
      <c r="D351" s="24" t="s">
        <v>102</v>
      </c>
      <c r="E351" s="25">
        <f>E352+E354+E356</f>
        <v>98091.79999999999</v>
      </c>
      <c r="F351" s="25">
        <f>F352+F354+F356</f>
        <v>45641.299999999996</v>
      </c>
      <c r="G351" s="25">
        <f t="shared" si="23"/>
        <v>52450.49999999999</v>
      </c>
      <c r="H351" s="64">
        <f t="shared" si="24"/>
        <v>0.4652916961458552</v>
      </c>
    </row>
    <row r="352" spans="1:8" ht="75.75" customHeight="1">
      <c r="A352" s="23"/>
      <c r="B352" s="23" t="s">
        <v>192</v>
      </c>
      <c r="C352" s="23"/>
      <c r="D352" s="24" t="s">
        <v>193</v>
      </c>
      <c r="E352" s="25">
        <f>E353</f>
        <v>86921.2</v>
      </c>
      <c r="F352" s="25">
        <f>F353</f>
        <v>42261.6</v>
      </c>
      <c r="G352" s="25">
        <f t="shared" si="23"/>
        <v>44659.6</v>
      </c>
      <c r="H352" s="64">
        <f t="shared" si="24"/>
        <v>0.48620589683529447</v>
      </c>
    </row>
    <row r="353" spans="1:8" ht="38.25">
      <c r="A353" s="23"/>
      <c r="B353" s="23"/>
      <c r="C353" s="23" t="s">
        <v>65</v>
      </c>
      <c r="D353" s="24" t="s">
        <v>178</v>
      </c>
      <c r="E353" s="25">
        <v>86921.2</v>
      </c>
      <c r="F353" s="25">
        <v>42261.6</v>
      </c>
      <c r="G353" s="25">
        <f t="shared" si="23"/>
        <v>44659.6</v>
      </c>
      <c r="H353" s="64">
        <f t="shared" si="24"/>
        <v>0.48620589683529447</v>
      </c>
    </row>
    <row r="354" spans="1:8" ht="76.5">
      <c r="A354" s="23"/>
      <c r="B354" s="23" t="s">
        <v>197</v>
      </c>
      <c r="C354" s="23"/>
      <c r="D354" s="24" t="s">
        <v>280</v>
      </c>
      <c r="E354" s="25">
        <f>E355</f>
        <v>798.7</v>
      </c>
      <c r="F354" s="25">
        <f>F355</f>
        <v>264.7</v>
      </c>
      <c r="G354" s="25">
        <f t="shared" si="23"/>
        <v>534</v>
      </c>
      <c r="H354" s="64">
        <f t="shared" si="24"/>
        <v>0.3314135470138975</v>
      </c>
    </row>
    <row r="355" spans="1:8" ht="25.5">
      <c r="A355" s="23"/>
      <c r="B355" s="23"/>
      <c r="C355" s="23" t="s">
        <v>47</v>
      </c>
      <c r="D355" s="24" t="s">
        <v>48</v>
      </c>
      <c r="E355" s="25">
        <v>798.7</v>
      </c>
      <c r="F355" s="25">
        <v>264.7</v>
      </c>
      <c r="G355" s="25">
        <f t="shared" si="23"/>
        <v>534</v>
      </c>
      <c r="H355" s="64">
        <f t="shared" si="24"/>
        <v>0.3314135470138975</v>
      </c>
    </row>
    <row r="356" spans="1:8" ht="76.5">
      <c r="A356" s="23"/>
      <c r="B356" s="26" t="s">
        <v>437</v>
      </c>
      <c r="C356" s="26"/>
      <c r="D356" s="53" t="s">
        <v>450</v>
      </c>
      <c r="E356" s="25">
        <f>E357</f>
        <v>10371.9</v>
      </c>
      <c r="F356" s="25">
        <f>F357</f>
        <v>3115</v>
      </c>
      <c r="G356" s="25">
        <f t="shared" si="23"/>
        <v>7256.9</v>
      </c>
      <c r="H356" s="64">
        <f t="shared" si="24"/>
        <v>0.30033070122156985</v>
      </c>
    </row>
    <row r="357" spans="1:8" ht="38.25">
      <c r="A357" s="23"/>
      <c r="B357" s="26"/>
      <c r="C357" s="26" t="s">
        <v>65</v>
      </c>
      <c r="D357" s="53" t="s">
        <v>382</v>
      </c>
      <c r="E357" s="25">
        <v>10371.9</v>
      </c>
      <c r="F357" s="25">
        <v>3115</v>
      </c>
      <c r="G357" s="25">
        <f t="shared" si="23"/>
        <v>7256.9</v>
      </c>
      <c r="H357" s="64">
        <f t="shared" si="24"/>
        <v>0.30033070122156985</v>
      </c>
    </row>
    <row r="358" spans="1:8" ht="12.75">
      <c r="A358" s="23"/>
      <c r="B358" s="23" t="s">
        <v>68</v>
      </c>
      <c r="C358" s="23"/>
      <c r="D358" s="24" t="s">
        <v>347</v>
      </c>
      <c r="E358" s="25">
        <f>E359+E361+E363+E365</f>
        <v>110002.4</v>
      </c>
      <c r="F358" s="25">
        <f>F359+F361+F363+F365</f>
        <v>53910.4</v>
      </c>
      <c r="G358" s="25">
        <f t="shared" si="23"/>
        <v>56091.99999999999</v>
      </c>
      <c r="H358" s="64">
        <f t="shared" si="24"/>
        <v>0.4900838527159408</v>
      </c>
    </row>
    <row r="359" spans="1:8" ht="63.75">
      <c r="A359" s="23"/>
      <c r="B359" s="23" t="s">
        <v>194</v>
      </c>
      <c r="C359" s="23"/>
      <c r="D359" s="24" t="s">
        <v>195</v>
      </c>
      <c r="E359" s="25">
        <f>E360</f>
        <v>22755.1</v>
      </c>
      <c r="F359" s="25">
        <f>F360</f>
        <v>11127.5</v>
      </c>
      <c r="G359" s="25">
        <f t="shared" si="23"/>
        <v>11627.599999999999</v>
      </c>
      <c r="H359" s="64">
        <f t="shared" si="24"/>
        <v>0.4890112546198435</v>
      </c>
    </row>
    <row r="360" spans="1:8" ht="38.25">
      <c r="A360" s="23"/>
      <c r="B360" s="23"/>
      <c r="C360" s="23" t="s">
        <v>65</v>
      </c>
      <c r="D360" s="24" t="s">
        <v>178</v>
      </c>
      <c r="E360" s="25">
        <f>10787.2+11967.9</f>
        <v>22755.1</v>
      </c>
      <c r="F360" s="25">
        <f>5732.4+5395.1</f>
        <v>11127.5</v>
      </c>
      <c r="G360" s="25">
        <f t="shared" si="23"/>
        <v>11627.599999999999</v>
      </c>
      <c r="H360" s="64">
        <f t="shared" si="24"/>
        <v>0.4890112546198435</v>
      </c>
    </row>
    <row r="361" spans="1:8" ht="51">
      <c r="A361" s="23"/>
      <c r="B361" s="23" t="s">
        <v>204</v>
      </c>
      <c r="C361" s="23"/>
      <c r="D361" s="24" t="s">
        <v>207</v>
      </c>
      <c r="E361" s="25">
        <f>E362</f>
        <v>34037.1</v>
      </c>
      <c r="F361" s="25">
        <f>F362</f>
        <v>18151.7</v>
      </c>
      <c r="G361" s="25">
        <f t="shared" si="23"/>
        <v>15885.399999999998</v>
      </c>
      <c r="H361" s="64">
        <f t="shared" si="24"/>
        <v>0.5332916141504418</v>
      </c>
    </row>
    <row r="362" spans="1:8" ht="38.25">
      <c r="A362" s="23"/>
      <c r="B362" s="23"/>
      <c r="C362" s="23" t="s">
        <v>65</v>
      </c>
      <c r="D362" s="24" t="s">
        <v>178</v>
      </c>
      <c r="E362" s="25">
        <v>34037.1</v>
      </c>
      <c r="F362" s="25">
        <v>18151.7</v>
      </c>
      <c r="G362" s="25">
        <f t="shared" si="23"/>
        <v>15885.399999999998</v>
      </c>
      <c r="H362" s="64">
        <f t="shared" si="24"/>
        <v>0.5332916141504418</v>
      </c>
    </row>
    <row r="363" spans="1:8" ht="63.75">
      <c r="A363" s="23"/>
      <c r="B363" s="23" t="s">
        <v>205</v>
      </c>
      <c r="C363" s="23"/>
      <c r="D363" s="24" t="s">
        <v>206</v>
      </c>
      <c r="E363" s="25">
        <f>E364</f>
        <v>52980.1</v>
      </c>
      <c r="F363" s="25">
        <f>F364</f>
        <v>24401.1</v>
      </c>
      <c r="G363" s="25">
        <f t="shared" si="23"/>
        <v>28579</v>
      </c>
      <c r="H363" s="64">
        <f t="shared" si="24"/>
        <v>0.4605710445997648</v>
      </c>
    </row>
    <row r="364" spans="1:8" ht="38.25">
      <c r="A364" s="23"/>
      <c r="B364" s="23"/>
      <c r="C364" s="23" t="s">
        <v>65</v>
      </c>
      <c r="D364" s="24" t="s">
        <v>178</v>
      </c>
      <c r="E364" s="25">
        <v>52980.1</v>
      </c>
      <c r="F364" s="25">
        <v>24401.1</v>
      </c>
      <c r="G364" s="25">
        <f t="shared" si="23"/>
        <v>28579</v>
      </c>
      <c r="H364" s="64">
        <f t="shared" si="24"/>
        <v>0.4605710445997648</v>
      </c>
    </row>
    <row r="365" spans="1:8" ht="77.25" customHeight="1">
      <c r="A365" s="23"/>
      <c r="B365" s="23" t="s">
        <v>208</v>
      </c>
      <c r="C365" s="23"/>
      <c r="D365" s="24" t="s">
        <v>209</v>
      </c>
      <c r="E365" s="25">
        <f>E366</f>
        <v>230.1</v>
      </c>
      <c r="F365" s="25">
        <f>F366</f>
        <v>230.1</v>
      </c>
      <c r="G365" s="25">
        <f t="shared" si="23"/>
        <v>0</v>
      </c>
      <c r="H365" s="64">
        <f t="shared" si="24"/>
        <v>1</v>
      </c>
    </row>
    <row r="366" spans="1:8" ht="38.25">
      <c r="A366" s="23"/>
      <c r="B366" s="23"/>
      <c r="C366" s="23" t="s">
        <v>65</v>
      </c>
      <c r="D366" s="24" t="s">
        <v>178</v>
      </c>
      <c r="E366" s="25">
        <v>230.1</v>
      </c>
      <c r="F366" s="25">
        <v>230.1</v>
      </c>
      <c r="G366" s="25">
        <f t="shared" si="23"/>
        <v>0</v>
      </c>
      <c r="H366" s="64">
        <f t="shared" si="24"/>
        <v>1</v>
      </c>
    </row>
    <row r="367" spans="1:8" ht="12.75">
      <c r="A367" s="23"/>
      <c r="B367" s="23" t="s">
        <v>71</v>
      </c>
      <c r="C367" s="23"/>
      <c r="D367" s="24" t="s">
        <v>110</v>
      </c>
      <c r="E367" s="25">
        <f>E368</f>
        <v>1497.6000000000001</v>
      </c>
      <c r="F367" s="25">
        <f>F368</f>
        <v>650.9</v>
      </c>
      <c r="G367" s="25">
        <f t="shared" si="23"/>
        <v>846.7000000000002</v>
      </c>
      <c r="H367" s="64">
        <f t="shared" si="24"/>
        <v>0.43462873931623924</v>
      </c>
    </row>
    <row r="368" spans="1:8" ht="51">
      <c r="A368" s="23"/>
      <c r="B368" s="23" t="s">
        <v>198</v>
      </c>
      <c r="C368" s="23"/>
      <c r="D368" s="24" t="s">
        <v>348</v>
      </c>
      <c r="E368" s="25">
        <f>E370+E369</f>
        <v>1497.6000000000001</v>
      </c>
      <c r="F368" s="25">
        <f>F370+F369</f>
        <v>650.9</v>
      </c>
      <c r="G368" s="25">
        <f t="shared" si="23"/>
        <v>846.7000000000002</v>
      </c>
      <c r="H368" s="64">
        <f t="shared" si="24"/>
        <v>0.43462873931623924</v>
      </c>
    </row>
    <row r="369" spans="1:8" ht="25.5">
      <c r="A369" s="23"/>
      <c r="B369" s="23"/>
      <c r="C369" s="23" t="s">
        <v>47</v>
      </c>
      <c r="D369" s="24" t="s">
        <v>48</v>
      </c>
      <c r="E369" s="25">
        <v>80.4</v>
      </c>
      <c r="F369" s="25">
        <v>18.4</v>
      </c>
      <c r="G369" s="25">
        <f t="shared" si="23"/>
        <v>62.00000000000001</v>
      </c>
      <c r="H369" s="64">
        <f t="shared" si="24"/>
        <v>0.22885572139303478</v>
      </c>
    </row>
    <row r="370" spans="1:8" ht="38.25">
      <c r="A370" s="23"/>
      <c r="B370" s="23"/>
      <c r="C370" s="23" t="s">
        <v>65</v>
      </c>
      <c r="D370" s="24" t="s">
        <v>178</v>
      </c>
      <c r="E370" s="25">
        <f>104.4+1312.8</f>
        <v>1417.2</v>
      </c>
      <c r="F370" s="25">
        <f>41.1+591.4</f>
        <v>632.5</v>
      </c>
      <c r="G370" s="25">
        <f t="shared" si="23"/>
        <v>784.7</v>
      </c>
      <c r="H370" s="64">
        <f t="shared" si="24"/>
        <v>0.44630256844482075</v>
      </c>
    </row>
    <row r="371" spans="1:8" ht="38.25">
      <c r="A371" s="23"/>
      <c r="B371" s="23" t="s">
        <v>71</v>
      </c>
      <c r="C371" s="23"/>
      <c r="D371" s="49" t="s">
        <v>1057</v>
      </c>
      <c r="E371" s="25">
        <f aca="true" t="shared" si="27" ref="E371:F373">E372</f>
        <v>109</v>
      </c>
      <c r="F371" s="25">
        <f t="shared" si="27"/>
        <v>109</v>
      </c>
      <c r="G371" s="57">
        <f>E371-F371</f>
        <v>0</v>
      </c>
      <c r="H371" s="59">
        <f>F371/E371</f>
        <v>1</v>
      </c>
    </row>
    <row r="372" spans="1:8" ht="51">
      <c r="A372" s="23"/>
      <c r="B372" s="23" t="s">
        <v>1027</v>
      </c>
      <c r="C372" s="23"/>
      <c r="D372" s="49" t="s">
        <v>1058</v>
      </c>
      <c r="E372" s="25">
        <f t="shared" si="27"/>
        <v>109</v>
      </c>
      <c r="F372" s="25">
        <f t="shared" si="27"/>
        <v>109</v>
      </c>
      <c r="G372" s="57">
        <f>E372-F372</f>
        <v>0</v>
      </c>
      <c r="H372" s="59">
        <f>F372/E372</f>
        <v>1</v>
      </c>
    </row>
    <row r="373" spans="1:8" ht="89.25">
      <c r="A373" s="23"/>
      <c r="B373" s="23" t="s">
        <v>1028</v>
      </c>
      <c r="C373" s="23"/>
      <c r="D373" s="49" t="s">
        <v>1059</v>
      </c>
      <c r="E373" s="25">
        <f t="shared" si="27"/>
        <v>109</v>
      </c>
      <c r="F373" s="25">
        <f t="shared" si="27"/>
        <v>109</v>
      </c>
      <c r="G373" s="57">
        <f>E373-F373</f>
        <v>0</v>
      </c>
      <c r="H373" s="59">
        <f>F373/E373</f>
        <v>1</v>
      </c>
    </row>
    <row r="374" spans="1:8" ht="38.25">
      <c r="A374" s="23"/>
      <c r="B374" s="23"/>
      <c r="C374" s="23" t="s">
        <v>65</v>
      </c>
      <c r="D374" s="24" t="s">
        <v>178</v>
      </c>
      <c r="E374" s="25">
        <v>109</v>
      </c>
      <c r="F374" s="25">
        <v>109</v>
      </c>
      <c r="G374" s="57">
        <f>E374-F374</f>
        <v>0</v>
      </c>
      <c r="H374" s="59">
        <f>F374/E374</f>
        <v>1</v>
      </c>
    </row>
    <row r="375" spans="1:8" ht="25.5">
      <c r="A375" s="23"/>
      <c r="B375" s="26" t="s">
        <v>393</v>
      </c>
      <c r="C375" s="26"/>
      <c r="D375" s="60" t="s">
        <v>394</v>
      </c>
      <c r="E375" s="25">
        <f>E376</f>
        <v>6750</v>
      </c>
      <c r="F375" s="25">
        <f>F376</f>
        <v>0</v>
      </c>
      <c r="G375" s="25">
        <f t="shared" si="23"/>
        <v>6750</v>
      </c>
      <c r="H375" s="64">
        <f t="shared" si="24"/>
        <v>0</v>
      </c>
    </row>
    <row r="376" spans="1:8" ht="25.5">
      <c r="A376" s="23"/>
      <c r="B376" s="26" t="s">
        <v>447</v>
      </c>
      <c r="C376" s="26"/>
      <c r="D376" s="53" t="s">
        <v>448</v>
      </c>
      <c r="E376" s="25">
        <f>E377</f>
        <v>6750</v>
      </c>
      <c r="F376" s="25">
        <f>F377</f>
        <v>0</v>
      </c>
      <c r="G376" s="25">
        <f t="shared" si="23"/>
        <v>6750</v>
      </c>
      <c r="H376" s="64">
        <f t="shared" si="24"/>
        <v>0</v>
      </c>
    </row>
    <row r="377" spans="1:8" ht="12.75">
      <c r="A377" s="23"/>
      <c r="B377" s="26"/>
      <c r="C377" s="26" t="s">
        <v>385</v>
      </c>
      <c r="D377" s="53" t="s">
        <v>386</v>
      </c>
      <c r="E377" s="25">
        <v>6750</v>
      </c>
      <c r="F377" s="25">
        <v>0</v>
      </c>
      <c r="G377" s="25">
        <f t="shared" si="23"/>
        <v>6750</v>
      </c>
      <c r="H377" s="64">
        <f t="shared" si="24"/>
        <v>0</v>
      </c>
    </row>
    <row r="378" spans="1:8" ht="38.25">
      <c r="A378" s="23"/>
      <c r="B378" s="23" t="s">
        <v>475</v>
      </c>
      <c r="C378" s="23"/>
      <c r="D378" s="49" t="s">
        <v>478</v>
      </c>
      <c r="E378" s="25">
        <f>E379</f>
        <v>5535.2</v>
      </c>
      <c r="F378" s="25">
        <f>F379</f>
        <v>4914.299999999999</v>
      </c>
      <c r="G378" s="25">
        <f t="shared" si="23"/>
        <v>620.9000000000005</v>
      </c>
      <c r="H378" s="64">
        <f t="shared" si="24"/>
        <v>0.8878269981211157</v>
      </c>
    </row>
    <row r="379" spans="1:8" ht="51">
      <c r="A379" s="23"/>
      <c r="B379" s="23" t="s">
        <v>477</v>
      </c>
      <c r="C379" s="23"/>
      <c r="D379" s="24" t="s">
        <v>476</v>
      </c>
      <c r="E379" s="25">
        <f>E380</f>
        <v>5535.2</v>
      </c>
      <c r="F379" s="25">
        <f>F380</f>
        <v>4914.299999999999</v>
      </c>
      <c r="G379" s="25">
        <f t="shared" si="23"/>
        <v>620.9000000000005</v>
      </c>
      <c r="H379" s="64">
        <f t="shared" si="24"/>
        <v>0.8878269981211157</v>
      </c>
    </row>
    <row r="380" spans="1:8" ht="38.25">
      <c r="A380" s="23"/>
      <c r="B380" s="23"/>
      <c r="C380" s="26" t="s">
        <v>65</v>
      </c>
      <c r="D380" s="24" t="s">
        <v>178</v>
      </c>
      <c r="E380" s="25">
        <f>1642.1+3893.1</f>
        <v>5535.2</v>
      </c>
      <c r="F380" s="25">
        <f>1642.1+3272.2</f>
        <v>4914.299999999999</v>
      </c>
      <c r="G380" s="25">
        <f t="shared" si="23"/>
        <v>620.9000000000005</v>
      </c>
      <c r="H380" s="64">
        <f t="shared" si="24"/>
        <v>0.8878269981211157</v>
      </c>
    </row>
    <row r="381" spans="1:8" ht="12.75">
      <c r="A381" s="23" t="s">
        <v>105</v>
      </c>
      <c r="B381" s="23"/>
      <c r="C381" s="23"/>
      <c r="D381" s="24" t="s">
        <v>106</v>
      </c>
      <c r="E381" s="25">
        <f>E392+E382+E389</f>
        <v>15790.600000000002</v>
      </c>
      <c r="F381" s="25">
        <f>F392+F382+F389</f>
        <v>6394.2</v>
      </c>
      <c r="G381" s="25">
        <f t="shared" si="23"/>
        <v>9396.400000000001</v>
      </c>
      <c r="H381" s="64">
        <f t="shared" si="24"/>
        <v>0.40493711448583325</v>
      </c>
    </row>
    <row r="382" spans="1:8" ht="25.5">
      <c r="A382" s="23"/>
      <c r="B382" s="23" t="s">
        <v>62</v>
      </c>
      <c r="C382" s="50"/>
      <c r="D382" s="49" t="s">
        <v>307</v>
      </c>
      <c r="E382" s="25">
        <f>E383</f>
        <v>10564.900000000001</v>
      </c>
      <c r="F382" s="25">
        <f>F383</f>
        <v>4046.5</v>
      </c>
      <c r="G382" s="25">
        <f t="shared" si="23"/>
        <v>6518.4000000000015</v>
      </c>
      <c r="H382" s="64">
        <f t="shared" si="24"/>
        <v>0.38301356378195717</v>
      </c>
    </row>
    <row r="383" spans="1:8" ht="51">
      <c r="A383" s="23"/>
      <c r="B383" s="23" t="s">
        <v>351</v>
      </c>
      <c r="C383" s="50"/>
      <c r="D383" s="49" t="s">
        <v>352</v>
      </c>
      <c r="E383" s="25">
        <f>E384</f>
        <v>10564.900000000001</v>
      </c>
      <c r="F383" s="25">
        <f>F384</f>
        <v>4046.5</v>
      </c>
      <c r="G383" s="25">
        <f t="shared" si="23"/>
        <v>6518.4000000000015</v>
      </c>
      <c r="H383" s="64">
        <f t="shared" si="24"/>
        <v>0.38301356378195717</v>
      </c>
    </row>
    <row r="384" spans="1:8" ht="12.75">
      <c r="A384" s="23"/>
      <c r="B384" s="23" t="s">
        <v>350</v>
      </c>
      <c r="C384" s="23"/>
      <c r="D384" s="24" t="s">
        <v>108</v>
      </c>
      <c r="E384" s="25">
        <f>SUM(E385:E388)</f>
        <v>10564.900000000001</v>
      </c>
      <c r="F384" s="25">
        <f>SUM(F385:F388)</f>
        <v>4046.5</v>
      </c>
      <c r="G384" s="25">
        <f t="shared" si="23"/>
        <v>6518.4000000000015</v>
      </c>
      <c r="H384" s="64">
        <f t="shared" si="24"/>
        <v>0.38301356378195717</v>
      </c>
    </row>
    <row r="385" spans="1:8" ht="25.5">
      <c r="A385" s="23"/>
      <c r="B385" s="23"/>
      <c r="C385" s="23" t="s">
        <v>43</v>
      </c>
      <c r="D385" s="24" t="s">
        <v>150</v>
      </c>
      <c r="E385" s="25">
        <v>4324.2</v>
      </c>
      <c r="F385" s="25">
        <v>33</v>
      </c>
      <c r="G385" s="25">
        <f t="shared" si="23"/>
        <v>4291.2</v>
      </c>
      <c r="H385" s="64">
        <f t="shared" si="24"/>
        <v>0.007631469404745387</v>
      </c>
    </row>
    <row r="386" spans="1:8" ht="25.5">
      <c r="A386" s="23"/>
      <c r="B386" s="23"/>
      <c r="C386" s="23" t="s">
        <v>47</v>
      </c>
      <c r="D386" s="24" t="s">
        <v>48</v>
      </c>
      <c r="E386" s="25">
        <v>1256.4</v>
      </c>
      <c r="F386" s="25">
        <v>26</v>
      </c>
      <c r="G386" s="25">
        <f t="shared" si="23"/>
        <v>1230.4</v>
      </c>
      <c r="H386" s="64">
        <f t="shared" si="24"/>
        <v>0.020694046482012098</v>
      </c>
    </row>
    <row r="387" spans="1:8" ht="38.25">
      <c r="A387" s="23"/>
      <c r="B387" s="23"/>
      <c r="C387" s="23" t="s">
        <v>65</v>
      </c>
      <c r="D387" s="24" t="s">
        <v>178</v>
      </c>
      <c r="E387" s="25">
        <f>1376.3+520.3</f>
        <v>1896.6</v>
      </c>
      <c r="F387" s="25">
        <f>1125.9+520.3</f>
        <v>1646.2</v>
      </c>
      <c r="G387" s="25">
        <f t="shared" si="23"/>
        <v>250.39999999999986</v>
      </c>
      <c r="H387" s="64">
        <f t="shared" si="24"/>
        <v>0.8679742697458611</v>
      </c>
    </row>
    <row r="388" spans="1:8" ht="12.75">
      <c r="A388" s="23"/>
      <c r="B388" s="23"/>
      <c r="C388" s="23" t="s">
        <v>44</v>
      </c>
      <c r="D388" s="24" t="s">
        <v>45</v>
      </c>
      <c r="E388" s="25">
        <v>3087.7</v>
      </c>
      <c r="F388" s="25">
        <v>2341.3</v>
      </c>
      <c r="G388" s="25">
        <f t="shared" si="23"/>
        <v>746.3999999999996</v>
      </c>
      <c r="H388" s="64">
        <f t="shared" si="24"/>
        <v>0.7582666709848755</v>
      </c>
    </row>
    <row r="389" spans="1:8" ht="25.5">
      <c r="A389" s="23"/>
      <c r="B389" s="23" t="s">
        <v>69</v>
      </c>
      <c r="C389" s="23"/>
      <c r="D389" s="24" t="s">
        <v>360</v>
      </c>
      <c r="E389" s="25">
        <f>E390</f>
        <v>1683.7</v>
      </c>
      <c r="F389" s="25">
        <f>F390</f>
        <v>780.3</v>
      </c>
      <c r="G389" s="25">
        <f t="shared" si="23"/>
        <v>903.4000000000001</v>
      </c>
      <c r="H389" s="64">
        <f t="shared" si="24"/>
        <v>0.4634436063431727</v>
      </c>
    </row>
    <row r="390" spans="1:8" ht="25.5">
      <c r="A390" s="23"/>
      <c r="B390" s="23" t="s">
        <v>217</v>
      </c>
      <c r="C390" s="23"/>
      <c r="D390" s="24" t="s">
        <v>218</v>
      </c>
      <c r="E390" s="25">
        <f>E391</f>
        <v>1683.7</v>
      </c>
      <c r="F390" s="25">
        <f>F391</f>
        <v>780.3</v>
      </c>
      <c r="G390" s="25">
        <f aca="true" t="shared" si="28" ref="G390:G478">E390-F390</f>
        <v>903.4000000000001</v>
      </c>
      <c r="H390" s="64">
        <f t="shared" si="24"/>
        <v>0.4634436063431727</v>
      </c>
    </row>
    <row r="391" spans="1:8" ht="38.25">
      <c r="A391" s="23"/>
      <c r="B391" s="23"/>
      <c r="C391" s="23" t="s">
        <v>65</v>
      </c>
      <c r="D391" s="24" t="s">
        <v>178</v>
      </c>
      <c r="E391" s="25">
        <v>1683.7</v>
      </c>
      <c r="F391" s="25">
        <v>780.3</v>
      </c>
      <c r="G391" s="25">
        <f t="shared" si="28"/>
        <v>903.4000000000001</v>
      </c>
      <c r="H391" s="64">
        <f aca="true" t="shared" si="29" ref="H391:H479">F391/E391</f>
        <v>0.4634436063431727</v>
      </c>
    </row>
    <row r="392" spans="1:8" ht="12.75">
      <c r="A392" s="23"/>
      <c r="B392" s="23" t="s">
        <v>70</v>
      </c>
      <c r="C392" s="23"/>
      <c r="D392" s="24" t="s">
        <v>349</v>
      </c>
      <c r="E392" s="25">
        <f>E393</f>
        <v>3542</v>
      </c>
      <c r="F392" s="25">
        <f>F393</f>
        <v>1567.4</v>
      </c>
      <c r="G392" s="25">
        <f t="shared" si="28"/>
        <v>1974.6</v>
      </c>
      <c r="H392" s="64">
        <f t="shared" si="29"/>
        <v>0.4425183512140034</v>
      </c>
    </row>
    <row r="393" spans="1:8" ht="25.5">
      <c r="A393" s="23"/>
      <c r="B393" s="23" t="s">
        <v>196</v>
      </c>
      <c r="C393" s="23"/>
      <c r="D393" s="24" t="s">
        <v>107</v>
      </c>
      <c r="E393" s="25">
        <f>E395+E394</f>
        <v>3542</v>
      </c>
      <c r="F393" s="25">
        <f>F395+F394</f>
        <v>1567.4</v>
      </c>
      <c r="G393" s="25">
        <f t="shared" si="28"/>
        <v>1974.6</v>
      </c>
      <c r="H393" s="64">
        <f t="shared" si="29"/>
        <v>0.4425183512140034</v>
      </c>
    </row>
    <row r="394" spans="1:8" ht="25.5">
      <c r="A394" s="23"/>
      <c r="B394" s="23"/>
      <c r="C394" s="23" t="s">
        <v>43</v>
      </c>
      <c r="D394" s="24" t="s">
        <v>150</v>
      </c>
      <c r="E394" s="25">
        <v>245.2</v>
      </c>
      <c r="F394" s="25">
        <v>0</v>
      </c>
      <c r="G394" s="25">
        <f>E394-F394</f>
        <v>245.2</v>
      </c>
      <c r="H394" s="64">
        <f>F394/E394</f>
        <v>0</v>
      </c>
    </row>
    <row r="395" spans="1:8" ht="38.25">
      <c r="A395" s="23"/>
      <c r="B395" s="23"/>
      <c r="C395" s="23" t="s">
        <v>65</v>
      </c>
      <c r="D395" s="24" t="s">
        <v>178</v>
      </c>
      <c r="E395" s="25">
        <f>2692.3+604.5</f>
        <v>3296.8</v>
      </c>
      <c r="F395" s="25">
        <f>1135+432.4</f>
        <v>1567.4</v>
      </c>
      <c r="G395" s="25">
        <f t="shared" si="28"/>
        <v>1729.4</v>
      </c>
      <c r="H395" s="64">
        <f t="shared" si="29"/>
        <v>0.4754307206988595</v>
      </c>
    </row>
    <row r="396" spans="1:8" ht="12.75">
      <c r="A396" s="23" t="s">
        <v>109</v>
      </c>
      <c r="B396" s="23"/>
      <c r="C396" s="23"/>
      <c r="D396" s="24" t="s">
        <v>110</v>
      </c>
      <c r="E396" s="25">
        <f>E405+E397+E402</f>
        <v>16864.6</v>
      </c>
      <c r="F396" s="25">
        <f>F405+F397+F402</f>
        <v>8436.2</v>
      </c>
      <c r="G396" s="25">
        <f t="shared" si="28"/>
        <v>8428.399999999998</v>
      </c>
      <c r="H396" s="64">
        <f t="shared" si="29"/>
        <v>0.500231253631868</v>
      </c>
    </row>
    <row r="397" spans="1:8" ht="25.5">
      <c r="A397" s="23"/>
      <c r="B397" s="23" t="s">
        <v>81</v>
      </c>
      <c r="C397" s="23"/>
      <c r="D397" s="24" t="s">
        <v>285</v>
      </c>
      <c r="E397" s="25">
        <f>E398</f>
        <v>5710.6</v>
      </c>
      <c r="F397" s="25">
        <f>F398</f>
        <v>2607.5</v>
      </c>
      <c r="G397" s="25">
        <f t="shared" si="28"/>
        <v>3103.1000000000004</v>
      </c>
      <c r="H397" s="64">
        <f t="shared" si="29"/>
        <v>0.45660701152243194</v>
      </c>
    </row>
    <row r="398" spans="1:8" ht="38.25">
      <c r="A398" s="23"/>
      <c r="B398" s="23" t="s">
        <v>147</v>
      </c>
      <c r="C398" s="23"/>
      <c r="D398" s="24" t="s">
        <v>148</v>
      </c>
      <c r="E398" s="25">
        <f>SUM(E399:E401)</f>
        <v>5710.6</v>
      </c>
      <c r="F398" s="25">
        <f>SUM(F399:F401)</f>
        <v>2607.5</v>
      </c>
      <c r="G398" s="25">
        <f t="shared" si="28"/>
        <v>3103.1000000000004</v>
      </c>
      <c r="H398" s="64">
        <f t="shared" si="29"/>
        <v>0.45660701152243194</v>
      </c>
    </row>
    <row r="399" spans="1:8" ht="76.5">
      <c r="A399" s="23"/>
      <c r="B399" s="23"/>
      <c r="C399" s="23" t="s">
        <v>42</v>
      </c>
      <c r="D399" s="24" t="s">
        <v>149</v>
      </c>
      <c r="E399" s="25">
        <f>2977.9+2577.8</f>
        <v>5555.700000000001</v>
      </c>
      <c r="F399" s="25">
        <f>1168.7+1343.6</f>
        <v>2512.3</v>
      </c>
      <c r="G399" s="25">
        <f t="shared" si="28"/>
        <v>3043.4000000000005</v>
      </c>
      <c r="H399" s="64">
        <f t="shared" si="29"/>
        <v>0.4522022427416887</v>
      </c>
    </row>
    <row r="400" spans="1:8" ht="25.5">
      <c r="A400" s="23"/>
      <c r="B400" s="23"/>
      <c r="C400" s="23" t="s">
        <v>43</v>
      </c>
      <c r="D400" s="24" t="s">
        <v>150</v>
      </c>
      <c r="E400" s="25">
        <f>88.8+65.2</f>
        <v>154</v>
      </c>
      <c r="F400" s="25">
        <f>52.7+42.3</f>
        <v>95</v>
      </c>
      <c r="G400" s="25">
        <f t="shared" si="28"/>
        <v>59</v>
      </c>
      <c r="H400" s="64">
        <f t="shared" si="29"/>
        <v>0.6168831168831169</v>
      </c>
    </row>
    <row r="401" spans="1:8" ht="12.75">
      <c r="A401" s="23"/>
      <c r="B401" s="23"/>
      <c r="C401" s="23" t="s">
        <v>44</v>
      </c>
      <c r="D401" s="24" t="s">
        <v>45</v>
      </c>
      <c r="E401" s="25">
        <f>0.6+0.3</f>
        <v>0.8999999999999999</v>
      </c>
      <c r="F401" s="25">
        <f>0.1+0.1</f>
        <v>0.2</v>
      </c>
      <c r="G401" s="25">
        <f t="shared" si="28"/>
        <v>0.7</v>
      </c>
      <c r="H401" s="64">
        <f t="shared" si="29"/>
        <v>0.22222222222222227</v>
      </c>
    </row>
    <row r="402" spans="1:8" ht="25.5">
      <c r="A402" s="23"/>
      <c r="B402" s="23" t="s">
        <v>55</v>
      </c>
      <c r="C402" s="23"/>
      <c r="D402" s="24" t="s">
        <v>297</v>
      </c>
      <c r="E402" s="25">
        <f>E403</f>
        <v>28.6</v>
      </c>
      <c r="F402" s="25">
        <f>F403</f>
        <v>28.6</v>
      </c>
      <c r="G402" s="57">
        <f>E402-F402</f>
        <v>0</v>
      </c>
      <c r="H402" s="59">
        <f>F402/E402</f>
        <v>1</v>
      </c>
    </row>
    <row r="403" spans="1:8" ht="25.5">
      <c r="A403" s="23"/>
      <c r="B403" s="23" t="s">
        <v>1037</v>
      </c>
      <c r="C403" s="23"/>
      <c r="D403" s="24" t="s">
        <v>1067</v>
      </c>
      <c r="E403" s="25">
        <f>E404</f>
        <v>28.6</v>
      </c>
      <c r="F403" s="25">
        <f>F404</f>
        <v>28.6</v>
      </c>
      <c r="G403" s="57">
        <f>E403-F403</f>
        <v>0</v>
      </c>
      <c r="H403" s="59">
        <f>F403/E403</f>
        <v>1</v>
      </c>
    </row>
    <row r="404" spans="1:8" ht="38.25">
      <c r="A404" s="23"/>
      <c r="B404" s="23"/>
      <c r="C404" s="23" t="s">
        <v>65</v>
      </c>
      <c r="D404" s="24" t="s">
        <v>178</v>
      </c>
      <c r="E404" s="25">
        <v>28.6</v>
      </c>
      <c r="F404" s="25">
        <v>28.6</v>
      </c>
      <c r="G404" s="57">
        <f>E404-F404</f>
        <v>0</v>
      </c>
      <c r="H404" s="59">
        <f>F404/E404</f>
        <v>1</v>
      </c>
    </row>
    <row r="405" spans="1:8" ht="12.75">
      <c r="A405" s="23"/>
      <c r="B405" s="23" t="s">
        <v>71</v>
      </c>
      <c r="C405" s="23"/>
      <c r="D405" s="24" t="s">
        <v>110</v>
      </c>
      <c r="E405" s="25">
        <f>E408+E406</f>
        <v>11125.400000000001</v>
      </c>
      <c r="F405" s="25">
        <f>F408+F406</f>
        <v>5800.1</v>
      </c>
      <c r="G405" s="25">
        <f t="shared" si="28"/>
        <v>5325.300000000001</v>
      </c>
      <c r="H405" s="64">
        <f t="shared" si="29"/>
        <v>0.5213385586136229</v>
      </c>
    </row>
    <row r="406" spans="1:8" ht="25.5">
      <c r="A406" s="23"/>
      <c r="B406" s="23" t="s">
        <v>200</v>
      </c>
      <c r="C406" s="23"/>
      <c r="D406" s="24" t="s">
        <v>201</v>
      </c>
      <c r="E406" s="25">
        <f>E407</f>
        <v>11058.2</v>
      </c>
      <c r="F406" s="25">
        <f>F407</f>
        <v>5773.6</v>
      </c>
      <c r="G406" s="25">
        <f t="shared" si="28"/>
        <v>5284.6</v>
      </c>
      <c r="H406" s="64">
        <f t="shared" si="29"/>
        <v>0.5221102891971569</v>
      </c>
    </row>
    <row r="407" spans="1:8" ht="38.25">
      <c r="A407" s="23"/>
      <c r="B407" s="23"/>
      <c r="C407" s="23" t="s">
        <v>65</v>
      </c>
      <c r="D407" s="24" t="s">
        <v>178</v>
      </c>
      <c r="E407" s="25">
        <v>11058.2</v>
      </c>
      <c r="F407" s="25">
        <v>5773.6</v>
      </c>
      <c r="G407" s="25">
        <f t="shared" si="28"/>
        <v>5284.6</v>
      </c>
      <c r="H407" s="64">
        <f t="shared" si="29"/>
        <v>0.5221102891971569</v>
      </c>
    </row>
    <row r="408" spans="1:8" ht="63.75" customHeight="1">
      <c r="A408" s="23"/>
      <c r="B408" s="23" t="s">
        <v>198</v>
      </c>
      <c r="C408" s="23"/>
      <c r="D408" s="24" t="s">
        <v>199</v>
      </c>
      <c r="E408" s="25">
        <f>E409</f>
        <v>67.2</v>
      </c>
      <c r="F408" s="25">
        <f>F409</f>
        <v>26.5</v>
      </c>
      <c r="G408" s="25">
        <f t="shared" si="28"/>
        <v>40.7</v>
      </c>
      <c r="H408" s="64">
        <f t="shared" si="29"/>
        <v>0.3943452380952381</v>
      </c>
    </row>
    <row r="409" spans="1:8" ht="38.25">
      <c r="A409" s="23"/>
      <c r="B409" s="23"/>
      <c r="C409" s="23" t="s">
        <v>65</v>
      </c>
      <c r="D409" s="24" t="s">
        <v>178</v>
      </c>
      <c r="E409" s="25">
        <v>67.2</v>
      </c>
      <c r="F409" s="25">
        <v>26.5</v>
      </c>
      <c r="G409" s="25">
        <f t="shared" si="28"/>
        <v>40.7</v>
      </c>
      <c r="H409" s="64">
        <f t="shared" si="29"/>
        <v>0.3943452380952381</v>
      </c>
    </row>
    <row r="410" spans="1:8" ht="12.75">
      <c r="A410" s="23"/>
      <c r="B410" s="23"/>
      <c r="C410" s="23"/>
      <c r="D410" s="24"/>
      <c r="E410" s="25"/>
      <c r="F410" s="25"/>
      <c r="G410" s="25"/>
      <c r="H410" s="64"/>
    </row>
    <row r="411" spans="1:8" s="35" customFormat="1" ht="12.75">
      <c r="A411" s="21" t="s">
        <v>111</v>
      </c>
      <c r="B411" s="21"/>
      <c r="C411" s="21"/>
      <c r="D411" s="38" t="s">
        <v>210</v>
      </c>
      <c r="E411" s="36">
        <f>E412</f>
        <v>40676.5</v>
      </c>
      <c r="F411" s="36">
        <f>F412</f>
        <v>24351.199999999997</v>
      </c>
      <c r="G411" s="36">
        <f t="shared" si="28"/>
        <v>16325.300000000003</v>
      </c>
      <c r="H411" s="65">
        <f t="shared" si="29"/>
        <v>0.5986552431993902</v>
      </c>
    </row>
    <row r="412" spans="1:8" ht="12.75">
      <c r="A412" s="23" t="s">
        <v>112</v>
      </c>
      <c r="B412" s="23"/>
      <c r="C412" s="23"/>
      <c r="D412" s="24" t="s">
        <v>113</v>
      </c>
      <c r="E412" s="25">
        <f>E428+E441+E413+E416+E444</f>
        <v>40676.5</v>
      </c>
      <c r="F412" s="25">
        <f>F428+F441+F413+F416+F444</f>
        <v>24351.199999999997</v>
      </c>
      <c r="G412" s="25">
        <f t="shared" si="28"/>
        <v>16325.300000000003</v>
      </c>
      <c r="H412" s="64">
        <f t="shared" si="29"/>
        <v>0.5986552431993902</v>
      </c>
    </row>
    <row r="413" spans="1:8" ht="25.5">
      <c r="A413" s="23"/>
      <c r="B413" s="23" t="s">
        <v>55</v>
      </c>
      <c r="C413" s="23"/>
      <c r="D413" s="24" t="s">
        <v>297</v>
      </c>
      <c r="E413" s="25">
        <f>E414</f>
        <v>15</v>
      </c>
      <c r="F413" s="25">
        <f>F414</f>
        <v>15</v>
      </c>
      <c r="G413" s="25">
        <f t="shared" si="28"/>
        <v>0</v>
      </c>
      <c r="H413" s="64">
        <f t="shared" si="29"/>
        <v>1</v>
      </c>
    </row>
    <row r="414" spans="1:8" ht="12.75">
      <c r="A414" s="23"/>
      <c r="B414" s="23" t="s">
        <v>479</v>
      </c>
      <c r="C414" s="23"/>
      <c r="D414" s="24" t="s">
        <v>480</v>
      </c>
      <c r="E414" s="25">
        <f>E415</f>
        <v>15</v>
      </c>
      <c r="F414" s="25">
        <f>F415</f>
        <v>15</v>
      </c>
      <c r="G414" s="25">
        <f t="shared" si="28"/>
        <v>0</v>
      </c>
      <c r="H414" s="64">
        <f t="shared" si="29"/>
        <v>1</v>
      </c>
    </row>
    <row r="415" spans="1:8" ht="12.75">
      <c r="A415" s="23"/>
      <c r="B415" s="23"/>
      <c r="C415" s="50" t="s">
        <v>49</v>
      </c>
      <c r="D415" s="49" t="s">
        <v>50</v>
      </c>
      <c r="E415" s="25">
        <v>15</v>
      </c>
      <c r="F415" s="25">
        <v>15</v>
      </c>
      <c r="G415" s="25">
        <f t="shared" si="28"/>
        <v>0</v>
      </c>
      <c r="H415" s="64">
        <f t="shared" si="29"/>
        <v>1</v>
      </c>
    </row>
    <row r="416" spans="1:8" ht="25.5">
      <c r="A416" s="23"/>
      <c r="B416" s="23" t="s">
        <v>63</v>
      </c>
      <c r="C416" s="242"/>
      <c r="D416" s="49" t="s">
        <v>312</v>
      </c>
      <c r="E416" s="25">
        <f>E417+E424</f>
        <v>701</v>
      </c>
      <c r="F416" s="25">
        <f>F417+F424</f>
        <v>601</v>
      </c>
      <c r="G416" s="57">
        <f t="shared" si="28"/>
        <v>100</v>
      </c>
      <c r="H416" s="59">
        <f t="shared" si="29"/>
        <v>0.8573466476462197</v>
      </c>
    </row>
    <row r="417" spans="1:8" ht="51">
      <c r="A417" s="23"/>
      <c r="B417" s="23" t="s">
        <v>1022</v>
      </c>
      <c r="C417" s="242"/>
      <c r="D417" s="49" t="s">
        <v>1052</v>
      </c>
      <c r="E417" s="25">
        <f>E418+E421</f>
        <v>300</v>
      </c>
      <c r="F417" s="25">
        <f>F418+F421</f>
        <v>200</v>
      </c>
      <c r="G417" s="57">
        <f t="shared" si="28"/>
        <v>100</v>
      </c>
      <c r="H417" s="59">
        <f t="shared" si="29"/>
        <v>0.6666666666666666</v>
      </c>
    </row>
    <row r="418" spans="1:8" ht="38.25">
      <c r="A418" s="23"/>
      <c r="B418" s="23" t="s">
        <v>1023</v>
      </c>
      <c r="C418" s="242"/>
      <c r="D418" s="243" t="s">
        <v>1054</v>
      </c>
      <c r="E418" s="25">
        <f>E419+E420</f>
        <v>200</v>
      </c>
      <c r="F418" s="25">
        <f>F419+F420</f>
        <v>100</v>
      </c>
      <c r="G418" s="57">
        <f t="shared" si="28"/>
        <v>100</v>
      </c>
      <c r="H418" s="59">
        <f t="shared" si="29"/>
        <v>0.5</v>
      </c>
    </row>
    <row r="419" spans="1:8" ht="12.75">
      <c r="A419" s="23"/>
      <c r="B419" s="23"/>
      <c r="C419" s="50" t="s">
        <v>49</v>
      </c>
      <c r="D419" s="49" t="s">
        <v>50</v>
      </c>
      <c r="E419" s="25">
        <f>100</f>
        <v>100</v>
      </c>
      <c r="F419" s="25">
        <v>100</v>
      </c>
      <c r="G419" s="57">
        <f t="shared" si="28"/>
        <v>0</v>
      </c>
      <c r="H419" s="59">
        <f t="shared" si="29"/>
        <v>1</v>
      </c>
    </row>
    <row r="420" spans="1:8" ht="38.25">
      <c r="A420" s="23"/>
      <c r="B420" s="23"/>
      <c r="C420" s="23" t="s">
        <v>65</v>
      </c>
      <c r="D420" s="24" t="s">
        <v>178</v>
      </c>
      <c r="E420" s="25">
        <v>100</v>
      </c>
      <c r="F420" s="25">
        <v>0</v>
      </c>
      <c r="G420" s="57">
        <f>E420-F420</f>
        <v>100</v>
      </c>
      <c r="H420" s="59">
        <f>F420/E420</f>
        <v>0</v>
      </c>
    </row>
    <row r="421" spans="1:8" ht="51">
      <c r="A421" s="23"/>
      <c r="B421" s="23" t="s">
        <v>1024</v>
      </c>
      <c r="C421" s="242"/>
      <c r="D421" s="243" t="s">
        <v>1055</v>
      </c>
      <c r="E421" s="25">
        <f>E422+E423</f>
        <v>100</v>
      </c>
      <c r="F421" s="25">
        <f>F422+F423</f>
        <v>100</v>
      </c>
      <c r="G421" s="57">
        <f t="shared" si="28"/>
        <v>0</v>
      </c>
      <c r="H421" s="59">
        <f t="shared" si="29"/>
        <v>1</v>
      </c>
    </row>
    <row r="422" spans="1:8" ht="12.75">
      <c r="A422" s="23"/>
      <c r="B422" s="23"/>
      <c r="C422" s="50" t="s">
        <v>49</v>
      </c>
      <c r="D422" s="49" t="s">
        <v>50</v>
      </c>
      <c r="E422" s="25">
        <v>50</v>
      </c>
      <c r="F422" s="25">
        <v>50</v>
      </c>
      <c r="G422" s="57">
        <f t="shared" si="28"/>
        <v>0</v>
      </c>
      <c r="H422" s="59">
        <f t="shared" si="29"/>
        <v>1</v>
      </c>
    </row>
    <row r="423" spans="1:8" ht="38.25">
      <c r="A423" s="23"/>
      <c r="B423" s="23"/>
      <c r="C423" s="23" t="s">
        <v>65</v>
      </c>
      <c r="D423" s="24" t="s">
        <v>178</v>
      </c>
      <c r="E423" s="25">
        <v>50</v>
      </c>
      <c r="F423" s="25">
        <v>50</v>
      </c>
      <c r="G423" s="57">
        <f>E423-F423</f>
        <v>0</v>
      </c>
      <c r="H423" s="59">
        <f>F423/E423</f>
        <v>1</v>
      </c>
    </row>
    <row r="424" spans="1:8" ht="63.75">
      <c r="A424" s="23"/>
      <c r="B424" s="23" t="s">
        <v>1025</v>
      </c>
      <c r="C424" s="242"/>
      <c r="D424" s="49" t="s">
        <v>1053</v>
      </c>
      <c r="E424" s="25">
        <f>E425</f>
        <v>401</v>
      </c>
      <c r="F424" s="25">
        <f>F425</f>
        <v>401</v>
      </c>
      <c r="G424" s="57">
        <f t="shared" si="28"/>
        <v>0</v>
      </c>
      <c r="H424" s="59">
        <f t="shared" si="29"/>
        <v>1</v>
      </c>
    </row>
    <row r="425" spans="1:8" ht="38.25">
      <c r="A425" s="23"/>
      <c r="B425" s="23" t="s">
        <v>1026</v>
      </c>
      <c r="C425" s="242"/>
      <c r="D425" s="243" t="s">
        <v>1056</v>
      </c>
      <c r="E425" s="25">
        <f>E426+E427</f>
        <v>401</v>
      </c>
      <c r="F425" s="25">
        <f>F426+F427</f>
        <v>401</v>
      </c>
      <c r="G425" s="57">
        <f t="shared" si="28"/>
        <v>0</v>
      </c>
      <c r="H425" s="59">
        <f t="shared" si="29"/>
        <v>1</v>
      </c>
    </row>
    <row r="426" spans="1:8" ht="12.75">
      <c r="A426" s="23"/>
      <c r="B426" s="23"/>
      <c r="C426" s="50" t="s">
        <v>49</v>
      </c>
      <c r="D426" s="49" t="s">
        <v>50</v>
      </c>
      <c r="E426" s="25">
        <v>190.4</v>
      </c>
      <c r="F426" s="25">
        <v>190.4</v>
      </c>
      <c r="G426" s="57">
        <f t="shared" si="28"/>
        <v>0</v>
      </c>
      <c r="H426" s="59">
        <f t="shared" si="29"/>
        <v>1</v>
      </c>
    </row>
    <row r="427" spans="1:8" ht="38.25">
      <c r="A427" s="23"/>
      <c r="B427" s="23"/>
      <c r="C427" s="23" t="s">
        <v>65</v>
      </c>
      <c r="D427" s="24" t="s">
        <v>178</v>
      </c>
      <c r="E427" s="25">
        <v>210.6</v>
      </c>
      <c r="F427" s="25">
        <v>210.6</v>
      </c>
      <c r="G427" s="25">
        <f t="shared" si="28"/>
        <v>0</v>
      </c>
      <c r="H427" s="64">
        <f t="shared" si="29"/>
        <v>1</v>
      </c>
    </row>
    <row r="428" spans="1:8" ht="12.75">
      <c r="A428" s="23"/>
      <c r="B428" s="23" t="s">
        <v>72</v>
      </c>
      <c r="C428" s="23"/>
      <c r="D428" s="24" t="s">
        <v>361</v>
      </c>
      <c r="E428" s="25">
        <f>E429+E431+E433+E435+E437+E439</f>
        <v>20590.4</v>
      </c>
      <c r="F428" s="25">
        <f>F429+F431+F433+F435+F437+F439</f>
        <v>9452.4</v>
      </c>
      <c r="G428" s="25">
        <f t="shared" si="28"/>
        <v>11138.000000000002</v>
      </c>
      <c r="H428" s="64">
        <f t="shared" si="29"/>
        <v>0.4590683036754992</v>
      </c>
    </row>
    <row r="429" spans="1:8" ht="63.75">
      <c r="A429" s="23"/>
      <c r="B429" s="23" t="s">
        <v>211</v>
      </c>
      <c r="C429" s="23"/>
      <c r="D429" s="27" t="s">
        <v>212</v>
      </c>
      <c r="E429" s="25">
        <f>E430</f>
        <v>13409.7</v>
      </c>
      <c r="F429" s="25">
        <f>F430</f>
        <v>6644.4</v>
      </c>
      <c r="G429" s="25">
        <f t="shared" si="28"/>
        <v>6765.300000000001</v>
      </c>
      <c r="H429" s="64">
        <f t="shared" si="29"/>
        <v>0.49549206917380695</v>
      </c>
    </row>
    <row r="430" spans="1:8" ht="38.25">
      <c r="A430" s="23"/>
      <c r="B430" s="23"/>
      <c r="C430" s="23" t="s">
        <v>65</v>
      </c>
      <c r="D430" s="24" t="s">
        <v>178</v>
      </c>
      <c r="E430" s="25">
        <v>13409.7</v>
      </c>
      <c r="F430" s="25">
        <v>6644.4</v>
      </c>
      <c r="G430" s="25">
        <f t="shared" si="28"/>
        <v>6765.300000000001</v>
      </c>
      <c r="H430" s="64">
        <f t="shared" si="29"/>
        <v>0.49549206917380695</v>
      </c>
    </row>
    <row r="431" spans="1:8" ht="51">
      <c r="A431" s="23"/>
      <c r="B431" s="23" t="s">
        <v>213</v>
      </c>
      <c r="C431" s="23"/>
      <c r="D431" s="24" t="s">
        <v>214</v>
      </c>
      <c r="E431" s="25">
        <f>E432</f>
        <v>164.7</v>
      </c>
      <c r="F431" s="25">
        <f>F432</f>
        <v>113.7</v>
      </c>
      <c r="G431" s="25">
        <f t="shared" si="28"/>
        <v>50.999999999999986</v>
      </c>
      <c r="H431" s="64">
        <f t="shared" si="29"/>
        <v>0.6903460837887068</v>
      </c>
    </row>
    <row r="432" spans="1:8" ht="38.25">
      <c r="A432" s="23"/>
      <c r="B432" s="23"/>
      <c r="C432" s="23" t="s">
        <v>65</v>
      </c>
      <c r="D432" s="24" t="s">
        <v>178</v>
      </c>
      <c r="E432" s="25">
        <v>164.7</v>
      </c>
      <c r="F432" s="25">
        <v>113.7</v>
      </c>
      <c r="G432" s="25">
        <f t="shared" si="28"/>
        <v>50.999999999999986</v>
      </c>
      <c r="H432" s="64">
        <f t="shared" si="29"/>
        <v>0.6903460837887068</v>
      </c>
    </row>
    <row r="433" spans="1:8" ht="63.75">
      <c r="A433" s="23"/>
      <c r="B433" s="23" t="s">
        <v>512</v>
      </c>
      <c r="C433" s="23"/>
      <c r="D433" s="24" t="s">
        <v>513</v>
      </c>
      <c r="E433" s="25">
        <f>E434</f>
        <v>3861.9</v>
      </c>
      <c r="F433" s="25">
        <f>F434</f>
        <v>1510.4</v>
      </c>
      <c r="G433" s="25">
        <f t="shared" si="28"/>
        <v>2351.5</v>
      </c>
      <c r="H433" s="64">
        <f t="shared" si="29"/>
        <v>0.39110282503430954</v>
      </c>
    </row>
    <row r="434" spans="1:8" ht="38.25">
      <c r="A434" s="23"/>
      <c r="B434" s="23"/>
      <c r="C434" s="23" t="s">
        <v>65</v>
      </c>
      <c r="D434" s="24" t="s">
        <v>178</v>
      </c>
      <c r="E434" s="25">
        <v>3861.9</v>
      </c>
      <c r="F434" s="25">
        <v>1510.4</v>
      </c>
      <c r="G434" s="25">
        <f t="shared" si="28"/>
        <v>2351.5</v>
      </c>
      <c r="H434" s="64">
        <f t="shared" si="29"/>
        <v>0.39110282503430954</v>
      </c>
    </row>
    <row r="435" spans="1:8" ht="63.75">
      <c r="A435" s="23"/>
      <c r="B435" s="23" t="s">
        <v>514</v>
      </c>
      <c r="C435" s="23"/>
      <c r="D435" s="24" t="s">
        <v>515</v>
      </c>
      <c r="E435" s="25">
        <f>E436</f>
        <v>1589.9</v>
      </c>
      <c r="F435" s="25">
        <f>F436</f>
        <v>598.9</v>
      </c>
      <c r="G435" s="25">
        <f t="shared" si="28"/>
        <v>991.0000000000001</v>
      </c>
      <c r="H435" s="64">
        <f t="shared" si="29"/>
        <v>0.3766903578841436</v>
      </c>
    </row>
    <row r="436" spans="1:8" ht="38.25">
      <c r="A436" s="23"/>
      <c r="B436" s="23"/>
      <c r="C436" s="23" t="s">
        <v>65</v>
      </c>
      <c r="D436" s="24" t="s">
        <v>178</v>
      </c>
      <c r="E436" s="25">
        <v>1589.9</v>
      </c>
      <c r="F436" s="25">
        <v>598.9</v>
      </c>
      <c r="G436" s="25">
        <f t="shared" si="28"/>
        <v>991.0000000000001</v>
      </c>
      <c r="H436" s="64">
        <f t="shared" si="29"/>
        <v>0.3766903578841436</v>
      </c>
    </row>
    <row r="437" spans="1:8" ht="63.75">
      <c r="A437" s="23"/>
      <c r="B437" s="23" t="s">
        <v>516</v>
      </c>
      <c r="C437" s="23"/>
      <c r="D437" s="24" t="s">
        <v>517</v>
      </c>
      <c r="E437" s="25">
        <f>E438</f>
        <v>1011.1</v>
      </c>
      <c r="F437" s="25">
        <f>F438</f>
        <v>371.8</v>
      </c>
      <c r="G437" s="25">
        <f t="shared" si="28"/>
        <v>639.3</v>
      </c>
      <c r="H437" s="64">
        <f t="shared" si="29"/>
        <v>0.3677183265750173</v>
      </c>
    </row>
    <row r="438" spans="1:8" ht="38.25">
      <c r="A438" s="23"/>
      <c r="B438" s="23"/>
      <c r="C438" s="23" t="s">
        <v>65</v>
      </c>
      <c r="D438" s="24" t="s">
        <v>178</v>
      </c>
      <c r="E438" s="25">
        <v>1011.1</v>
      </c>
      <c r="F438" s="25">
        <v>371.8</v>
      </c>
      <c r="G438" s="25">
        <f t="shared" si="28"/>
        <v>639.3</v>
      </c>
      <c r="H438" s="64">
        <f t="shared" si="29"/>
        <v>0.3677183265750173</v>
      </c>
    </row>
    <row r="439" spans="1:8" ht="63.75">
      <c r="A439" s="23"/>
      <c r="B439" s="23" t="s">
        <v>518</v>
      </c>
      <c r="C439" s="23"/>
      <c r="D439" s="24" t="s">
        <v>519</v>
      </c>
      <c r="E439" s="25">
        <f>E440</f>
        <v>553.1</v>
      </c>
      <c r="F439" s="25">
        <f>F440</f>
        <v>213.2</v>
      </c>
      <c r="G439" s="25">
        <f t="shared" si="28"/>
        <v>339.90000000000003</v>
      </c>
      <c r="H439" s="64">
        <f t="shared" si="29"/>
        <v>0.38546374977400105</v>
      </c>
    </row>
    <row r="440" spans="1:8" ht="38.25">
      <c r="A440" s="23"/>
      <c r="B440" s="23"/>
      <c r="C440" s="23" t="s">
        <v>65</v>
      </c>
      <c r="D440" s="24" t="s">
        <v>178</v>
      </c>
      <c r="E440" s="25">
        <v>553.1</v>
      </c>
      <c r="F440" s="25">
        <v>213.2</v>
      </c>
      <c r="G440" s="25">
        <f t="shared" si="28"/>
        <v>339.90000000000003</v>
      </c>
      <c r="H440" s="64">
        <f t="shared" si="29"/>
        <v>0.38546374977400105</v>
      </c>
    </row>
    <row r="441" spans="1:8" ht="12.75">
      <c r="A441" s="23"/>
      <c r="B441" s="23" t="s">
        <v>73</v>
      </c>
      <c r="C441" s="23"/>
      <c r="D441" s="24" t="s">
        <v>362</v>
      </c>
      <c r="E441" s="25">
        <f>E442</f>
        <v>10523</v>
      </c>
      <c r="F441" s="25">
        <f>F442</f>
        <v>5532.5</v>
      </c>
      <c r="G441" s="25">
        <f t="shared" si="28"/>
        <v>4990.5</v>
      </c>
      <c r="H441" s="64">
        <f t="shared" si="29"/>
        <v>0.5257531122303526</v>
      </c>
    </row>
    <row r="442" spans="1:8" ht="38.25">
      <c r="A442" s="23"/>
      <c r="B442" s="23" t="s">
        <v>215</v>
      </c>
      <c r="C442" s="23"/>
      <c r="D442" s="24" t="s">
        <v>216</v>
      </c>
      <c r="E442" s="25">
        <f>E443</f>
        <v>10523</v>
      </c>
      <c r="F442" s="25">
        <f>F443</f>
        <v>5532.5</v>
      </c>
      <c r="G442" s="25">
        <f t="shared" si="28"/>
        <v>4990.5</v>
      </c>
      <c r="H442" s="64">
        <f t="shared" si="29"/>
        <v>0.5257531122303526</v>
      </c>
    </row>
    <row r="443" spans="1:8" ht="38.25">
      <c r="A443" s="23"/>
      <c r="B443" s="23"/>
      <c r="C443" s="23" t="s">
        <v>65</v>
      </c>
      <c r="D443" s="24" t="s">
        <v>178</v>
      </c>
      <c r="E443" s="25">
        <v>10523</v>
      </c>
      <c r="F443" s="25">
        <v>5532.5</v>
      </c>
      <c r="G443" s="25">
        <f t="shared" si="28"/>
        <v>4990.5</v>
      </c>
      <c r="H443" s="64">
        <f t="shared" si="29"/>
        <v>0.5257531122303526</v>
      </c>
    </row>
    <row r="444" spans="1:8" ht="38.25">
      <c r="A444" s="23"/>
      <c r="B444" s="23" t="s">
        <v>475</v>
      </c>
      <c r="C444" s="23"/>
      <c r="D444" s="24" t="s">
        <v>478</v>
      </c>
      <c r="E444" s="25">
        <f>E445</f>
        <v>8847.1</v>
      </c>
      <c r="F444" s="25">
        <f>F445</f>
        <v>8750.3</v>
      </c>
      <c r="G444" s="57">
        <f t="shared" si="28"/>
        <v>96.80000000000109</v>
      </c>
      <c r="H444" s="59">
        <f t="shared" si="29"/>
        <v>0.9890585615625458</v>
      </c>
    </row>
    <row r="445" spans="1:8" ht="51">
      <c r="A445" s="23"/>
      <c r="B445" s="23" t="s">
        <v>477</v>
      </c>
      <c r="C445" s="23"/>
      <c r="D445" s="24" t="s">
        <v>476</v>
      </c>
      <c r="E445" s="25">
        <f>E446+E447</f>
        <v>8847.1</v>
      </c>
      <c r="F445" s="25">
        <f>F446+F447</f>
        <v>8750.3</v>
      </c>
      <c r="G445" s="57">
        <f t="shared" si="28"/>
        <v>96.80000000000109</v>
      </c>
      <c r="H445" s="59">
        <f t="shared" si="29"/>
        <v>0.9890585615625458</v>
      </c>
    </row>
    <row r="446" spans="1:8" ht="12.75">
      <c r="A446" s="23"/>
      <c r="B446" s="23"/>
      <c r="C446" s="23" t="s">
        <v>49</v>
      </c>
      <c r="D446" s="24" t="s">
        <v>50</v>
      </c>
      <c r="E446" s="25">
        <v>2393.8</v>
      </c>
      <c r="F446" s="25">
        <v>2393.8</v>
      </c>
      <c r="G446" s="57">
        <f t="shared" si="28"/>
        <v>0</v>
      </c>
      <c r="H446" s="59">
        <f t="shared" si="29"/>
        <v>1</v>
      </c>
    </row>
    <row r="447" spans="1:8" ht="38.25">
      <c r="A447" s="23"/>
      <c r="B447" s="23"/>
      <c r="C447" s="23" t="s">
        <v>65</v>
      </c>
      <c r="D447" s="24" t="s">
        <v>178</v>
      </c>
      <c r="E447" s="25">
        <v>6453.3</v>
      </c>
      <c r="F447" s="25">
        <v>6356.5</v>
      </c>
      <c r="G447" s="57">
        <f>E447-F447</f>
        <v>96.80000000000018</v>
      </c>
      <c r="H447" s="59">
        <f>F447/E447</f>
        <v>0.9849999225202609</v>
      </c>
    </row>
    <row r="448" spans="1:8" ht="12.75">
      <c r="A448" s="23"/>
      <c r="B448" s="23"/>
      <c r="C448" s="23"/>
      <c r="D448" s="24"/>
      <c r="E448" s="25"/>
      <c r="F448" s="25"/>
      <c r="G448" s="25"/>
      <c r="H448" s="64"/>
    </row>
    <row r="449" spans="1:8" s="35" customFormat="1" ht="12.75">
      <c r="A449" s="21" t="s">
        <v>114</v>
      </c>
      <c r="B449" s="21"/>
      <c r="C449" s="21"/>
      <c r="D449" s="38" t="s">
        <v>115</v>
      </c>
      <c r="E449" s="36">
        <f aca="true" t="shared" si="30" ref="E449:F453">E450</f>
        <v>23229.8</v>
      </c>
      <c r="F449" s="36">
        <f t="shared" si="30"/>
        <v>8617</v>
      </c>
      <c r="G449" s="36">
        <f t="shared" si="28"/>
        <v>14612.8</v>
      </c>
      <c r="H449" s="65">
        <f t="shared" si="29"/>
        <v>0.3709459401286279</v>
      </c>
    </row>
    <row r="450" spans="1:8" ht="12.75">
      <c r="A450" s="23" t="s">
        <v>116</v>
      </c>
      <c r="B450" s="23"/>
      <c r="C450" s="23"/>
      <c r="D450" s="24" t="s">
        <v>117</v>
      </c>
      <c r="E450" s="25">
        <f>E451</f>
        <v>23229.8</v>
      </c>
      <c r="F450" s="25">
        <f t="shared" si="30"/>
        <v>8617</v>
      </c>
      <c r="G450" s="25">
        <f t="shared" si="28"/>
        <v>14612.8</v>
      </c>
      <c r="H450" s="64">
        <f t="shared" si="29"/>
        <v>0.3709459401286279</v>
      </c>
    </row>
    <row r="451" spans="1:8" ht="25.5">
      <c r="A451" s="23"/>
      <c r="B451" s="23" t="s">
        <v>81</v>
      </c>
      <c r="C451" s="50"/>
      <c r="D451" s="49" t="s">
        <v>326</v>
      </c>
      <c r="E451" s="25">
        <f>E452+E455</f>
        <v>23229.8</v>
      </c>
      <c r="F451" s="25">
        <f>F452+F455</f>
        <v>8617</v>
      </c>
      <c r="G451" s="25">
        <f t="shared" si="28"/>
        <v>14612.8</v>
      </c>
      <c r="H451" s="64">
        <f t="shared" si="29"/>
        <v>0.3709459401286279</v>
      </c>
    </row>
    <row r="452" spans="1:8" ht="102">
      <c r="A452" s="23"/>
      <c r="B452" s="23" t="s">
        <v>327</v>
      </c>
      <c r="C452" s="50"/>
      <c r="D452" s="49" t="s">
        <v>328</v>
      </c>
      <c r="E452" s="25">
        <f t="shared" si="30"/>
        <v>23043.8</v>
      </c>
      <c r="F452" s="25">
        <f t="shared" si="30"/>
        <v>8617</v>
      </c>
      <c r="G452" s="25">
        <f t="shared" si="28"/>
        <v>14426.8</v>
      </c>
      <c r="H452" s="64">
        <f t="shared" si="29"/>
        <v>0.3739400619689461</v>
      </c>
    </row>
    <row r="453" spans="1:8" ht="38.25">
      <c r="A453" s="23"/>
      <c r="B453" s="23" t="s">
        <v>324</v>
      </c>
      <c r="C453" s="23"/>
      <c r="D453" s="24" t="s">
        <v>325</v>
      </c>
      <c r="E453" s="25">
        <f t="shared" si="30"/>
        <v>23043.8</v>
      </c>
      <c r="F453" s="25">
        <f t="shared" si="30"/>
        <v>8617</v>
      </c>
      <c r="G453" s="25">
        <f t="shared" si="28"/>
        <v>14426.8</v>
      </c>
      <c r="H453" s="64">
        <f t="shared" si="29"/>
        <v>0.3739400619689461</v>
      </c>
    </row>
    <row r="454" spans="1:8" ht="38.25">
      <c r="A454" s="23"/>
      <c r="B454" s="23"/>
      <c r="C454" s="23" t="s">
        <v>65</v>
      </c>
      <c r="D454" s="24" t="s">
        <v>178</v>
      </c>
      <c r="E454" s="25">
        <v>23043.8</v>
      </c>
      <c r="F454" s="25">
        <v>8617</v>
      </c>
      <c r="G454" s="25">
        <f t="shared" si="28"/>
        <v>14426.8</v>
      </c>
      <c r="H454" s="64">
        <f t="shared" si="29"/>
        <v>0.3739400619689461</v>
      </c>
    </row>
    <row r="455" spans="1:8" ht="51">
      <c r="A455" s="23"/>
      <c r="B455" s="23" t="s">
        <v>1034</v>
      </c>
      <c r="C455" s="23"/>
      <c r="D455" s="49" t="s">
        <v>1064</v>
      </c>
      <c r="E455" s="25">
        <f>E456</f>
        <v>186</v>
      </c>
      <c r="F455" s="25">
        <f>F456</f>
        <v>0</v>
      </c>
      <c r="G455" s="57">
        <f>E455-F455</f>
        <v>186</v>
      </c>
      <c r="H455" s="59">
        <f>F455/E455</f>
        <v>0</v>
      </c>
    </row>
    <row r="456" spans="1:8" ht="25.5">
      <c r="A456" s="23"/>
      <c r="B456" s="23" t="s">
        <v>1033</v>
      </c>
      <c r="C456" s="23"/>
      <c r="D456" s="24" t="s">
        <v>1065</v>
      </c>
      <c r="E456" s="25">
        <f>E457</f>
        <v>186</v>
      </c>
      <c r="F456" s="25">
        <f>F457</f>
        <v>0</v>
      </c>
      <c r="G456" s="57">
        <f>E456-F456</f>
        <v>186</v>
      </c>
      <c r="H456" s="59">
        <f>F456/E456</f>
        <v>0</v>
      </c>
    </row>
    <row r="457" spans="1:8" ht="38.25">
      <c r="A457" s="23"/>
      <c r="B457" s="23"/>
      <c r="C457" s="23" t="s">
        <v>65</v>
      </c>
      <c r="D457" s="24" t="s">
        <v>178</v>
      </c>
      <c r="E457" s="25">
        <v>186</v>
      </c>
      <c r="F457" s="25">
        <v>0</v>
      </c>
      <c r="G457" s="57">
        <f>E457-F457</f>
        <v>186</v>
      </c>
      <c r="H457" s="59">
        <f>F457/E457</f>
        <v>0</v>
      </c>
    </row>
    <row r="458" spans="1:8" ht="12.75">
      <c r="A458" s="23"/>
      <c r="B458" s="23"/>
      <c r="C458" s="23"/>
      <c r="D458" s="24"/>
      <c r="E458" s="25"/>
      <c r="F458" s="25"/>
      <c r="G458" s="25"/>
      <c r="H458" s="64"/>
    </row>
    <row r="459" spans="1:8" s="35" customFormat="1" ht="12.75">
      <c r="A459" s="21" t="s">
        <v>118</v>
      </c>
      <c r="B459" s="21"/>
      <c r="C459" s="21"/>
      <c r="D459" s="38" t="s">
        <v>119</v>
      </c>
      <c r="E459" s="36">
        <f>E461+E464+E520+E525</f>
        <v>60268</v>
      </c>
      <c r="F459" s="36">
        <f>F461+F464+F520+F525</f>
        <v>27671.200000000004</v>
      </c>
      <c r="G459" s="36">
        <f t="shared" si="28"/>
        <v>32596.799999999996</v>
      </c>
      <c r="H459" s="65">
        <f t="shared" si="29"/>
        <v>0.4591358598261101</v>
      </c>
    </row>
    <row r="460" spans="1:8" ht="12.75">
      <c r="A460" s="23" t="s">
        <v>120</v>
      </c>
      <c r="B460" s="23"/>
      <c r="C460" s="23"/>
      <c r="D460" s="24" t="s">
        <v>121</v>
      </c>
      <c r="E460" s="25">
        <f aca="true" t="shared" si="31" ref="E460:F462">E461</f>
        <v>3147.3</v>
      </c>
      <c r="F460" s="25">
        <f t="shared" si="31"/>
        <v>1433.1999999999998</v>
      </c>
      <c r="G460" s="25">
        <f t="shared" si="28"/>
        <v>1714.1000000000004</v>
      </c>
      <c r="H460" s="64">
        <f t="shared" si="29"/>
        <v>0.4553744479395036</v>
      </c>
    </row>
    <row r="461" spans="1:8" ht="12.75">
      <c r="A461" s="23"/>
      <c r="B461" s="23" t="s">
        <v>74</v>
      </c>
      <c r="C461" s="23"/>
      <c r="D461" s="24" t="s">
        <v>287</v>
      </c>
      <c r="E461" s="25">
        <f t="shared" si="31"/>
        <v>3147.3</v>
      </c>
      <c r="F461" s="25">
        <f t="shared" si="31"/>
        <v>1433.1999999999998</v>
      </c>
      <c r="G461" s="25">
        <f t="shared" si="28"/>
        <v>1714.1000000000004</v>
      </c>
      <c r="H461" s="64">
        <f t="shared" si="29"/>
        <v>0.4553744479395036</v>
      </c>
    </row>
    <row r="462" spans="1:8" ht="63.75">
      <c r="A462" s="23"/>
      <c r="B462" s="23" t="s">
        <v>151</v>
      </c>
      <c r="C462" s="23"/>
      <c r="D462" s="24" t="s">
        <v>152</v>
      </c>
      <c r="E462" s="25">
        <f t="shared" si="31"/>
        <v>3147.3</v>
      </c>
      <c r="F462" s="25">
        <f t="shared" si="31"/>
        <v>1433.1999999999998</v>
      </c>
      <c r="G462" s="25">
        <f t="shared" si="28"/>
        <v>1714.1000000000004</v>
      </c>
      <c r="H462" s="64">
        <f t="shared" si="29"/>
        <v>0.4553744479395036</v>
      </c>
    </row>
    <row r="463" spans="1:8" ht="25.5">
      <c r="A463" s="23"/>
      <c r="B463" s="23"/>
      <c r="C463" s="23" t="s">
        <v>47</v>
      </c>
      <c r="D463" s="24" t="s">
        <v>48</v>
      </c>
      <c r="E463" s="25">
        <f>134.1+363+26.2+2340.3+119.7+164</f>
        <v>3147.3</v>
      </c>
      <c r="F463" s="25">
        <f>65.1+203.3+13.3+1015.6+58.1+77.8</f>
        <v>1433.1999999999998</v>
      </c>
      <c r="G463" s="25">
        <f t="shared" si="28"/>
        <v>1714.1000000000004</v>
      </c>
      <c r="H463" s="64">
        <f t="shared" si="29"/>
        <v>0.4553744479395036</v>
      </c>
    </row>
    <row r="464" spans="1:8" ht="12.75">
      <c r="A464" s="23" t="s">
        <v>122</v>
      </c>
      <c r="B464" s="23"/>
      <c r="C464" s="23"/>
      <c r="D464" s="24" t="s">
        <v>123</v>
      </c>
      <c r="E464" s="25">
        <f>E465+E474+E491+E502</f>
        <v>40998.4</v>
      </c>
      <c r="F464" s="25">
        <f>F465+F474+F491+F502</f>
        <v>19551.300000000003</v>
      </c>
      <c r="G464" s="25">
        <f t="shared" si="28"/>
        <v>21447.1</v>
      </c>
      <c r="H464" s="64">
        <f t="shared" si="29"/>
        <v>0.4768795855448018</v>
      </c>
    </row>
    <row r="465" spans="1:8" ht="25.5">
      <c r="A465" s="23"/>
      <c r="B465" s="23" t="s">
        <v>55</v>
      </c>
      <c r="C465" s="50"/>
      <c r="D465" s="49" t="s">
        <v>333</v>
      </c>
      <c r="E465" s="25">
        <f>E466+E469</f>
        <v>2184.6000000000004</v>
      </c>
      <c r="F465" s="25">
        <f>F466+F469</f>
        <v>450.8</v>
      </c>
      <c r="G465" s="25">
        <f t="shared" si="28"/>
        <v>1733.8000000000004</v>
      </c>
      <c r="H465" s="64">
        <f t="shared" si="29"/>
        <v>0.20635356587018217</v>
      </c>
    </row>
    <row r="466" spans="1:8" ht="38.25">
      <c r="A466" s="23"/>
      <c r="B466" s="23" t="s">
        <v>342</v>
      </c>
      <c r="C466" s="50"/>
      <c r="D466" s="49" t="s">
        <v>343</v>
      </c>
      <c r="E466" s="25">
        <f>E467</f>
        <v>1292.9</v>
      </c>
      <c r="F466" s="25">
        <f>F467</f>
        <v>450.8</v>
      </c>
      <c r="G466" s="25">
        <f t="shared" si="28"/>
        <v>842.1000000000001</v>
      </c>
      <c r="H466" s="64">
        <f t="shared" si="29"/>
        <v>0.3486735246345425</v>
      </c>
    </row>
    <row r="467" spans="1:8" ht="38.25">
      <c r="A467" s="23"/>
      <c r="B467" s="23" t="s">
        <v>353</v>
      </c>
      <c r="C467" s="23"/>
      <c r="D467" s="24" t="s">
        <v>144</v>
      </c>
      <c r="E467" s="25">
        <f>E468</f>
        <v>1292.9</v>
      </c>
      <c r="F467" s="25">
        <f>F468</f>
        <v>450.8</v>
      </c>
      <c r="G467" s="25">
        <f t="shared" si="28"/>
        <v>842.1000000000001</v>
      </c>
      <c r="H467" s="64">
        <f t="shared" si="29"/>
        <v>0.3486735246345425</v>
      </c>
    </row>
    <row r="468" spans="1:8" ht="25.5">
      <c r="A468" s="23"/>
      <c r="B468" s="23"/>
      <c r="C468" s="23" t="s">
        <v>47</v>
      </c>
      <c r="D468" s="24" t="s">
        <v>48</v>
      </c>
      <c r="E468" s="25">
        <v>1292.9</v>
      </c>
      <c r="F468" s="25">
        <v>450.8</v>
      </c>
      <c r="G468" s="25">
        <f t="shared" si="28"/>
        <v>842.1000000000001</v>
      </c>
      <c r="H468" s="64">
        <f t="shared" si="29"/>
        <v>0.3486735246345425</v>
      </c>
    </row>
    <row r="469" spans="1:8" ht="38.25">
      <c r="A469" s="23"/>
      <c r="B469" s="23" t="s">
        <v>339</v>
      </c>
      <c r="C469" s="50"/>
      <c r="D469" s="49" t="s">
        <v>340</v>
      </c>
      <c r="E469" s="25">
        <f>E470+E472</f>
        <v>891.7</v>
      </c>
      <c r="F469" s="25">
        <f>F470+F472</f>
        <v>0</v>
      </c>
      <c r="G469" s="25">
        <f t="shared" si="28"/>
        <v>891.7</v>
      </c>
      <c r="H469" s="64">
        <f t="shared" si="29"/>
        <v>0</v>
      </c>
    </row>
    <row r="470" spans="1:8" ht="38.25">
      <c r="A470" s="23"/>
      <c r="B470" s="23" t="s">
        <v>338</v>
      </c>
      <c r="C470" s="23"/>
      <c r="D470" s="24" t="s">
        <v>103</v>
      </c>
      <c r="E470" s="25">
        <f>E471</f>
        <v>245</v>
      </c>
      <c r="F470" s="25">
        <f>F471</f>
        <v>0</v>
      </c>
      <c r="G470" s="25">
        <f t="shared" si="28"/>
        <v>245</v>
      </c>
      <c r="H470" s="64">
        <f t="shared" si="29"/>
        <v>0</v>
      </c>
    </row>
    <row r="471" spans="1:8" ht="25.5">
      <c r="A471" s="23"/>
      <c r="B471" s="23"/>
      <c r="C471" s="23" t="s">
        <v>47</v>
      </c>
      <c r="D471" s="24" t="s">
        <v>48</v>
      </c>
      <c r="E471" s="25">
        <v>245</v>
      </c>
      <c r="F471" s="25">
        <v>0</v>
      </c>
      <c r="G471" s="25">
        <f t="shared" si="28"/>
        <v>245</v>
      </c>
      <c r="H471" s="64">
        <f t="shared" si="29"/>
        <v>0</v>
      </c>
    </row>
    <row r="472" spans="1:8" ht="25.5">
      <c r="A472" s="23"/>
      <c r="B472" s="23" t="s">
        <v>1038</v>
      </c>
      <c r="C472" s="23"/>
      <c r="D472" s="24" t="s">
        <v>1068</v>
      </c>
      <c r="E472" s="25">
        <f>E473</f>
        <v>646.7</v>
      </c>
      <c r="F472" s="25">
        <f>F473</f>
        <v>0</v>
      </c>
      <c r="G472" s="57">
        <f>E472-F472</f>
        <v>646.7</v>
      </c>
      <c r="H472" s="59">
        <f>F472/E472</f>
        <v>0</v>
      </c>
    </row>
    <row r="473" spans="1:8" ht="25.5">
      <c r="A473" s="23"/>
      <c r="B473" s="23"/>
      <c r="C473" s="23" t="s">
        <v>47</v>
      </c>
      <c r="D473" s="24" t="s">
        <v>48</v>
      </c>
      <c r="E473" s="25">
        <v>646.7</v>
      </c>
      <c r="F473" s="25">
        <v>0</v>
      </c>
      <c r="G473" s="57">
        <f>E473-F473</f>
        <v>646.7</v>
      </c>
      <c r="H473" s="59">
        <f>F473/E473</f>
        <v>0</v>
      </c>
    </row>
    <row r="474" spans="1:8" ht="38.25">
      <c r="A474" s="23"/>
      <c r="B474" s="23" t="s">
        <v>60</v>
      </c>
      <c r="C474" s="23"/>
      <c r="D474" s="49" t="s">
        <v>301</v>
      </c>
      <c r="E474" s="25">
        <f>E475</f>
        <v>14452.5</v>
      </c>
      <c r="F474" s="25">
        <f>F475</f>
        <v>7516</v>
      </c>
      <c r="G474" s="25">
        <f t="shared" si="28"/>
        <v>6936.5</v>
      </c>
      <c r="H474" s="64">
        <f t="shared" si="29"/>
        <v>0.5200484345268984</v>
      </c>
    </row>
    <row r="475" spans="1:8" ht="76.5">
      <c r="A475" s="23"/>
      <c r="B475" s="23" t="s">
        <v>300</v>
      </c>
      <c r="C475" s="23"/>
      <c r="D475" s="49" t="s">
        <v>302</v>
      </c>
      <c r="E475" s="25">
        <f>E480+E483+E486+E478+E476+E489</f>
        <v>14452.5</v>
      </c>
      <c r="F475" s="25">
        <f>F480+F483+F486+F478+F476+F489</f>
        <v>7516</v>
      </c>
      <c r="G475" s="25">
        <f t="shared" si="28"/>
        <v>6936.5</v>
      </c>
      <c r="H475" s="64">
        <f t="shared" si="29"/>
        <v>0.5200484345268984</v>
      </c>
    </row>
    <row r="476" spans="1:8" ht="90.75" customHeight="1">
      <c r="A476" s="23"/>
      <c r="B476" s="23" t="s">
        <v>375</v>
      </c>
      <c r="C476" s="23"/>
      <c r="D476" s="49" t="s">
        <v>526</v>
      </c>
      <c r="E476" s="25">
        <f>E477</f>
        <v>2357.4</v>
      </c>
      <c r="F476" s="25">
        <f>F477</f>
        <v>2357.4</v>
      </c>
      <c r="G476" s="25">
        <f t="shared" si="28"/>
        <v>0</v>
      </c>
      <c r="H476" s="64">
        <f t="shared" si="29"/>
        <v>1</v>
      </c>
    </row>
    <row r="477" spans="1:8" ht="25.5">
      <c r="A477" s="23"/>
      <c r="B477" s="23"/>
      <c r="C477" s="23" t="s">
        <v>47</v>
      </c>
      <c r="D477" s="24" t="s">
        <v>48</v>
      </c>
      <c r="E477" s="25">
        <v>2357.4</v>
      </c>
      <c r="F477" s="25">
        <v>2357.4</v>
      </c>
      <c r="G477" s="25">
        <f t="shared" si="28"/>
        <v>0</v>
      </c>
      <c r="H477" s="64">
        <f t="shared" si="29"/>
        <v>1</v>
      </c>
    </row>
    <row r="478" spans="1:8" ht="76.5">
      <c r="A478" s="23"/>
      <c r="B478" s="23" t="s">
        <v>376</v>
      </c>
      <c r="C478" s="23"/>
      <c r="D478" s="49" t="s">
        <v>377</v>
      </c>
      <c r="E478" s="25">
        <f>E479</f>
        <v>1178.7</v>
      </c>
      <c r="F478" s="25">
        <f>F479</f>
        <v>589.4</v>
      </c>
      <c r="G478" s="25">
        <f t="shared" si="28"/>
        <v>589.3000000000001</v>
      </c>
      <c r="H478" s="64">
        <f t="shared" si="29"/>
        <v>0.5000424196148299</v>
      </c>
    </row>
    <row r="479" spans="1:8" ht="25.5">
      <c r="A479" s="23"/>
      <c r="B479" s="23"/>
      <c r="C479" s="23" t="s">
        <v>47</v>
      </c>
      <c r="D479" s="24" t="s">
        <v>48</v>
      </c>
      <c r="E479" s="25">
        <v>1178.7</v>
      </c>
      <c r="F479" s="25">
        <v>589.4</v>
      </c>
      <c r="G479" s="25">
        <f aca="true" t="shared" si="32" ref="G479:G558">E479-F479</f>
        <v>589.3000000000001</v>
      </c>
      <c r="H479" s="64">
        <f t="shared" si="29"/>
        <v>0.5000424196148299</v>
      </c>
    </row>
    <row r="480" spans="1:8" ht="51">
      <c r="A480" s="23"/>
      <c r="B480" s="23" t="s">
        <v>298</v>
      </c>
      <c r="C480" s="23"/>
      <c r="D480" s="24" t="s">
        <v>299</v>
      </c>
      <c r="E480" s="25">
        <f>E482+E481</f>
        <v>994.5000000000001</v>
      </c>
      <c r="F480" s="25">
        <f>F482+F481</f>
        <v>298.3</v>
      </c>
      <c r="G480" s="25">
        <f t="shared" si="32"/>
        <v>696.2</v>
      </c>
      <c r="H480" s="64">
        <f aca="true" t="shared" si="33" ref="H480:H559">F480/E480</f>
        <v>0.29994972347913523</v>
      </c>
    </row>
    <row r="481" spans="1:8" ht="12.75">
      <c r="A481" s="23"/>
      <c r="B481" s="23"/>
      <c r="C481" s="50" t="s">
        <v>49</v>
      </c>
      <c r="D481" s="49" t="s">
        <v>50</v>
      </c>
      <c r="E481" s="25">
        <v>107.1</v>
      </c>
      <c r="F481" s="25">
        <v>32.1</v>
      </c>
      <c r="G481" s="25">
        <f t="shared" si="32"/>
        <v>75</v>
      </c>
      <c r="H481" s="64">
        <f t="shared" si="33"/>
        <v>0.2997198879551821</v>
      </c>
    </row>
    <row r="482" spans="1:8" ht="38.25">
      <c r="A482" s="23"/>
      <c r="B482" s="23"/>
      <c r="C482" s="23" t="s">
        <v>65</v>
      </c>
      <c r="D482" s="24" t="s">
        <v>178</v>
      </c>
      <c r="E482" s="25">
        <f>214.2+535.5+137.7</f>
        <v>887.4000000000001</v>
      </c>
      <c r="F482" s="25">
        <f>214.2+10.7+41.3</f>
        <v>266.2</v>
      </c>
      <c r="G482" s="25">
        <f t="shared" si="32"/>
        <v>621.2</v>
      </c>
      <c r="H482" s="64">
        <f t="shared" si="33"/>
        <v>0.29997746224926747</v>
      </c>
    </row>
    <row r="483" spans="1:8" ht="92.25" customHeight="1">
      <c r="A483" s="23"/>
      <c r="B483" s="23" t="s">
        <v>363</v>
      </c>
      <c r="C483" s="23"/>
      <c r="D483" s="24" t="s">
        <v>246</v>
      </c>
      <c r="E483" s="25">
        <f>E484+E485</f>
        <v>7478</v>
      </c>
      <c r="F483" s="25">
        <f>F484+F485</f>
        <v>3637.7999999999997</v>
      </c>
      <c r="G483" s="25">
        <f t="shared" si="32"/>
        <v>3840.2000000000003</v>
      </c>
      <c r="H483" s="64">
        <f t="shared" si="33"/>
        <v>0.48646696977801546</v>
      </c>
    </row>
    <row r="484" spans="1:8" ht="25.5">
      <c r="A484" s="23"/>
      <c r="B484" s="23"/>
      <c r="C484" s="23" t="s">
        <v>47</v>
      </c>
      <c r="D484" s="24" t="s">
        <v>48</v>
      </c>
      <c r="E484" s="25">
        <f>1911.6+55.4</f>
        <v>1967</v>
      </c>
      <c r="F484" s="25">
        <f>869.5+8.1</f>
        <v>877.6</v>
      </c>
      <c r="G484" s="25">
        <f t="shared" si="32"/>
        <v>1089.4</v>
      </c>
      <c r="H484" s="64">
        <f t="shared" si="33"/>
        <v>0.4461616675139807</v>
      </c>
    </row>
    <row r="485" spans="1:8" ht="38.25">
      <c r="A485" s="23"/>
      <c r="B485" s="23"/>
      <c r="C485" s="23" t="s">
        <v>65</v>
      </c>
      <c r="D485" s="24" t="s">
        <v>178</v>
      </c>
      <c r="E485" s="25">
        <f>4968.2+542.8</f>
        <v>5511</v>
      </c>
      <c r="F485" s="25">
        <f>2484+276.2</f>
        <v>2760.2</v>
      </c>
      <c r="G485" s="25">
        <f t="shared" si="32"/>
        <v>2750.8</v>
      </c>
      <c r="H485" s="64">
        <f t="shared" si="33"/>
        <v>0.5008528397749954</v>
      </c>
    </row>
    <row r="486" spans="1:8" ht="77.25" customHeight="1">
      <c r="A486" s="23"/>
      <c r="B486" s="23" t="s">
        <v>329</v>
      </c>
      <c r="C486" s="23"/>
      <c r="D486" s="24" t="s">
        <v>330</v>
      </c>
      <c r="E486" s="25">
        <f>E487+E488</f>
        <v>1298.3000000000002</v>
      </c>
      <c r="F486" s="25">
        <f>F487+F488</f>
        <v>633.1</v>
      </c>
      <c r="G486" s="25">
        <f t="shared" si="32"/>
        <v>665.2000000000002</v>
      </c>
      <c r="H486" s="64">
        <f t="shared" si="33"/>
        <v>0.4876376800431333</v>
      </c>
    </row>
    <row r="487" spans="1:8" ht="25.5">
      <c r="A487" s="23"/>
      <c r="B487" s="23"/>
      <c r="C487" s="23" t="s">
        <v>47</v>
      </c>
      <c r="D487" s="24" t="s">
        <v>48</v>
      </c>
      <c r="E487" s="25">
        <v>63.4</v>
      </c>
      <c r="F487" s="25">
        <v>22.9</v>
      </c>
      <c r="G487" s="25">
        <f t="shared" si="32"/>
        <v>40.5</v>
      </c>
      <c r="H487" s="64">
        <f t="shared" si="33"/>
        <v>0.361198738170347</v>
      </c>
    </row>
    <row r="488" spans="1:8" ht="38.25">
      <c r="A488" s="23"/>
      <c r="B488" s="23"/>
      <c r="C488" s="23" t="s">
        <v>65</v>
      </c>
      <c r="D488" s="24" t="s">
        <v>178</v>
      </c>
      <c r="E488" s="25">
        <f>1099.9+135</f>
        <v>1234.9</v>
      </c>
      <c r="F488" s="25">
        <f>558.7+51.5</f>
        <v>610.2</v>
      </c>
      <c r="G488" s="25">
        <f t="shared" si="32"/>
        <v>624.7</v>
      </c>
      <c r="H488" s="64">
        <f t="shared" si="33"/>
        <v>0.4941290792776743</v>
      </c>
    </row>
    <row r="489" spans="1:8" ht="51">
      <c r="A489" s="23"/>
      <c r="B489" s="23" t="s">
        <v>1031</v>
      </c>
      <c r="C489" s="23"/>
      <c r="D489" s="49" t="s">
        <v>1062</v>
      </c>
      <c r="E489" s="25">
        <f>E490</f>
        <v>1145.6</v>
      </c>
      <c r="F489" s="25">
        <f>F490</f>
        <v>0</v>
      </c>
      <c r="G489" s="57">
        <f>E489-F489</f>
        <v>1145.6</v>
      </c>
      <c r="H489" s="59">
        <f>F489/E489</f>
        <v>0</v>
      </c>
    </row>
    <row r="490" spans="1:8" ht="25.5">
      <c r="A490" s="23"/>
      <c r="B490" s="23"/>
      <c r="C490" s="23" t="s">
        <v>47</v>
      </c>
      <c r="D490" s="24" t="s">
        <v>48</v>
      </c>
      <c r="E490" s="25">
        <v>1145.6</v>
      </c>
      <c r="F490" s="25">
        <v>0</v>
      </c>
      <c r="G490" s="57">
        <f>E490-F490</f>
        <v>1145.6</v>
      </c>
      <c r="H490" s="59">
        <f>F490/E490</f>
        <v>0</v>
      </c>
    </row>
    <row r="491" spans="1:8" ht="25.5">
      <c r="A491" s="23"/>
      <c r="B491" s="23" t="s">
        <v>62</v>
      </c>
      <c r="C491" s="50"/>
      <c r="D491" s="49" t="s">
        <v>307</v>
      </c>
      <c r="E491" s="25">
        <f>E492</f>
        <v>19994</v>
      </c>
      <c r="F491" s="25">
        <f>F492</f>
        <v>11102.1</v>
      </c>
      <c r="G491" s="25">
        <f t="shared" si="32"/>
        <v>8891.9</v>
      </c>
      <c r="H491" s="64">
        <f t="shared" si="33"/>
        <v>0.5552715814744423</v>
      </c>
    </row>
    <row r="492" spans="1:8" ht="51">
      <c r="A492" s="23"/>
      <c r="B492" s="23" t="s">
        <v>356</v>
      </c>
      <c r="C492" s="50"/>
      <c r="D492" s="49" t="s">
        <v>357</v>
      </c>
      <c r="E492" s="25">
        <f>E497+E500+E495+E493</f>
        <v>19994</v>
      </c>
      <c r="F492" s="25">
        <f>F497+F500+F495+F493</f>
        <v>11102.1</v>
      </c>
      <c r="G492" s="25">
        <f t="shared" si="32"/>
        <v>8891.9</v>
      </c>
      <c r="H492" s="64">
        <f t="shared" si="33"/>
        <v>0.5552715814744423</v>
      </c>
    </row>
    <row r="493" spans="1:8" ht="25.5">
      <c r="A493" s="23"/>
      <c r="B493" s="23" t="s">
        <v>1035</v>
      </c>
      <c r="C493" s="23"/>
      <c r="D493" s="24" t="s">
        <v>1066</v>
      </c>
      <c r="E493" s="25">
        <f>E494</f>
        <v>301.8</v>
      </c>
      <c r="F493" s="25">
        <f>F494</f>
        <v>150.9</v>
      </c>
      <c r="G493" s="57">
        <f t="shared" si="32"/>
        <v>150.9</v>
      </c>
      <c r="H493" s="59">
        <f t="shared" si="33"/>
        <v>0.5</v>
      </c>
    </row>
    <row r="494" spans="1:8" ht="25.5">
      <c r="A494" s="23"/>
      <c r="B494" s="23"/>
      <c r="C494" s="23" t="s">
        <v>47</v>
      </c>
      <c r="D494" s="24" t="s">
        <v>48</v>
      </c>
      <c r="E494" s="25">
        <v>301.8</v>
      </c>
      <c r="F494" s="25">
        <v>150.9</v>
      </c>
      <c r="G494" s="57">
        <f t="shared" si="32"/>
        <v>150.9</v>
      </c>
      <c r="H494" s="59">
        <f t="shared" si="33"/>
        <v>0.5</v>
      </c>
    </row>
    <row r="495" spans="1:8" ht="12.75">
      <c r="A495" s="23"/>
      <c r="B495" s="23" t="s">
        <v>1036</v>
      </c>
      <c r="C495" s="23"/>
      <c r="D495" s="24" t="s">
        <v>494</v>
      </c>
      <c r="E495" s="25">
        <f>E496</f>
        <v>4875.4</v>
      </c>
      <c r="F495" s="25">
        <f>F496</f>
        <v>4541.5</v>
      </c>
      <c r="G495" s="57">
        <f t="shared" si="32"/>
        <v>333.89999999999964</v>
      </c>
      <c r="H495" s="59">
        <f t="shared" si="33"/>
        <v>0.9315133117282686</v>
      </c>
    </row>
    <row r="496" spans="1:8" ht="25.5">
      <c r="A496" s="23"/>
      <c r="B496" s="23"/>
      <c r="C496" s="23" t="s">
        <v>47</v>
      </c>
      <c r="D496" s="24" t="s">
        <v>48</v>
      </c>
      <c r="E496" s="25">
        <v>4875.4</v>
      </c>
      <c r="F496" s="25">
        <v>4541.5</v>
      </c>
      <c r="G496" s="57">
        <f t="shared" si="32"/>
        <v>333.89999999999964</v>
      </c>
      <c r="H496" s="59">
        <f t="shared" si="33"/>
        <v>0.9315133117282686</v>
      </c>
    </row>
    <row r="497" spans="1:8" ht="25.5">
      <c r="A497" s="23"/>
      <c r="B497" s="23" t="s">
        <v>354</v>
      </c>
      <c r="C497" s="23"/>
      <c r="D497" s="24" t="s">
        <v>124</v>
      </c>
      <c r="E497" s="25">
        <f>SUM(E498:E499)</f>
        <v>6322.700000000001</v>
      </c>
      <c r="F497" s="25">
        <f>SUM(F498:F499)</f>
        <v>2360.8</v>
      </c>
      <c r="G497" s="25">
        <f t="shared" si="32"/>
        <v>3961.9000000000005</v>
      </c>
      <c r="H497" s="64">
        <f t="shared" si="33"/>
        <v>0.3733847881443054</v>
      </c>
    </row>
    <row r="498" spans="1:8" ht="25.5">
      <c r="A498" s="23"/>
      <c r="B498" s="23"/>
      <c r="C498" s="23" t="s">
        <v>47</v>
      </c>
      <c r="D498" s="24" t="s">
        <v>48</v>
      </c>
      <c r="E498" s="25">
        <v>1369.9</v>
      </c>
      <c r="F498" s="25">
        <v>0</v>
      </c>
      <c r="G498" s="25">
        <f t="shared" si="32"/>
        <v>1369.9</v>
      </c>
      <c r="H498" s="64">
        <f t="shared" si="33"/>
        <v>0</v>
      </c>
    </row>
    <row r="499" spans="1:8" ht="38.25">
      <c r="A499" s="23"/>
      <c r="B499" s="23"/>
      <c r="C499" s="23" t="s">
        <v>65</v>
      </c>
      <c r="D499" s="24" t="s">
        <v>178</v>
      </c>
      <c r="E499" s="25">
        <v>4952.8</v>
      </c>
      <c r="F499" s="25">
        <v>2360.8</v>
      </c>
      <c r="G499" s="25">
        <f t="shared" si="32"/>
        <v>2592</v>
      </c>
      <c r="H499" s="64">
        <f t="shared" si="33"/>
        <v>0.4766596672589243</v>
      </c>
    </row>
    <row r="500" spans="1:8" ht="25.5">
      <c r="A500" s="23"/>
      <c r="B500" s="23" t="s">
        <v>355</v>
      </c>
      <c r="C500" s="23"/>
      <c r="D500" s="24" t="s">
        <v>125</v>
      </c>
      <c r="E500" s="25">
        <f>E501</f>
        <v>8494.1</v>
      </c>
      <c r="F500" s="25">
        <f>F501</f>
        <v>4048.9</v>
      </c>
      <c r="G500" s="25">
        <f t="shared" si="32"/>
        <v>4445.200000000001</v>
      </c>
      <c r="H500" s="64">
        <f t="shared" si="33"/>
        <v>0.47667204294745763</v>
      </c>
    </row>
    <row r="501" spans="1:8" ht="38.25">
      <c r="A501" s="23"/>
      <c r="B501" s="23"/>
      <c r="C501" s="23" t="s">
        <v>65</v>
      </c>
      <c r="D501" s="24" t="s">
        <v>178</v>
      </c>
      <c r="E501" s="25">
        <v>8494.1</v>
      </c>
      <c r="F501" s="25">
        <v>4048.9</v>
      </c>
      <c r="G501" s="25">
        <f t="shared" si="32"/>
        <v>4445.200000000001</v>
      </c>
      <c r="H501" s="64">
        <f t="shared" si="33"/>
        <v>0.47667204294745763</v>
      </c>
    </row>
    <row r="502" spans="1:8" ht="12.75">
      <c r="A502" s="23"/>
      <c r="B502" s="23" t="s">
        <v>74</v>
      </c>
      <c r="C502" s="23"/>
      <c r="D502" s="24" t="s">
        <v>287</v>
      </c>
      <c r="E502" s="25">
        <f>E503+E506+E516+E510+E512+E514+E518</f>
        <v>4367.3</v>
      </c>
      <c r="F502" s="25">
        <f>F503+F506+F516+F510+F512+F514+F518</f>
        <v>482.4</v>
      </c>
      <c r="G502" s="25">
        <f t="shared" si="32"/>
        <v>3884.9</v>
      </c>
      <c r="H502" s="64">
        <f t="shared" si="33"/>
        <v>0.1104572619238431</v>
      </c>
    </row>
    <row r="503" spans="1:8" ht="63" customHeight="1">
      <c r="A503" s="23"/>
      <c r="B503" s="23" t="s">
        <v>238</v>
      </c>
      <c r="C503" s="23"/>
      <c r="D503" s="24" t="s">
        <v>239</v>
      </c>
      <c r="E503" s="25">
        <f>E505+E504</f>
        <v>497.29999999999995</v>
      </c>
      <c r="F503" s="25">
        <f>F505+F504</f>
        <v>149.2</v>
      </c>
      <c r="G503" s="25">
        <f t="shared" si="32"/>
        <v>348.09999999999997</v>
      </c>
      <c r="H503" s="64">
        <f t="shared" si="33"/>
        <v>0.3000201085863664</v>
      </c>
    </row>
    <row r="504" spans="1:8" ht="12.75">
      <c r="A504" s="23"/>
      <c r="B504" s="23"/>
      <c r="C504" s="50" t="s">
        <v>49</v>
      </c>
      <c r="D504" s="49" t="s">
        <v>50</v>
      </c>
      <c r="E504" s="25">
        <v>53.6</v>
      </c>
      <c r="F504" s="25">
        <v>16.1</v>
      </c>
      <c r="G504" s="25">
        <f t="shared" si="32"/>
        <v>37.5</v>
      </c>
      <c r="H504" s="64">
        <f t="shared" si="33"/>
        <v>0.3003731343283582</v>
      </c>
    </row>
    <row r="505" spans="1:8" ht="38.25">
      <c r="A505" s="23"/>
      <c r="B505" s="23"/>
      <c r="C505" s="23" t="s">
        <v>65</v>
      </c>
      <c r="D505" s="24" t="s">
        <v>178</v>
      </c>
      <c r="E505" s="25">
        <f>107.1+267.7+68.9</f>
        <v>443.69999999999993</v>
      </c>
      <c r="F505" s="25">
        <f>107.1+5.3+20.7</f>
        <v>133.1</v>
      </c>
      <c r="G505" s="25">
        <f t="shared" si="32"/>
        <v>310.5999999999999</v>
      </c>
      <c r="H505" s="64">
        <f t="shared" si="33"/>
        <v>0.2999774622492676</v>
      </c>
    </row>
    <row r="506" spans="1:8" ht="12.75">
      <c r="A506" s="23"/>
      <c r="B506" s="23" t="s">
        <v>460</v>
      </c>
      <c r="C506" s="23"/>
      <c r="D506" s="24" t="s">
        <v>459</v>
      </c>
      <c r="E506" s="25">
        <f>E507+E508+E509</f>
        <v>109</v>
      </c>
      <c r="F506" s="25">
        <f>F507+F508+F509</f>
        <v>88.5</v>
      </c>
      <c r="G506" s="25">
        <f t="shared" si="32"/>
        <v>20.5</v>
      </c>
      <c r="H506" s="64">
        <f t="shared" si="33"/>
        <v>0.8119266055045872</v>
      </c>
    </row>
    <row r="507" spans="1:8" ht="25.5">
      <c r="A507" s="23"/>
      <c r="B507" s="23"/>
      <c r="C507" s="23" t="s">
        <v>47</v>
      </c>
      <c r="D507" s="24" t="s">
        <v>48</v>
      </c>
      <c r="E507" s="25">
        <f>5+9+5+54+0.5+4+1.5</f>
        <v>79</v>
      </c>
      <c r="F507" s="25">
        <f>5+9+5+53.5+0.5+4+1.5</f>
        <v>78.5</v>
      </c>
      <c r="G507" s="25">
        <f t="shared" si="32"/>
        <v>0.5</v>
      </c>
      <c r="H507" s="64">
        <f t="shared" si="33"/>
        <v>0.9936708860759493</v>
      </c>
    </row>
    <row r="508" spans="1:8" ht="38.25">
      <c r="A508" s="23"/>
      <c r="B508" s="23"/>
      <c r="C508" s="23" t="s">
        <v>65</v>
      </c>
      <c r="D508" s="24" t="s">
        <v>178</v>
      </c>
      <c r="E508" s="25">
        <v>10</v>
      </c>
      <c r="F508" s="25">
        <v>10</v>
      </c>
      <c r="G508" s="25">
        <f t="shared" si="32"/>
        <v>0</v>
      </c>
      <c r="H508" s="64">
        <f t="shared" si="33"/>
        <v>1</v>
      </c>
    </row>
    <row r="509" spans="1:8" ht="12.75">
      <c r="A509" s="23"/>
      <c r="B509" s="23"/>
      <c r="C509" s="23" t="s">
        <v>44</v>
      </c>
      <c r="D509" s="24" t="s">
        <v>45</v>
      </c>
      <c r="E509" s="25">
        <v>20</v>
      </c>
      <c r="F509" s="25">
        <v>0</v>
      </c>
      <c r="G509" s="57">
        <f>E509-F509</f>
        <v>20</v>
      </c>
      <c r="H509" s="59">
        <f>F509/E509</f>
        <v>0</v>
      </c>
    </row>
    <row r="510" spans="1:8" ht="12.75">
      <c r="A510" s="23"/>
      <c r="B510" s="23" t="s">
        <v>493</v>
      </c>
      <c r="C510" s="23"/>
      <c r="D510" s="24" t="s">
        <v>494</v>
      </c>
      <c r="E510" s="25">
        <f>E511</f>
        <v>1244.7</v>
      </c>
      <c r="F510" s="25">
        <f>F511</f>
        <v>244.7</v>
      </c>
      <c r="G510" s="25">
        <f t="shared" si="32"/>
        <v>1000</v>
      </c>
      <c r="H510" s="64">
        <f t="shared" si="33"/>
        <v>0.19659355668032455</v>
      </c>
    </row>
    <row r="511" spans="1:8" ht="25.5">
      <c r="A511" s="23"/>
      <c r="B511" s="23"/>
      <c r="C511" s="23" t="s">
        <v>47</v>
      </c>
      <c r="D511" s="24" t="s">
        <v>48</v>
      </c>
      <c r="E511" s="25">
        <v>1244.7</v>
      </c>
      <c r="F511" s="25">
        <v>244.7</v>
      </c>
      <c r="G511" s="25">
        <f t="shared" si="32"/>
        <v>1000</v>
      </c>
      <c r="H511" s="64">
        <f t="shared" si="33"/>
        <v>0.19659355668032455</v>
      </c>
    </row>
    <row r="512" spans="1:8" ht="25.5">
      <c r="A512" s="23"/>
      <c r="B512" s="23" t="s">
        <v>495</v>
      </c>
      <c r="C512" s="23"/>
      <c r="D512" s="24" t="s">
        <v>496</v>
      </c>
      <c r="E512" s="25">
        <f>E513</f>
        <v>260</v>
      </c>
      <c r="F512" s="25">
        <f>F513</f>
        <v>0</v>
      </c>
      <c r="G512" s="25">
        <f t="shared" si="32"/>
        <v>260</v>
      </c>
      <c r="H512" s="64">
        <f t="shared" si="33"/>
        <v>0</v>
      </c>
    </row>
    <row r="513" spans="1:8" ht="25.5">
      <c r="A513" s="23"/>
      <c r="B513" s="23"/>
      <c r="C513" s="23" t="s">
        <v>47</v>
      </c>
      <c r="D513" s="24" t="s">
        <v>48</v>
      </c>
      <c r="E513" s="25">
        <v>260</v>
      </c>
      <c r="F513" s="25">
        <v>0</v>
      </c>
      <c r="G513" s="25">
        <f t="shared" si="32"/>
        <v>260</v>
      </c>
      <c r="H513" s="64">
        <f t="shared" si="33"/>
        <v>0</v>
      </c>
    </row>
    <row r="514" spans="1:8" ht="51">
      <c r="A514" s="23"/>
      <c r="B514" s="23" t="s">
        <v>497</v>
      </c>
      <c r="C514" s="23"/>
      <c r="D514" s="24" t="s">
        <v>462</v>
      </c>
      <c r="E514" s="25">
        <f>E515</f>
        <v>544.8</v>
      </c>
      <c r="F514" s="25">
        <f>F515</f>
        <v>0</v>
      </c>
      <c r="G514" s="25">
        <f t="shared" si="32"/>
        <v>544.8</v>
      </c>
      <c r="H514" s="64">
        <f t="shared" si="33"/>
        <v>0</v>
      </c>
    </row>
    <row r="515" spans="1:8" ht="25.5">
      <c r="A515" s="23"/>
      <c r="B515" s="23"/>
      <c r="C515" s="23" t="s">
        <v>47</v>
      </c>
      <c r="D515" s="24" t="s">
        <v>48</v>
      </c>
      <c r="E515" s="25">
        <v>544.8</v>
      </c>
      <c r="F515" s="25">
        <v>0</v>
      </c>
      <c r="G515" s="25">
        <f t="shared" si="32"/>
        <v>544.8</v>
      </c>
      <c r="H515" s="64">
        <f t="shared" si="33"/>
        <v>0</v>
      </c>
    </row>
    <row r="516" spans="1:8" ht="51">
      <c r="A516" s="23"/>
      <c r="B516" s="23" t="s">
        <v>461</v>
      </c>
      <c r="C516" s="23"/>
      <c r="D516" s="24" t="s">
        <v>1081</v>
      </c>
      <c r="E516" s="25">
        <f>E517</f>
        <v>1461.5</v>
      </c>
      <c r="F516" s="25">
        <f>F517</f>
        <v>0</v>
      </c>
      <c r="G516" s="25">
        <f t="shared" si="32"/>
        <v>1461.5</v>
      </c>
      <c r="H516" s="64">
        <f t="shared" si="33"/>
        <v>0</v>
      </c>
    </row>
    <row r="517" spans="1:8" ht="25.5">
      <c r="A517" s="23"/>
      <c r="B517" s="23"/>
      <c r="C517" s="23" t="s">
        <v>47</v>
      </c>
      <c r="D517" s="24" t="s">
        <v>48</v>
      </c>
      <c r="E517" s="25">
        <v>1461.5</v>
      </c>
      <c r="F517" s="25">
        <v>0</v>
      </c>
      <c r="G517" s="25">
        <f t="shared" si="32"/>
        <v>1461.5</v>
      </c>
      <c r="H517" s="64">
        <f t="shared" si="33"/>
        <v>0</v>
      </c>
    </row>
    <row r="518" spans="1:8" ht="25.5">
      <c r="A518" s="23"/>
      <c r="B518" s="23" t="s">
        <v>498</v>
      </c>
      <c r="C518" s="23"/>
      <c r="D518" s="24" t="s">
        <v>499</v>
      </c>
      <c r="E518" s="25">
        <f>E519</f>
        <v>250</v>
      </c>
      <c r="F518" s="25">
        <f>F519</f>
        <v>0</v>
      </c>
      <c r="G518" s="25">
        <f t="shared" si="32"/>
        <v>250</v>
      </c>
      <c r="H518" s="64">
        <f t="shared" si="33"/>
        <v>0</v>
      </c>
    </row>
    <row r="519" spans="1:8" ht="25.5">
      <c r="A519" s="23"/>
      <c r="B519" s="23"/>
      <c r="C519" s="23" t="s">
        <v>47</v>
      </c>
      <c r="D519" s="24" t="s">
        <v>48</v>
      </c>
      <c r="E519" s="25">
        <v>250</v>
      </c>
      <c r="F519" s="25">
        <v>0</v>
      </c>
      <c r="G519" s="25">
        <f t="shared" si="32"/>
        <v>250</v>
      </c>
      <c r="H519" s="64">
        <f t="shared" si="33"/>
        <v>0</v>
      </c>
    </row>
    <row r="520" spans="1:8" ht="12.75">
      <c r="A520" s="23" t="s">
        <v>126</v>
      </c>
      <c r="B520" s="23"/>
      <c r="C520" s="23"/>
      <c r="D520" s="24" t="s">
        <v>127</v>
      </c>
      <c r="E520" s="25">
        <f aca="true" t="shared" si="34" ref="E520:F523">E521</f>
        <v>13622.3</v>
      </c>
      <c r="F520" s="25">
        <f t="shared" si="34"/>
        <v>5759.5</v>
      </c>
      <c r="G520" s="25">
        <f t="shared" si="32"/>
        <v>7862.799999999999</v>
      </c>
      <c r="H520" s="64">
        <f t="shared" si="33"/>
        <v>0.4227993804276811</v>
      </c>
    </row>
    <row r="521" spans="1:8" ht="25.5">
      <c r="A521" s="23"/>
      <c r="B521" s="23" t="s">
        <v>62</v>
      </c>
      <c r="C521" s="50"/>
      <c r="D521" s="49" t="s">
        <v>307</v>
      </c>
      <c r="E521" s="25">
        <f t="shared" si="34"/>
        <v>13622.3</v>
      </c>
      <c r="F521" s="25">
        <f t="shared" si="34"/>
        <v>5759.5</v>
      </c>
      <c r="G521" s="25">
        <f t="shared" si="32"/>
        <v>7862.799999999999</v>
      </c>
      <c r="H521" s="64">
        <f t="shared" si="33"/>
        <v>0.4227993804276811</v>
      </c>
    </row>
    <row r="522" spans="1:8" ht="51">
      <c r="A522" s="23"/>
      <c r="B522" s="23" t="s">
        <v>356</v>
      </c>
      <c r="C522" s="50"/>
      <c r="D522" s="49" t="s">
        <v>357</v>
      </c>
      <c r="E522" s="25">
        <f t="shared" si="34"/>
        <v>13622.3</v>
      </c>
      <c r="F522" s="25">
        <f t="shared" si="34"/>
        <v>5759.5</v>
      </c>
      <c r="G522" s="25">
        <f t="shared" si="32"/>
        <v>7862.799999999999</v>
      </c>
      <c r="H522" s="64">
        <f t="shared" si="33"/>
        <v>0.4227993804276811</v>
      </c>
    </row>
    <row r="523" spans="1:8" ht="76.5">
      <c r="A523" s="23"/>
      <c r="B523" s="23" t="s">
        <v>358</v>
      </c>
      <c r="C523" s="23"/>
      <c r="D523" s="24" t="s">
        <v>359</v>
      </c>
      <c r="E523" s="25">
        <f t="shared" si="34"/>
        <v>13622.3</v>
      </c>
      <c r="F523" s="25">
        <f t="shared" si="34"/>
        <v>5759.5</v>
      </c>
      <c r="G523" s="25">
        <f t="shared" si="32"/>
        <v>7862.799999999999</v>
      </c>
      <c r="H523" s="64">
        <f t="shared" si="33"/>
        <v>0.4227993804276811</v>
      </c>
    </row>
    <row r="524" spans="1:8" ht="25.5">
      <c r="A524" s="23"/>
      <c r="B524" s="23"/>
      <c r="C524" s="23" t="s">
        <v>47</v>
      </c>
      <c r="D524" s="24" t="s">
        <v>48</v>
      </c>
      <c r="E524" s="25">
        <v>13622.3</v>
      </c>
      <c r="F524" s="25">
        <v>5759.5</v>
      </c>
      <c r="G524" s="25">
        <f t="shared" si="32"/>
        <v>7862.799999999999</v>
      </c>
      <c r="H524" s="64">
        <f t="shared" si="33"/>
        <v>0.4227993804276811</v>
      </c>
    </row>
    <row r="525" spans="1:8" ht="25.5">
      <c r="A525" s="23" t="s">
        <v>369</v>
      </c>
      <c r="B525" s="23"/>
      <c r="C525" s="23"/>
      <c r="D525" s="49" t="s">
        <v>370</v>
      </c>
      <c r="E525" s="25">
        <f aca="true" t="shared" si="35" ref="E525:F527">E526</f>
        <v>2500</v>
      </c>
      <c r="F525" s="25">
        <f t="shared" si="35"/>
        <v>927.2</v>
      </c>
      <c r="G525" s="25">
        <f t="shared" si="32"/>
        <v>1572.8</v>
      </c>
      <c r="H525" s="64">
        <f t="shared" si="33"/>
        <v>0.37088000000000004</v>
      </c>
    </row>
    <row r="526" spans="1:8" ht="38.25">
      <c r="A526" s="23"/>
      <c r="B526" s="23" t="s">
        <v>315</v>
      </c>
      <c r="C526" s="23"/>
      <c r="D526" s="49" t="s">
        <v>317</v>
      </c>
      <c r="E526" s="25">
        <f t="shared" si="35"/>
        <v>2500</v>
      </c>
      <c r="F526" s="25">
        <f t="shared" si="35"/>
        <v>927.2</v>
      </c>
      <c r="G526" s="25">
        <f t="shared" si="32"/>
        <v>1572.8</v>
      </c>
      <c r="H526" s="64">
        <f t="shared" si="33"/>
        <v>0.37088000000000004</v>
      </c>
    </row>
    <row r="527" spans="1:8" ht="89.25">
      <c r="A527" s="23"/>
      <c r="B527" s="23" t="s">
        <v>371</v>
      </c>
      <c r="C527" s="23"/>
      <c r="D527" s="49" t="s">
        <v>372</v>
      </c>
      <c r="E527" s="25">
        <f t="shared" si="35"/>
        <v>2500</v>
      </c>
      <c r="F527" s="25">
        <f t="shared" si="35"/>
        <v>927.2</v>
      </c>
      <c r="G527" s="25">
        <f t="shared" si="32"/>
        <v>1572.8</v>
      </c>
      <c r="H527" s="64">
        <f t="shared" si="33"/>
        <v>0.37088000000000004</v>
      </c>
    </row>
    <row r="528" spans="1:8" ht="63.75">
      <c r="A528" s="23"/>
      <c r="B528" s="23" t="s">
        <v>373</v>
      </c>
      <c r="C528" s="23"/>
      <c r="D528" s="49" t="s">
        <v>374</v>
      </c>
      <c r="E528" s="25">
        <f>E530+E529</f>
        <v>2500</v>
      </c>
      <c r="F528" s="25">
        <f>F530+F529</f>
        <v>927.2</v>
      </c>
      <c r="G528" s="25">
        <f t="shared" si="32"/>
        <v>1572.8</v>
      </c>
      <c r="H528" s="64">
        <f t="shared" si="33"/>
        <v>0.37088000000000004</v>
      </c>
    </row>
    <row r="529" spans="1:8" ht="25.5">
      <c r="A529" s="23"/>
      <c r="B529" s="23"/>
      <c r="C529" s="23" t="s">
        <v>43</v>
      </c>
      <c r="D529" s="24" t="s">
        <v>150</v>
      </c>
      <c r="E529" s="25">
        <v>972.8</v>
      </c>
      <c r="F529" s="25">
        <v>0</v>
      </c>
      <c r="G529" s="25">
        <f t="shared" si="32"/>
        <v>972.8</v>
      </c>
      <c r="H529" s="64">
        <f t="shared" si="33"/>
        <v>0</v>
      </c>
    </row>
    <row r="530" spans="1:8" ht="38.25">
      <c r="A530" s="23"/>
      <c r="B530" s="23"/>
      <c r="C530" s="23" t="s">
        <v>65</v>
      </c>
      <c r="D530" s="24" t="s">
        <v>178</v>
      </c>
      <c r="E530" s="25">
        <f>1200+327.2</f>
        <v>1527.2</v>
      </c>
      <c r="F530" s="25">
        <f>600+327.2</f>
        <v>927.2</v>
      </c>
      <c r="G530" s="25">
        <f t="shared" si="32"/>
        <v>600</v>
      </c>
      <c r="H530" s="64">
        <f t="shared" si="33"/>
        <v>0.607124148768989</v>
      </c>
    </row>
    <row r="531" spans="1:8" ht="12.75">
      <c r="A531" s="23"/>
      <c r="B531" s="23"/>
      <c r="C531" s="23"/>
      <c r="D531" s="24"/>
      <c r="E531" s="25"/>
      <c r="F531" s="25"/>
      <c r="G531" s="25"/>
      <c r="H531" s="64"/>
    </row>
    <row r="532" spans="1:8" s="35" customFormat="1" ht="12.75">
      <c r="A532" s="21" t="s">
        <v>128</v>
      </c>
      <c r="B532" s="21"/>
      <c r="C532" s="21"/>
      <c r="D532" s="38" t="s">
        <v>129</v>
      </c>
      <c r="E532" s="36">
        <f>E533</f>
        <v>18428.8</v>
      </c>
      <c r="F532" s="36">
        <f>F533</f>
        <v>4902.7</v>
      </c>
      <c r="G532" s="36">
        <f t="shared" si="32"/>
        <v>13526.099999999999</v>
      </c>
      <c r="H532" s="65">
        <f t="shared" si="33"/>
        <v>0.26603468484111825</v>
      </c>
    </row>
    <row r="533" spans="1:8" ht="12.75">
      <c r="A533" s="23" t="s">
        <v>130</v>
      </c>
      <c r="B533" s="23"/>
      <c r="C533" s="23"/>
      <c r="D533" s="24" t="s">
        <v>131</v>
      </c>
      <c r="E533" s="25">
        <f>E542+E534+E545+E538</f>
        <v>18428.8</v>
      </c>
      <c r="F533" s="25">
        <f>F542+F534+F545+F538</f>
        <v>4902.7</v>
      </c>
      <c r="G533" s="25">
        <f t="shared" si="32"/>
        <v>13526.099999999999</v>
      </c>
      <c r="H533" s="64">
        <f t="shared" si="33"/>
        <v>0.26603468484111825</v>
      </c>
    </row>
    <row r="534" spans="1:8" ht="25.5">
      <c r="A534" s="23"/>
      <c r="B534" s="23" t="s">
        <v>55</v>
      </c>
      <c r="C534" s="23"/>
      <c r="D534" s="24" t="s">
        <v>297</v>
      </c>
      <c r="E534" s="25">
        <f>E535</f>
        <v>335.9</v>
      </c>
      <c r="F534" s="25">
        <f>F535</f>
        <v>135.9</v>
      </c>
      <c r="G534" s="25">
        <f t="shared" si="32"/>
        <v>199.99999999999997</v>
      </c>
      <c r="H534" s="64">
        <f t="shared" si="33"/>
        <v>0.4045846978267342</v>
      </c>
    </row>
    <row r="535" spans="1:8" ht="25.5">
      <c r="A535" s="23"/>
      <c r="B535" s="23" t="s">
        <v>419</v>
      </c>
      <c r="C535" s="23"/>
      <c r="D535" s="24" t="s">
        <v>420</v>
      </c>
      <c r="E535" s="25">
        <f>E536+E537</f>
        <v>335.9</v>
      </c>
      <c r="F535" s="25">
        <f>F536+F537</f>
        <v>135.9</v>
      </c>
      <c r="G535" s="25">
        <f t="shared" si="32"/>
        <v>199.99999999999997</v>
      </c>
      <c r="H535" s="64">
        <f t="shared" si="33"/>
        <v>0.4045846978267342</v>
      </c>
    </row>
    <row r="536" spans="1:8" ht="25.5">
      <c r="A536" s="23"/>
      <c r="B536" s="23"/>
      <c r="C536" s="23" t="s">
        <v>43</v>
      </c>
      <c r="D536" s="24" t="s">
        <v>150</v>
      </c>
      <c r="E536" s="25">
        <v>300</v>
      </c>
      <c r="F536" s="25">
        <v>100</v>
      </c>
      <c r="G536" s="25">
        <f t="shared" si="32"/>
        <v>200</v>
      </c>
      <c r="H536" s="64">
        <f t="shared" si="33"/>
        <v>0.3333333333333333</v>
      </c>
    </row>
    <row r="537" spans="1:8" ht="38.25">
      <c r="A537" s="23"/>
      <c r="B537" s="23"/>
      <c r="C537" s="23" t="s">
        <v>65</v>
      </c>
      <c r="D537" s="24" t="s">
        <v>178</v>
      </c>
      <c r="E537" s="25">
        <v>35.9</v>
      </c>
      <c r="F537" s="25">
        <v>35.9</v>
      </c>
      <c r="G537" s="25">
        <f>E537-F537</f>
        <v>0</v>
      </c>
      <c r="H537" s="64">
        <f>F537/E537</f>
        <v>1</v>
      </c>
    </row>
    <row r="538" spans="1:8" ht="25.5">
      <c r="A538" s="23"/>
      <c r="B538" s="23" t="s">
        <v>104</v>
      </c>
      <c r="C538" s="23"/>
      <c r="D538" s="49" t="s">
        <v>1069</v>
      </c>
      <c r="E538" s="25">
        <f aca="true" t="shared" si="36" ref="E538:F540">E539</f>
        <v>7060.3</v>
      </c>
      <c r="F538" s="25">
        <f t="shared" si="36"/>
        <v>0</v>
      </c>
      <c r="G538" s="57">
        <f>E538-F538</f>
        <v>7060.3</v>
      </c>
      <c r="H538" s="59">
        <f>F538/E538</f>
        <v>0</v>
      </c>
    </row>
    <row r="539" spans="1:8" ht="51">
      <c r="A539" s="23"/>
      <c r="B539" s="23" t="s">
        <v>1039</v>
      </c>
      <c r="C539" s="23"/>
      <c r="D539" s="49" t="s">
        <v>1070</v>
      </c>
      <c r="E539" s="25">
        <f t="shared" si="36"/>
        <v>7060.3</v>
      </c>
      <c r="F539" s="25">
        <f t="shared" si="36"/>
        <v>0</v>
      </c>
      <c r="G539" s="57">
        <f>E539-F539</f>
        <v>7060.3</v>
      </c>
      <c r="H539" s="59">
        <f>F539/E539</f>
        <v>0</v>
      </c>
    </row>
    <row r="540" spans="1:8" ht="51">
      <c r="A540" s="23"/>
      <c r="B540" s="23" t="s">
        <v>1040</v>
      </c>
      <c r="C540" s="23"/>
      <c r="D540" s="24" t="s">
        <v>1071</v>
      </c>
      <c r="E540" s="25">
        <f t="shared" si="36"/>
        <v>7060.3</v>
      </c>
      <c r="F540" s="25">
        <f t="shared" si="36"/>
        <v>0</v>
      </c>
      <c r="G540" s="57">
        <f>E540-F540</f>
        <v>7060.3</v>
      </c>
      <c r="H540" s="59">
        <f>F540/E540</f>
        <v>0</v>
      </c>
    </row>
    <row r="541" spans="1:8" ht="12.75">
      <c r="A541" s="23"/>
      <c r="B541" s="23"/>
      <c r="C541" s="23" t="s">
        <v>44</v>
      </c>
      <c r="D541" s="24" t="s">
        <v>45</v>
      </c>
      <c r="E541" s="25">
        <v>7060.3</v>
      </c>
      <c r="F541" s="25">
        <v>0</v>
      </c>
      <c r="G541" s="57">
        <f>E541-F541</f>
        <v>7060.3</v>
      </c>
      <c r="H541" s="59">
        <f>F541/E541</f>
        <v>0</v>
      </c>
    </row>
    <row r="542" spans="1:8" ht="12.75">
      <c r="A542" s="23"/>
      <c r="B542" s="23" t="s">
        <v>53</v>
      </c>
      <c r="C542" s="23"/>
      <c r="D542" s="24" t="s">
        <v>364</v>
      </c>
      <c r="E542" s="25">
        <f>E543</f>
        <v>9816.5</v>
      </c>
      <c r="F542" s="25">
        <f>F543</f>
        <v>4526.6</v>
      </c>
      <c r="G542" s="25">
        <f t="shared" si="32"/>
        <v>5289.9</v>
      </c>
      <c r="H542" s="64">
        <f t="shared" si="33"/>
        <v>0.4611215810115622</v>
      </c>
    </row>
    <row r="543" spans="1:8" ht="38.25" customHeight="1">
      <c r="A543" s="23"/>
      <c r="B543" s="23" t="s">
        <v>219</v>
      </c>
      <c r="C543" s="23"/>
      <c r="D543" s="24" t="s">
        <v>220</v>
      </c>
      <c r="E543" s="25">
        <f>E544</f>
        <v>9816.5</v>
      </c>
      <c r="F543" s="25">
        <f>F544</f>
        <v>4526.6</v>
      </c>
      <c r="G543" s="25">
        <f t="shared" si="32"/>
        <v>5289.9</v>
      </c>
      <c r="H543" s="64">
        <f t="shared" si="33"/>
        <v>0.4611215810115622</v>
      </c>
    </row>
    <row r="544" spans="1:8" ht="38.25">
      <c r="A544" s="23"/>
      <c r="B544" s="23"/>
      <c r="C544" s="23" t="s">
        <v>65</v>
      </c>
      <c r="D544" s="24" t="s">
        <v>178</v>
      </c>
      <c r="E544" s="25">
        <v>9816.5</v>
      </c>
      <c r="F544" s="25">
        <v>4526.6</v>
      </c>
      <c r="G544" s="25">
        <f t="shared" si="32"/>
        <v>5289.9</v>
      </c>
      <c r="H544" s="64">
        <f t="shared" si="33"/>
        <v>0.4611215810115622</v>
      </c>
    </row>
    <row r="545" spans="1:8" ht="38.25">
      <c r="A545" s="23"/>
      <c r="B545" s="23" t="s">
        <v>475</v>
      </c>
      <c r="C545" s="23"/>
      <c r="D545" s="24" t="s">
        <v>478</v>
      </c>
      <c r="E545" s="25">
        <f>E546</f>
        <v>1216.1</v>
      </c>
      <c r="F545" s="25">
        <f>F546</f>
        <v>240.2</v>
      </c>
      <c r="G545" s="57">
        <f>E545-F545</f>
        <v>975.8999999999999</v>
      </c>
      <c r="H545" s="59">
        <f>F545/E545</f>
        <v>0.19751665159115206</v>
      </c>
    </row>
    <row r="546" spans="1:8" ht="51">
      <c r="A546" s="23"/>
      <c r="B546" s="23" t="s">
        <v>477</v>
      </c>
      <c r="C546" s="23"/>
      <c r="D546" s="24" t="s">
        <v>476</v>
      </c>
      <c r="E546" s="25">
        <f>E547+E548</f>
        <v>1216.1</v>
      </c>
      <c r="F546" s="25">
        <f>F547+F548</f>
        <v>240.2</v>
      </c>
      <c r="G546" s="57">
        <f>E546-F546</f>
        <v>975.8999999999999</v>
      </c>
      <c r="H546" s="59">
        <f>F546/E546</f>
        <v>0.19751665159115206</v>
      </c>
    </row>
    <row r="547" spans="1:8" ht="12.75">
      <c r="A547" s="23"/>
      <c r="B547" s="23"/>
      <c r="C547" s="23" t="s">
        <v>49</v>
      </c>
      <c r="D547" s="24" t="s">
        <v>50</v>
      </c>
      <c r="E547" s="25">
        <v>299.2</v>
      </c>
      <c r="F547" s="25">
        <v>240.2</v>
      </c>
      <c r="G547" s="57">
        <f>E547-F547</f>
        <v>59</v>
      </c>
      <c r="H547" s="59">
        <f>F547/E547</f>
        <v>0.8028074866310161</v>
      </c>
    </row>
    <row r="548" spans="1:8" ht="38.25">
      <c r="A548" s="23"/>
      <c r="B548" s="23"/>
      <c r="C548" s="23" t="s">
        <v>65</v>
      </c>
      <c r="D548" s="24" t="s">
        <v>178</v>
      </c>
      <c r="E548" s="25">
        <v>916.9</v>
      </c>
      <c r="F548" s="25">
        <v>0</v>
      </c>
      <c r="G548" s="57">
        <f>E548-F548</f>
        <v>916.9</v>
      </c>
      <c r="H548" s="59">
        <f>F548/E548</f>
        <v>0</v>
      </c>
    </row>
    <row r="549" spans="1:8" ht="12.75">
      <c r="A549" s="23"/>
      <c r="B549" s="23"/>
      <c r="C549" s="23"/>
      <c r="D549" s="24"/>
      <c r="E549" s="25"/>
      <c r="F549" s="25"/>
      <c r="G549" s="25"/>
      <c r="H549" s="64"/>
    </row>
    <row r="550" spans="1:8" s="35" customFormat="1" ht="12.75">
      <c r="A550" s="21" t="s">
        <v>172</v>
      </c>
      <c r="B550" s="21"/>
      <c r="C550" s="21"/>
      <c r="D550" s="38" t="s">
        <v>173</v>
      </c>
      <c r="E550" s="36">
        <f aca="true" t="shared" si="37" ref="E550:F553">E551</f>
        <v>2066.7</v>
      </c>
      <c r="F550" s="36">
        <f t="shared" si="37"/>
        <v>1033.4</v>
      </c>
      <c r="G550" s="36">
        <f t="shared" si="32"/>
        <v>1033.2999999999997</v>
      </c>
      <c r="H550" s="65">
        <f t="shared" si="33"/>
        <v>0.5000241931581749</v>
      </c>
    </row>
    <row r="551" spans="1:8" ht="12.75">
      <c r="A551" s="23" t="s">
        <v>174</v>
      </c>
      <c r="B551" s="23"/>
      <c r="C551" s="23"/>
      <c r="D551" s="24" t="s">
        <v>175</v>
      </c>
      <c r="E551" s="25">
        <f t="shared" si="37"/>
        <v>2066.7</v>
      </c>
      <c r="F551" s="25">
        <f t="shared" si="37"/>
        <v>1033.4</v>
      </c>
      <c r="G551" s="25">
        <f t="shared" si="32"/>
        <v>1033.2999999999997</v>
      </c>
      <c r="H551" s="64">
        <f t="shared" si="33"/>
        <v>0.5000241931581749</v>
      </c>
    </row>
    <row r="552" spans="1:8" ht="25.5">
      <c r="A552" s="23"/>
      <c r="B552" s="23" t="s">
        <v>55</v>
      </c>
      <c r="C552" s="23"/>
      <c r="D552" s="24" t="s">
        <v>297</v>
      </c>
      <c r="E552" s="25">
        <f t="shared" si="37"/>
        <v>2066.7</v>
      </c>
      <c r="F552" s="25">
        <f t="shared" si="37"/>
        <v>1033.4</v>
      </c>
      <c r="G552" s="25">
        <f t="shared" si="32"/>
        <v>1033.2999999999997</v>
      </c>
      <c r="H552" s="64">
        <f t="shared" si="33"/>
        <v>0.5000241931581749</v>
      </c>
    </row>
    <row r="553" spans="1:8" ht="51">
      <c r="A553" s="23"/>
      <c r="B553" s="23" t="s">
        <v>176</v>
      </c>
      <c r="C553" s="23"/>
      <c r="D553" s="24" t="s">
        <v>177</v>
      </c>
      <c r="E553" s="25">
        <f t="shared" si="37"/>
        <v>2066.7</v>
      </c>
      <c r="F553" s="25">
        <f t="shared" si="37"/>
        <v>1033.4</v>
      </c>
      <c r="G553" s="25">
        <f t="shared" si="32"/>
        <v>1033.2999999999997</v>
      </c>
      <c r="H553" s="64">
        <f t="shared" si="33"/>
        <v>0.5000241931581749</v>
      </c>
    </row>
    <row r="554" spans="1:8" ht="38.25">
      <c r="A554" s="23"/>
      <c r="B554" s="23"/>
      <c r="C554" s="23" t="s">
        <v>65</v>
      </c>
      <c r="D554" s="24" t="s">
        <v>178</v>
      </c>
      <c r="E554" s="25">
        <v>2066.7</v>
      </c>
      <c r="F554" s="25">
        <v>1033.4</v>
      </c>
      <c r="G554" s="25">
        <f t="shared" si="32"/>
        <v>1033.2999999999997</v>
      </c>
      <c r="H554" s="64">
        <f t="shared" si="33"/>
        <v>0.5000241931581749</v>
      </c>
    </row>
    <row r="555" spans="1:8" ht="12.75">
      <c r="A555" s="23"/>
      <c r="B555" s="23"/>
      <c r="C555" s="23"/>
      <c r="D555" s="24"/>
      <c r="E555" s="25"/>
      <c r="F555" s="25"/>
      <c r="G555" s="25"/>
      <c r="H555" s="64"/>
    </row>
    <row r="556" spans="1:8" s="35" customFormat="1" ht="25.5">
      <c r="A556" s="21" t="s">
        <v>132</v>
      </c>
      <c r="B556" s="21"/>
      <c r="C556" s="21"/>
      <c r="D556" s="38" t="s">
        <v>133</v>
      </c>
      <c r="E556" s="36">
        <f aca="true" t="shared" si="38" ref="E556:F559">E557</f>
        <v>4925.9</v>
      </c>
      <c r="F556" s="36">
        <f t="shared" si="38"/>
        <v>2531.7</v>
      </c>
      <c r="G556" s="36">
        <f t="shared" si="32"/>
        <v>2394.2</v>
      </c>
      <c r="H556" s="65">
        <f t="shared" si="33"/>
        <v>0.5139568403743479</v>
      </c>
    </row>
    <row r="557" spans="1:8" ht="25.5">
      <c r="A557" s="23" t="s">
        <v>134</v>
      </c>
      <c r="B557" s="23"/>
      <c r="C557" s="23"/>
      <c r="D557" s="24" t="s">
        <v>135</v>
      </c>
      <c r="E557" s="25">
        <f t="shared" si="38"/>
        <v>4925.9</v>
      </c>
      <c r="F557" s="25">
        <f t="shared" si="38"/>
        <v>2531.7</v>
      </c>
      <c r="G557" s="25">
        <f t="shared" si="32"/>
        <v>2394.2</v>
      </c>
      <c r="H557" s="64">
        <f t="shared" si="33"/>
        <v>0.5139568403743479</v>
      </c>
    </row>
    <row r="558" spans="1:8" ht="25.5">
      <c r="A558" s="23"/>
      <c r="B558" s="23" t="s">
        <v>55</v>
      </c>
      <c r="C558" s="23"/>
      <c r="D558" s="24" t="s">
        <v>297</v>
      </c>
      <c r="E558" s="25">
        <f t="shared" si="38"/>
        <v>4925.9</v>
      </c>
      <c r="F558" s="25">
        <f t="shared" si="38"/>
        <v>2531.7</v>
      </c>
      <c r="G558" s="25">
        <f t="shared" si="32"/>
        <v>2394.2</v>
      </c>
      <c r="H558" s="64">
        <f t="shared" si="33"/>
        <v>0.5139568403743479</v>
      </c>
    </row>
    <row r="559" spans="1:8" ht="25.5">
      <c r="A559" s="23"/>
      <c r="B559" s="23" t="s">
        <v>156</v>
      </c>
      <c r="C559" s="23"/>
      <c r="D559" s="24" t="s">
        <v>157</v>
      </c>
      <c r="E559" s="25">
        <f t="shared" si="38"/>
        <v>4925.9</v>
      </c>
      <c r="F559" s="25">
        <f t="shared" si="38"/>
        <v>2531.7</v>
      </c>
      <c r="G559" s="25">
        <f aca="true" t="shared" si="39" ref="G559:G568">E559-F559</f>
        <v>2394.2</v>
      </c>
      <c r="H559" s="64">
        <f t="shared" si="33"/>
        <v>0.5139568403743479</v>
      </c>
    </row>
    <row r="560" spans="1:8" ht="25.5">
      <c r="A560" s="23"/>
      <c r="B560" s="23"/>
      <c r="C560" s="23" t="s">
        <v>136</v>
      </c>
      <c r="D560" s="24" t="s">
        <v>158</v>
      </c>
      <c r="E560" s="25">
        <f>1543+3382.9</f>
        <v>4925.9</v>
      </c>
      <c r="F560" s="25">
        <f>1069+1462.7</f>
        <v>2531.7</v>
      </c>
      <c r="G560" s="25">
        <f t="shared" si="39"/>
        <v>2394.2</v>
      </c>
      <c r="H560" s="64">
        <f aca="true" t="shared" si="40" ref="H560:H568">F560/E560</f>
        <v>0.5139568403743479</v>
      </c>
    </row>
    <row r="561" spans="1:8" ht="12.75">
      <c r="A561" s="23"/>
      <c r="B561" s="23"/>
      <c r="C561" s="23"/>
      <c r="D561" s="24"/>
      <c r="E561" s="25"/>
      <c r="F561" s="25"/>
      <c r="G561" s="25"/>
      <c r="H561" s="64"/>
    </row>
    <row r="562" spans="1:8" s="35" customFormat="1" ht="51">
      <c r="A562" s="21" t="s">
        <v>137</v>
      </c>
      <c r="B562" s="21"/>
      <c r="C562" s="21"/>
      <c r="D562" s="38" t="s">
        <v>240</v>
      </c>
      <c r="E562" s="36">
        <f aca="true" t="shared" si="41" ref="E562:F565">E563</f>
        <v>34892.1</v>
      </c>
      <c r="F562" s="36">
        <f t="shared" si="41"/>
        <v>16367.2</v>
      </c>
      <c r="G562" s="36">
        <f t="shared" si="39"/>
        <v>18524.899999999998</v>
      </c>
      <c r="H562" s="65">
        <f t="shared" si="40"/>
        <v>0.4690803935561345</v>
      </c>
    </row>
    <row r="563" spans="1:8" ht="38.25">
      <c r="A563" s="23" t="s">
        <v>138</v>
      </c>
      <c r="B563" s="23"/>
      <c r="C563" s="23"/>
      <c r="D563" s="24" t="s">
        <v>139</v>
      </c>
      <c r="E563" s="25">
        <f t="shared" si="41"/>
        <v>34892.1</v>
      </c>
      <c r="F563" s="25">
        <f t="shared" si="41"/>
        <v>16367.2</v>
      </c>
      <c r="G563" s="25">
        <f t="shared" si="39"/>
        <v>18524.899999999998</v>
      </c>
      <c r="H563" s="64">
        <f t="shared" si="40"/>
        <v>0.4690803935561345</v>
      </c>
    </row>
    <row r="564" spans="1:8" ht="12.75">
      <c r="A564" s="23"/>
      <c r="B564" s="23" t="s">
        <v>241</v>
      </c>
      <c r="C564" s="23"/>
      <c r="D564" s="24" t="s">
        <v>303</v>
      </c>
      <c r="E564" s="25">
        <f t="shared" si="41"/>
        <v>34892.1</v>
      </c>
      <c r="F564" s="25">
        <f t="shared" si="41"/>
        <v>16367.2</v>
      </c>
      <c r="G564" s="25">
        <f t="shared" si="39"/>
        <v>18524.899999999998</v>
      </c>
      <c r="H564" s="64">
        <f t="shared" si="40"/>
        <v>0.4690803935561345</v>
      </c>
    </row>
    <row r="565" spans="1:8" ht="51">
      <c r="A565" s="23"/>
      <c r="B565" s="23" t="s">
        <v>242</v>
      </c>
      <c r="C565" s="23"/>
      <c r="D565" s="24" t="s">
        <v>243</v>
      </c>
      <c r="E565" s="25">
        <f t="shared" si="41"/>
        <v>34892.1</v>
      </c>
      <c r="F565" s="25">
        <f t="shared" si="41"/>
        <v>16367.2</v>
      </c>
      <c r="G565" s="25">
        <f t="shared" si="39"/>
        <v>18524.899999999998</v>
      </c>
      <c r="H565" s="64">
        <f t="shared" si="40"/>
        <v>0.4690803935561345</v>
      </c>
    </row>
    <row r="566" spans="1:8" ht="12.75">
      <c r="A566" s="23"/>
      <c r="B566" s="23"/>
      <c r="C566" s="23" t="s">
        <v>49</v>
      </c>
      <c r="D566" s="24" t="s">
        <v>50</v>
      </c>
      <c r="E566" s="25">
        <v>34892.1</v>
      </c>
      <c r="F566" s="25">
        <v>16367.2</v>
      </c>
      <c r="G566" s="25">
        <f t="shared" si="39"/>
        <v>18524.899999999998</v>
      </c>
      <c r="H566" s="64">
        <f t="shared" si="40"/>
        <v>0.4690803935561345</v>
      </c>
    </row>
    <row r="567" spans="1:8" ht="12.75">
      <c r="A567" s="23"/>
      <c r="B567" s="23"/>
      <c r="C567" s="23"/>
      <c r="D567" s="31"/>
      <c r="E567" s="23"/>
      <c r="F567" s="23"/>
      <c r="G567" s="25"/>
      <c r="H567" s="64"/>
    </row>
    <row r="568" spans="1:8" s="35" customFormat="1" ht="15" customHeight="1">
      <c r="A568" s="277" t="s">
        <v>140</v>
      </c>
      <c r="B568" s="278"/>
      <c r="C568" s="278"/>
      <c r="D568" s="279"/>
      <c r="E568" s="39">
        <f>E12+E160+E177+E247+E277+E288+E411+E449+E459+E532+E550+E556+E562</f>
        <v>1237654</v>
      </c>
      <c r="F568" s="39">
        <f>F12+F160+F177+F247+F277+F288+F411+F449+F459+F532+F550+F556+F562</f>
        <v>612320.4999999999</v>
      </c>
      <c r="G568" s="39">
        <f t="shared" si="39"/>
        <v>625333.5000000001</v>
      </c>
      <c r="H568" s="58">
        <f t="shared" si="40"/>
        <v>0.4947428764420427</v>
      </c>
    </row>
  </sheetData>
  <sheetProtection/>
  <autoFilter ref="A1:E569"/>
  <mergeCells count="8">
    <mergeCell ref="A568:D568"/>
    <mergeCell ref="A6:H6"/>
    <mergeCell ref="H8:H9"/>
    <mergeCell ref="E8:G8"/>
    <mergeCell ref="A8:A9"/>
    <mergeCell ref="B8:B9"/>
    <mergeCell ref="C8:C9"/>
    <mergeCell ref="D8:D9"/>
  </mergeCells>
  <printOptions/>
  <pageMargins left="0.7086614173228347" right="0.5511811023622047" top="0.35433070866141736" bottom="0.31496062992125984" header="0.31496062992125984" footer="0.31496062992125984"/>
  <pageSetup firstPageNumber="28" useFirstPageNumber="1"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80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28125" style="20" customWidth="1"/>
    <col min="2" max="3" width="7.57421875" style="20" customWidth="1"/>
    <col min="4" max="4" width="5.140625" style="20" customWidth="1"/>
    <col min="5" max="5" width="32.00390625" style="28" customWidth="1"/>
    <col min="6" max="8" width="10.7109375" style="20" customWidth="1"/>
    <col min="9" max="9" width="8.8515625" style="20" customWidth="1"/>
    <col min="10" max="16384" width="9.140625" style="20" customWidth="1"/>
  </cols>
  <sheetData>
    <row r="1" ht="12.75">
      <c r="F1" s="241" t="s">
        <v>521</v>
      </c>
    </row>
    <row r="2" ht="12.75">
      <c r="F2" s="241" t="s">
        <v>522</v>
      </c>
    </row>
    <row r="3" ht="12.75">
      <c r="F3" s="241" t="s">
        <v>529</v>
      </c>
    </row>
    <row r="4" ht="12.75">
      <c r="F4" s="241" t="s">
        <v>1105</v>
      </c>
    </row>
    <row r="7" spans="1:9" ht="26.25" customHeight="1">
      <c r="A7" s="280" t="s">
        <v>1047</v>
      </c>
      <c r="B7" s="280"/>
      <c r="C7" s="280"/>
      <c r="D7" s="280"/>
      <c r="E7" s="280"/>
      <c r="F7" s="280"/>
      <c r="G7" s="280"/>
      <c r="H7" s="280"/>
      <c r="I7" s="280"/>
    </row>
    <row r="8" ht="5.25" customHeight="1"/>
    <row r="9" spans="1:9" ht="12.75">
      <c r="A9" s="286" t="s">
        <v>141</v>
      </c>
      <c r="B9" s="286" t="s">
        <v>34</v>
      </c>
      <c r="C9" s="286" t="s">
        <v>35</v>
      </c>
      <c r="D9" s="286" t="s">
        <v>36</v>
      </c>
      <c r="E9" s="288" t="s">
        <v>37</v>
      </c>
      <c r="F9" s="283" t="s">
        <v>142</v>
      </c>
      <c r="G9" s="284"/>
      <c r="H9" s="285"/>
      <c r="I9" s="281" t="s">
        <v>520</v>
      </c>
    </row>
    <row r="10" spans="1:9" ht="38.25">
      <c r="A10" s="287"/>
      <c r="B10" s="287"/>
      <c r="C10" s="287"/>
      <c r="D10" s="287"/>
      <c r="E10" s="289"/>
      <c r="F10" s="51" t="s">
        <v>454</v>
      </c>
      <c r="G10" s="51" t="s">
        <v>455</v>
      </c>
      <c r="H10" s="51" t="s">
        <v>456</v>
      </c>
      <c r="I10" s="282"/>
    </row>
    <row r="11" spans="1:9" ht="12.75">
      <c r="A11" s="22">
        <v>1</v>
      </c>
      <c r="B11" s="22">
        <v>2</v>
      </c>
      <c r="C11" s="22">
        <v>3</v>
      </c>
      <c r="D11" s="22">
        <v>4</v>
      </c>
      <c r="E11" s="29">
        <v>5</v>
      </c>
      <c r="F11" s="22">
        <v>6</v>
      </c>
      <c r="G11" s="22" t="s">
        <v>4</v>
      </c>
      <c r="H11" s="22" t="s">
        <v>457</v>
      </c>
      <c r="I11" s="22" t="s">
        <v>458</v>
      </c>
    </row>
    <row r="12" spans="1:9" ht="12.75">
      <c r="A12" s="22"/>
      <c r="B12" s="22"/>
      <c r="C12" s="22"/>
      <c r="D12" s="22"/>
      <c r="E12" s="29"/>
      <c r="F12" s="22"/>
      <c r="G12" s="22"/>
      <c r="H12" s="22"/>
      <c r="I12" s="22"/>
    </row>
    <row r="13" spans="1:9" s="35" customFormat="1" ht="51">
      <c r="A13" s="32" t="s">
        <v>145</v>
      </c>
      <c r="B13" s="32"/>
      <c r="C13" s="32"/>
      <c r="D13" s="32"/>
      <c r="E13" s="33" t="s">
        <v>146</v>
      </c>
      <c r="F13" s="34">
        <f>F14+F35</f>
        <v>7126.9</v>
      </c>
      <c r="G13" s="34">
        <f>G14+G35</f>
        <v>1336.1999999999998</v>
      </c>
      <c r="H13" s="39">
        <f>F13-G13</f>
        <v>5790.7</v>
      </c>
      <c r="I13" s="58">
        <f>G13/F13</f>
        <v>0.18748684561309964</v>
      </c>
    </row>
    <row r="14" spans="1:9" ht="12.75">
      <c r="A14" s="23"/>
      <c r="B14" s="23" t="s">
        <v>79</v>
      </c>
      <c r="C14" s="23"/>
      <c r="D14" s="23"/>
      <c r="E14" s="24" t="s">
        <v>80</v>
      </c>
      <c r="F14" s="25">
        <f>F15</f>
        <v>5526.3</v>
      </c>
      <c r="G14" s="25">
        <f>G15</f>
        <v>1266.1</v>
      </c>
      <c r="H14" s="57">
        <f aca="true" t="shared" si="0" ref="H14:H82">F14-G14</f>
        <v>4260.200000000001</v>
      </c>
      <c r="I14" s="59">
        <f aca="true" t="shared" si="1" ref="I14:I82">G14/F14</f>
        <v>0.22910446410799268</v>
      </c>
    </row>
    <row r="15" spans="1:9" ht="12.75">
      <c r="A15" s="23"/>
      <c r="B15" s="23" t="s">
        <v>82</v>
      </c>
      <c r="C15" s="23"/>
      <c r="D15" s="23"/>
      <c r="E15" s="24" t="s">
        <v>83</v>
      </c>
      <c r="F15" s="25">
        <f>F16+F21+F31</f>
        <v>5526.3</v>
      </c>
      <c r="G15" s="25">
        <f>G16+G21+G31</f>
        <v>1266.1</v>
      </c>
      <c r="H15" s="57">
        <f t="shared" si="0"/>
        <v>4260.200000000001</v>
      </c>
      <c r="I15" s="59">
        <f t="shared" si="1"/>
        <v>0.22910446410799268</v>
      </c>
    </row>
    <row r="16" spans="1:9" ht="25.5">
      <c r="A16" s="23"/>
      <c r="B16" s="23"/>
      <c r="C16" s="23" t="s">
        <v>81</v>
      </c>
      <c r="D16" s="23"/>
      <c r="E16" s="24" t="s">
        <v>285</v>
      </c>
      <c r="F16" s="25">
        <f>F17</f>
        <v>1782.3999999999999</v>
      </c>
      <c r="G16" s="25">
        <f>G17</f>
        <v>749.0999999999999</v>
      </c>
      <c r="H16" s="57">
        <f t="shared" si="0"/>
        <v>1033.3</v>
      </c>
      <c r="I16" s="59">
        <f t="shared" si="1"/>
        <v>0.42027603231597843</v>
      </c>
    </row>
    <row r="17" spans="1:9" ht="51">
      <c r="A17" s="23"/>
      <c r="B17" s="23"/>
      <c r="C17" s="23" t="s">
        <v>147</v>
      </c>
      <c r="D17" s="23"/>
      <c r="E17" s="24" t="s">
        <v>148</v>
      </c>
      <c r="F17" s="25">
        <f>SUM(F18:F20)</f>
        <v>1782.3999999999999</v>
      </c>
      <c r="G17" s="25">
        <f>SUM(G18:G20)</f>
        <v>749.0999999999999</v>
      </c>
      <c r="H17" s="57">
        <f t="shared" si="0"/>
        <v>1033.3</v>
      </c>
      <c r="I17" s="59">
        <f t="shared" si="1"/>
        <v>0.42027603231597843</v>
      </c>
    </row>
    <row r="18" spans="1:9" ht="89.25">
      <c r="A18" s="23"/>
      <c r="B18" s="23"/>
      <c r="C18" s="23"/>
      <c r="D18" s="23" t="s">
        <v>42</v>
      </c>
      <c r="E18" s="24" t="s">
        <v>149</v>
      </c>
      <c r="F18" s="25">
        <f>96+1506.1+45.2</f>
        <v>1647.3</v>
      </c>
      <c r="G18" s="25">
        <v>706.3</v>
      </c>
      <c r="H18" s="57">
        <f t="shared" si="0"/>
        <v>941</v>
      </c>
      <c r="I18" s="59">
        <f t="shared" si="1"/>
        <v>0.42876221696108785</v>
      </c>
    </row>
    <row r="19" spans="1:9" ht="38.25">
      <c r="A19" s="23"/>
      <c r="B19" s="23"/>
      <c r="C19" s="23"/>
      <c r="D19" s="23" t="s">
        <v>43</v>
      </c>
      <c r="E19" s="24" t="s">
        <v>150</v>
      </c>
      <c r="F19" s="25">
        <f>73.8+2.2</f>
        <v>76</v>
      </c>
      <c r="G19" s="25">
        <v>28.5</v>
      </c>
      <c r="H19" s="57">
        <f t="shared" si="0"/>
        <v>47.5</v>
      </c>
      <c r="I19" s="59">
        <f t="shared" si="1"/>
        <v>0.375</v>
      </c>
    </row>
    <row r="20" spans="1:9" ht="12.75">
      <c r="A20" s="23"/>
      <c r="B20" s="23"/>
      <c r="C20" s="23"/>
      <c r="D20" s="23" t="s">
        <v>44</v>
      </c>
      <c r="E20" s="24" t="s">
        <v>45</v>
      </c>
      <c r="F20" s="25">
        <f>57.4+1.7</f>
        <v>59.1</v>
      </c>
      <c r="G20" s="25">
        <v>14.3</v>
      </c>
      <c r="H20" s="57">
        <f t="shared" si="0"/>
        <v>44.8</v>
      </c>
      <c r="I20" s="59">
        <f t="shared" si="1"/>
        <v>0.24196277495769883</v>
      </c>
    </row>
    <row r="21" spans="1:9" ht="63.75">
      <c r="A21" s="23"/>
      <c r="B21" s="23"/>
      <c r="C21" s="23" t="s">
        <v>84</v>
      </c>
      <c r="D21" s="23"/>
      <c r="E21" s="24" t="s">
        <v>292</v>
      </c>
      <c r="F21" s="25">
        <f>F22+F27</f>
        <v>2893.9</v>
      </c>
      <c r="G21" s="25">
        <f>G22+G27</f>
        <v>287.7</v>
      </c>
      <c r="H21" s="57">
        <f t="shared" si="0"/>
        <v>2606.2000000000003</v>
      </c>
      <c r="I21" s="59">
        <f t="shared" si="1"/>
        <v>0.09941601299284701</v>
      </c>
    </row>
    <row r="22" spans="1:9" ht="89.25">
      <c r="A22" s="23"/>
      <c r="B22" s="23"/>
      <c r="C22" s="23" t="s">
        <v>293</v>
      </c>
      <c r="D22" s="23"/>
      <c r="E22" s="24" t="s">
        <v>294</v>
      </c>
      <c r="F22" s="25">
        <f>F25+F23</f>
        <v>2285.5</v>
      </c>
      <c r="G22" s="25">
        <f>G25+G23</f>
        <v>0</v>
      </c>
      <c r="H22" s="57">
        <f t="shared" si="0"/>
        <v>2285.5</v>
      </c>
      <c r="I22" s="59">
        <f t="shared" si="1"/>
        <v>0</v>
      </c>
    </row>
    <row r="23" spans="1:9" ht="90.75" customHeight="1">
      <c r="A23" s="23"/>
      <c r="B23" s="23"/>
      <c r="C23" s="23" t="s">
        <v>1018</v>
      </c>
      <c r="D23" s="23"/>
      <c r="E23" s="24" t="s">
        <v>1049</v>
      </c>
      <c r="F23" s="25">
        <f>F24</f>
        <v>2188</v>
      </c>
      <c r="G23" s="25">
        <f>G24</f>
        <v>0</v>
      </c>
      <c r="H23" s="57">
        <f t="shared" si="0"/>
        <v>2188</v>
      </c>
      <c r="I23" s="59">
        <f t="shared" si="1"/>
        <v>0</v>
      </c>
    </row>
    <row r="24" spans="1:9" ht="12.75">
      <c r="A24" s="23"/>
      <c r="B24" s="23"/>
      <c r="C24" s="23"/>
      <c r="D24" s="23" t="s">
        <v>44</v>
      </c>
      <c r="E24" s="24" t="s">
        <v>45</v>
      </c>
      <c r="F24" s="25">
        <v>2188</v>
      </c>
      <c r="G24" s="25">
        <v>0</v>
      </c>
      <c r="H24" s="57">
        <f t="shared" si="0"/>
        <v>2188</v>
      </c>
      <c r="I24" s="59">
        <f t="shared" si="1"/>
        <v>0</v>
      </c>
    </row>
    <row r="25" spans="1:9" ht="38.25">
      <c r="A25" s="23"/>
      <c r="B25" s="23"/>
      <c r="C25" s="23" t="s">
        <v>286</v>
      </c>
      <c r="D25" s="23"/>
      <c r="E25" s="24" t="s">
        <v>85</v>
      </c>
      <c r="F25" s="25">
        <f>F26</f>
        <v>97.5</v>
      </c>
      <c r="G25" s="25">
        <f>G26</f>
        <v>0</v>
      </c>
      <c r="H25" s="57">
        <f t="shared" si="0"/>
        <v>97.5</v>
      </c>
      <c r="I25" s="59">
        <f t="shared" si="1"/>
        <v>0</v>
      </c>
    </row>
    <row r="26" spans="1:9" ht="12.75">
      <c r="A26" s="23"/>
      <c r="B26" s="23"/>
      <c r="C26" s="23"/>
      <c r="D26" s="23" t="s">
        <v>44</v>
      </c>
      <c r="E26" s="24" t="s">
        <v>45</v>
      </c>
      <c r="F26" s="25">
        <v>97.5</v>
      </c>
      <c r="G26" s="25">
        <v>0</v>
      </c>
      <c r="H26" s="57">
        <f t="shared" si="0"/>
        <v>97.5</v>
      </c>
      <c r="I26" s="59">
        <f t="shared" si="1"/>
        <v>0</v>
      </c>
    </row>
    <row r="27" spans="1:9" ht="89.25">
      <c r="A27" s="23"/>
      <c r="B27" s="23"/>
      <c r="C27" s="23" t="s">
        <v>295</v>
      </c>
      <c r="D27" s="23"/>
      <c r="E27" s="24" t="s">
        <v>296</v>
      </c>
      <c r="F27" s="25">
        <f>F28</f>
        <v>608.4</v>
      </c>
      <c r="G27" s="25">
        <f>G28</f>
        <v>287.7</v>
      </c>
      <c r="H27" s="57">
        <f t="shared" si="0"/>
        <v>320.7</v>
      </c>
      <c r="I27" s="59">
        <f t="shared" si="1"/>
        <v>0.47287968441814593</v>
      </c>
    </row>
    <row r="28" spans="1:9" ht="51">
      <c r="A28" s="23"/>
      <c r="B28" s="23"/>
      <c r="C28" s="23" t="s">
        <v>284</v>
      </c>
      <c r="D28" s="23"/>
      <c r="E28" s="24" t="s">
        <v>86</v>
      </c>
      <c r="F28" s="25">
        <f>SUM(F29:F30)</f>
        <v>608.4</v>
      </c>
      <c r="G28" s="25">
        <f>SUM(G29:G30)</f>
        <v>287.7</v>
      </c>
      <c r="H28" s="57">
        <f t="shared" si="0"/>
        <v>320.7</v>
      </c>
      <c r="I28" s="59">
        <f t="shared" si="1"/>
        <v>0.47287968441814593</v>
      </c>
    </row>
    <row r="29" spans="1:9" ht="89.25">
      <c r="A29" s="23"/>
      <c r="B29" s="23"/>
      <c r="C29" s="23"/>
      <c r="D29" s="23" t="s">
        <v>42</v>
      </c>
      <c r="E29" s="24" t="s">
        <v>149</v>
      </c>
      <c r="F29" s="25">
        <v>583.9</v>
      </c>
      <c r="G29" s="25">
        <v>280.9</v>
      </c>
      <c r="H29" s="57">
        <f t="shared" si="0"/>
        <v>303</v>
      </c>
      <c r="I29" s="59">
        <f t="shared" si="1"/>
        <v>0.48107552663127245</v>
      </c>
    </row>
    <row r="30" spans="1:9" ht="38.25">
      <c r="A30" s="23"/>
      <c r="B30" s="23"/>
      <c r="C30" s="23"/>
      <c r="D30" s="23" t="s">
        <v>43</v>
      </c>
      <c r="E30" s="24" t="s">
        <v>150</v>
      </c>
      <c r="F30" s="25">
        <f>17.5+7</f>
        <v>24.5</v>
      </c>
      <c r="G30" s="25">
        <v>6.8</v>
      </c>
      <c r="H30" s="57">
        <f t="shared" si="0"/>
        <v>17.7</v>
      </c>
      <c r="I30" s="59">
        <f t="shared" si="1"/>
        <v>0.27755102040816326</v>
      </c>
    </row>
    <row r="31" spans="1:9" ht="12.75">
      <c r="A31" s="23"/>
      <c r="B31" s="23"/>
      <c r="C31" s="23" t="s">
        <v>421</v>
      </c>
      <c r="D31" s="23"/>
      <c r="E31" s="24" t="s">
        <v>422</v>
      </c>
      <c r="F31" s="25">
        <f>F32</f>
        <v>850</v>
      </c>
      <c r="G31" s="25">
        <f>G32</f>
        <v>229.3</v>
      </c>
      <c r="H31" s="57">
        <f t="shared" si="0"/>
        <v>620.7</v>
      </c>
      <c r="I31" s="59">
        <f t="shared" si="1"/>
        <v>0.26976470588235296</v>
      </c>
    </row>
    <row r="32" spans="1:9" ht="76.5">
      <c r="A32" s="23"/>
      <c r="B32" s="23"/>
      <c r="C32" s="23" t="s">
        <v>425</v>
      </c>
      <c r="D32" s="23"/>
      <c r="E32" s="24" t="s">
        <v>426</v>
      </c>
      <c r="F32" s="25">
        <f>F33+F34</f>
        <v>850</v>
      </c>
      <c r="G32" s="25">
        <f>G33+G34</f>
        <v>229.3</v>
      </c>
      <c r="H32" s="57">
        <f t="shared" si="0"/>
        <v>620.7</v>
      </c>
      <c r="I32" s="59">
        <f t="shared" si="1"/>
        <v>0.26976470588235296</v>
      </c>
    </row>
    <row r="33" spans="1:9" ht="38.25">
      <c r="A33" s="23"/>
      <c r="B33" s="23"/>
      <c r="C33" s="23"/>
      <c r="D33" s="23" t="s">
        <v>43</v>
      </c>
      <c r="E33" s="24" t="s">
        <v>150</v>
      </c>
      <c r="F33" s="25">
        <v>30</v>
      </c>
      <c r="G33" s="25">
        <v>15</v>
      </c>
      <c r="H33" s="57">
        <f t="shared" si="0"/>
        <v>15</v>
      </c>
      <c r="I33" s="59">
        <f t="shared" si="1"/>
        <v>0.5</v>
      </c>
    </row>
    <row r="34" spans="1:9" ht="12.75">
      <c r="A34" s="23"/>
      <c r="B34" s="23"/>
      <c r="C34" s="23"/>
      <c r="D34" s="23" t="s">
        <v>44</v>
      </c>
      <c r="E34" s="24" t="s">
        <v>45</v>
      </c>
      <c r="F34" s="25">
        <v>820</v>
      </c>
      <c r="G34" s="25">
        <v>214.3</v>
      </c>
      <c r="H34" s="57">
        <f t="shared" si="0"/>
        <v>605.7</v>
      </c>
      <c r="I34" s="59">
        <f t="shared" si="1"/>
        <v>0.26134146341463416</v>
      </c>
    </row>
    <row r="35" spans="1:9" ht="12.75">
      <c r="A35" s="23"/>
      <c r="B35" s="23" t="s">
        <v>118</v>
      </c>
      <c r="C35" s="23"/>
      <c r="D35" s="23"/>
      <c r="E35" s="24" t="s">
        <v>119</v>
      </c>
      <c r="F35" s="25">
        <f>F36+F40</f>
        <v>1600.6</v>
      </c>
      <c r="G35" s="25">
        <f>G36+G40</f>
        <v>70.1</v>
      </c>
      <c r="H35" s="57">
        <f t="shared" si="0"/>
        <v>1530.5</v>
      </c>
      <c r="I35" s="59">
        <f t="shared" si="1"/>
        <v>0.043796076471323254</v>
      </c>
    </row>
    <row r="36" spans="1:9" ht="12.75">
      <c r="A36" s="23"/>
      <c r="B36" s="23" t="s">
        <v>120</v>
      </c>
      <c r="C36" s="23"/>
      <c r="D36" s="23"/>
      <c r="E36" s="24" t="s">
        <v>121</v>
      </c>
      <c r="F36" s="25">
        <f>F37</f>
        <v>134.1</v>
      </c>
      <c r="G36" s="25">
        <f aca="true" t="shared" si="2" ref="F36:G38">G37</f>
        <v>65.1</v>
      </c>
      <c r="H36" s="57">
        <f t="shared" si="0"/>
        <v>69</v>
      </c>
      <c r="I36" s="59">
        <f t="shared" si="1"/>
        <v>0.4854586129753915</v>
      </c>
    </row>
    <row r="37" spans="1:9" ht="12.75">
      <c r="A37" s="23"/>
      <c r="B37" s="23"/>
      <c r="C37" s="23" t="s">
        <v>74</v>
      </c>
      <c r="D37" s="23"/>
      <c r="E37" s="24" t="s">
        <v>287</v>
      </c>
      <c r="F37" s="25">
        <f>F38</f>
        <v>134.1</v>
      </c>
      <c r="G37" s="25">
        <f>G38</f>
        <v>65.1</v>
      </c>
      <c r="H37" s="57">
        <f t="shared" si="0"/>
        <v>69</v>
      </c>
      <c r="I37" s="59">
        <f t="shared" si="1"/>
        <v>0.4854586129753915</v>
      </c>
    </row>
    <row r="38" spans="1:9" ht="89.25">
      <c r="A38" s="23"/>
      <c r="B38" s="23"/>
      <c r="C38" s="23" t="s">
        <v>151</v>
      </c>
      <c r="D38" s="23"/>
      <c r="E38" s="24" t="s">
        <v>152</v>
      </c>
      <c r="F38" s="25">
        <f t="shared" si="2"/>
        <v>134.1</v>
      </c>
      <c r="G38" s="25">
        <f t="shared" si="2"/>
        <v>65.1</v>
      </c>
      <c r="H38" s="57">
        <f t="shared" si="0"/>
        <v>69</v>
      </c>
      <c r="I38" s="59">
        <f t="shared" si="1"/>
        <v>0.4854586129753915</v>
      </c>
    </row>
    <row r="39" spans="1:9" ht="25.5">
      <c r="A39" s="23"/>
      <c r="B39" s="23"/>
      <c r="C39" s="23"/>
      <c r="D39" s="23" t="s">
        <v>47</v>
      </c>
      <c r="E39" s="24" t="s">
        <v>48</v>
      </c>
      <c r="F39" s="25">
        <v>134.1</v>
      </c>
      <c r="G39" s="25">
        <v>65.1</v>
      </c>
      <c r="H39" s="57">
        <f t="shared" si="0"/>
        <v>69</v>
      </c>
      <c r="I39" s="59">
        <f t="shared" si="1"/>
        <v>0.4854586129753915</v>
      </c>
    </row>
    <row r="40" spans="1:9" ht="12.75">
      <c r="A40" s="23"/>
      <c r="B40" s="23" t="s">
        <v>122</v>
      </c>
      <c r="C40" s="23"/>
      <c r="D40" s="23"/>
      <c r="E40" s="24" t="s">
        <v>123</v>
      </c>
      <c r="F40" s="25">
        <f>F41</f>
        <v>1466.5</v>
      </c>
      <c r="G40" s="25">
        <f>G41</f>
        <v>5</v>
      </c>
      <c r="H40" s="57">
        <f t="shared" si="0"/>
        <v>1461.5</v>
      </c>
      <c r="I40" s="59">
        <f t="shared" si="1"/>
        <v>0.0034094783498124785</v>
      </c>
    </row>
    <row r="41" spans="1:9" ht="12.75">
      <c r="A41" s="23"/>
      <c r="B41" s="23"/>
      <c r="C41" s="23" t="s">
        <v>74</v>
      </c>
      <c r="D41" s="23"/>
      <c r="E41" s="24" t="s">
        <v>287</v>
      </c>
      <c r="F41" s="25">
        <f>F42+F44</f>
        <v>1466.5</v>
      </c>
      <c r="G41" s="25">
        <f>G42+G44</f>
        <v>5</v>
      </c>
      <c r="H41" s="57">
        <f t="shared" si="0"/>
        <v>1461.5</v>
      </c>
      <c r="I41" s="59">
        <f t="shared" si="1"/>
        <v>0.0034094783498124785</v>
      </c>
    </row>
    <row r="42" spans="1:9" ht="25.5">
      <c r="A42" s="23"/>
      <c r="B42" s="23"/>
      <c r="C42" s="23" t="s">
        <v>460</v>
      </c>
      <c r="D42" s="23"/>
      <c r="E42" s="24" t="s">
        <v>459</v>
      </c>
      <c r="F42" s="25">
        <f>F43</f>
        <v>5</v>
      </c>
      <c r="G42" s="25">
        <f>G43</f>
        <v>5</v>
      </c>
      <c r="H42" s="57">
        <f t="shared" si="0"/>
        <v>0</v>
      </c>
      <c r="I42" s="59">
        <f t="shared" si="1"/>
        <v>1</v>
      </c>
    </row>
    <row r="43" spans="1:9" ht="25.5">
      <c r="A43" s="23"/>
      <c r="B43" s="23"/>
      <c r="C43" s="23"/>
      <c r="D43" s="23" t="s">
        <v>47</v>
      </c>
      <c r="E43" s="24" t="s">
        <v>48</v>
      </c>
      <c r="F43" s="25">
        <v>5</v>
      </c>
      <c r="G43" s="25">
        <v>5</v>
      </c>
      <c r="H43" s="57">
        <f t="shared" si="0"/>
        <v>0</v>
      </c>
      <c r="I43" s="59">
        <f t="shared" si="1"/>
        <v>1</v>
      </c>
    </row>
    <row r="44" spans="1:9" ht="51">
      <c r="A44" s="23"/>
      <c r="B44" s="23"/>
      <c r="C44" s="23" t="s">
        <v>461</v>
      </c>
      <c r="D44" s="23"/>
      <c r="E44" s="24" t="s">
        <v>1081</v>
      </c>
      <c r="F44" s="25">
        <f>F45</f>
        <v>1461.5</v>
      </c>
      <c r="G44" s="25">
        <f>G45</f>
        <v>0</v>
      </c>
      <c r="H44" s="57">
        <f t="shared" si="0"/>
        <v>1461.5</v>
      </c>
      <c r="I44" s="59">
        <f t="shared" si="1"/>
        <v>0</v>
      </c>
    </row>
    <row r="45" spans="1:9" ht="25.5">
      <c r="A45" s="23"/>
      <c r="B45" s="23"/>
      <c r="C45" s="23"/>
      <c r="D45" s="23" t="s">
        <v>47</v>
      </c>
      <c r="E45" s="24" t="s">
        <v>48</v>
      </c>
      <c r="F45" s="25">
        <v>1461.5</v>
      </c>
      <c r="G45" s="25">
        <v>0</v>
      </c>
      <c r="H45" s="57">
        <f t="shared" si="0"/>
        <v>1461.5</v>
      </c>
      <c r="I45" s="59">
        <f t="shared" si="1"/>
        <v>0</v>
      </c>
    </row>
    <row r="46" spans="1:9" ht="12.75">
      <c r="A46" s="23"/>
      <c r="B46" s="23"/>
      <c r="C46" s="23"/>
      <c r="D46" s="23"/>
      <c r="E46" s="27"/>
      <c r="F46" s="25"/>
      <c r="G46" s="25"/>
      <c r="H46" s="39"/>
      <c r="I46" s="58"/>
    </row>
    <row r="47" spans="1:9" s="35" customFormat="1" ht="38.25">
      <c r="A47" s="21" t="s">
        <v>153</v>
      </c>
      <c r="B47" s="21"/>
      <c r="C47" s="21"/>
      <c r="D47" s="21"/>
      <c r="E47" s="33" t="s">
        <v>154</v>
      </c>
      <c r="F47" s="36">
        <f>F48+F130+F150+F99+F155+F83+F113+F91+F145</f>
        <v>69086.6</v>
      </c>
      <c r="G47" s="36">
        <f>G48+G130+G150+G99+G155+G83+G113+G91+G145</f>
        <v>26061.500000000004</v>
      </c>
      <c r="H47" s="39">
        <f t="shared" si="0"/>
        <v>43025.100000000006</v>
      </c>
      <c r="I47" s="58">
        <f t="shared" si="1"/>
        <v>0.377229448257694</v>
      </c>
    </row>
    <row r="48" spans="1:9" ht="25.5">
      <c r="A48" s="23"/>
      <c r="B48" s="23" t="s">
        <v>38</v>
      </c>
      <c r="C48" s="23"/>
      <c r="D48" s="23"/>
      <c r="E48" s="24" t="s">
        <v>39</v>
      </c>
      <c r="F48" s="25">
        <f>F49+F71+F67</f>
        <v>14470.500000000002</v>
      </c>
      <c r="G48" s="25">
        <f>G49+G71+G67</f>
        <v>5187.800000000001</v>
      </c>
      <c r="H48" s="57">
        <f t="shared" si="0"/>
        <v>9282.7</v>
      </c>
      <c r="I48" s="59">
        <f t="shared" si="1"/>
        <v>0.35850869009363884</v>
      </c>
    </row>
    <row r="49" spans="1:9" ht="63.75">
      <c r="A49" s="23"/>
      <c r="B49" s="23" t="s">
        <v>52</v>
      </c>
      <c r="C49" s="23"/>
      <c r="D49" s="23"/>
      <c r="E49" s="24" t="s">
        <v>155</v>
      </c>
      <c r="F49" s="25">
        <f>F50+F63</f>
        <v>12018.900000000001</v>
      </c>
      <c r="G49" s="25">
        <f>G50+G63</f>
        <v>5186.800000000001</v>
      </c>
      <c r="H49" s="57">
        <f t="shared" si="0"/>
        <v>6832.1</v>
      </c>
      <c r="I49" s="59">
        <f t="shared" si="1"/>
        <v>0.4315536363560726</v>
      </c>
    </row>
    <row r="50" spans="1:9" ht="25.5">
      <c r="A50" s="23"/>
      <c r="B50" s="23"/>
      <c r="C50" s="23" t="s">
        <v>81</v>
      </c>
      <c r="D50" s="23"/>
      <c r="E50" s="24" t="s">
        <v>285</v>
      </c>
      <c r="F50" s="25">
        <f>F51+F55+F57+F59+F61</f>
        <v>11953.400000000001</v>
      </c>
      <c r="G50" s="25">
        <f>G51+G55+G57+G59+G61</f>
        <v>5154.000000000001</v>
      </c>
      <c r="H50" s="57">
        <f t="shared" si="0"/>
        <v>6799.400000000001</v>
      </c>
      <c r="I50" s="59">
        <f t="shared" si="1"/>
        <v>0.4311743938962973</v>
      </c>
    </row>
    <row r="51" spans="1:9" ht="51">
      <c r="A51" s="23"/>
      <c r="B51" s="23"/>
      <c r="C51" s="23" t="s">
        <v>147</v>
      </c>
      <c r="D51" s="23"/>
      <c r="E51" s="24" t="s">
        <v>148</v>
      </c>
      <c r="F51" s="25">
        <f>SUM(F52:F54)</f>
        <v>11528</v>
      </c>
      <c r="G51" s="25">
        <f>SUM(G52:G54)</f>
        <v>4943.1</v>
      </c>
      <c r="H51" s="57">
        <f t="shared" si="0"/>
        <v>6584.9</v>
      </c>
      <c r="I51" s="59">
        <f t="shared" si="1"/>
        <v>0.4287907702984039</v>
      </c>
    </row>
    <row r="52" spans="1:9" ht="89.25">
      <c r="A52" s="23"/>
      <c r="B52" s="23"/>
      <c r="C52" s="23"/>
      <c r="D52" s="23" t="s">
        <v>42</v>
      </c>
      <c r="E52" s="24" t="s">
        <v>149</v>
      </c>
      <c r="F52" s="25">
        <v>10205.9</v>
      </c>
      <c r="G52" s="25">
        <v>4734.6</v>
      </c>
      <c r="H52" s="57">
        <f t="shared" si="0"/>
        <v>5471.299999999999</v>
      </c>
      <c r="I52" s="59">
        <f t="shared" si="1"/>
        <v>0.4639081315709541</v>
      </c>
    </row>
    <row r="53" spans="1:9" ht="38.25">
      <c r="A53" s="23"/>
      <c r="B53" s="23"/>
      <c r="C53" s="23"/>
      <c r="D53" s="23" t="s">
        <v>43</v>
      </c>
      <c r="E53" s="24" t="s">
        <v>150</v>
      </c>
      <c r="F53" s="25">
        <v>1320.9</v>
      </c>
      <c r="G53" s="25">
        <v>208.2</v>
      </c>
      <c r="H53" s="57">
        <f t="shared" si="0"/>
        <v>1112.7</v>
      </c>
      <c r="I53" s="59">
        <f t="shared" si="1"/>
        <v>0.15761980467862818</v>
      </c>
    </row>
    <row r="54" spans="1:9" ht="12.75">
      <c r="A54" s="23"/>
      <c r="B54" s="23"/>
      <c r="C54" s="23"/>
      <c r="D54" s="23" t="s">
        <v>44</v>
      </c>
      <c r="E54" s="24" t="s">
        <v>45</v>
      </c>
      <c r="F54" s="25">
        <f>2.9-1.8+0.1</f>
        <v>1.2</v>
      </c>
      <c r="G54" s="25">
        <v>0.3</v>
      </c>
      <c r="H54" s="57">
        <f t="shared" si="0"/>
        <v>0.8999999999999999</v>
      </c>
      <c r="I54" s="59">
        <f t="shared" si="1"/>
        <v>0.25</v>
      </c>
    </row>
    <row r="55" spans="1:9" ht="63.75">
      <c r="A55" s="23"/>
      <c r="B55" s="23"/>
      <c r="C55" s="23" t="s">
        <v>463</v>
      </c>
      <c r="D55" s="23"/>
      <c r="E55" s="24" t="s">
        <v>464</v>
      </c>
      <c r="F55" s="25">
        <f>F56</f>
        <v>224.1</v>
      </c>
      <c r="G55" s="25">
        <f>G56</f>
        <v>110.3</v>
      </c>
      <c r="H55" s="57">
        <f t="shared" si="0"/>
        <v>113.8</v>
      </c>
      <c r="I55" s="59">
        <f t="shared" si="1"/>
        <v>0.4921909861668898</v>
      </c>
    </row>
    <row r="56" spans="1:9" ht="89.25">
      <c r="A56" s="23"/>
      <c r="B56" s="23"/>
      <c r="C56" s="23"/>
      <c r="D56" s="23" t="s">
        <v>42</v>
      </c>
      <c r="E56" s="24" t="s">
        <v>149</v>
      </c>
      <c r="F56" s="25">
        <v>224.1</v>
      </c>
      <c r="G56" s="25">
        <v>110.3</v>
      </c>
      <c r="H56" s="57">
        <f t="shared" si="0"/>
        <v>113.8</v>
      </c>
      <c r="I56" s="59">
        <f t="shared" si="1"/>
        <v>0.4921909861668898</v>
      </c>
    </row>
    <row r="57" spans="1:9" ht="51">
      <c r="A57" s="23"/>
      <c r="B57" s="23"/>
      <c r="C57" s="23" t="s">
        <v>465</v>
      </c>
      <c r="D57" s="23"/>
      <c r="E57" s="24" t="s">
        <v>468</v>
      </c>
      <c r="F57" s="25">
        <f>F58</f>
        <v>76.7</v>
      </c>
      <c r="G57" s="25">
        <f>G58</f>
        <v>38.3</v>
      </c>
      <c r="H57" s="57">
        <f t="shared" si="0"/>
        <v>38.400000000000006</v>
      </c>
      <c r="I57" s="59">
        <f t="shared" si="1"/>
        <v>0.499348109517601</v>
      </c>
    </row>
    <row r="58" spans="1:9" ht="89.25">
      <c r="A58" s="23"/>
      <c r="B58" s="23"/>
      <c r="C58" s="23"/>
      <c r="D58" s="23" t="s">
        <v>42</v>
      </c>
      <c r="E58" s="24" t="s">
        <v>149</v>
      </c>
      <c r="F58" s="25">
        <v>76.7</v>
      </c>
      <c r="G58" s="25">
        <v>38.3</v>
      </c>
      <c r="H58" s="57">
        <f t="shared" si="0"/>
        <v>38.400000000000006</v>
      </c>
      <c r="I58" s="59">
        <f t="shared" si="1"/>
        <v>0.499348109517601</v>
      </c>
    </row>
    <row r="59" spans="1:9" ht="38.25">
      <c r="A59" s="23"/>
      <c r="B59" s="23"/>
      <c r="C59" s="23" t="s">
        <v>466</v>
      </c>
      <c r="D59" s="23"/>
      <c r="E59" s="24" t="s">
        <v>467</v>
      </c>
      <c r="F59" s="25">
        <f>F60</f>
        <v>67.1</v>
      </c>
      <c r="G59" s="25">
        <f>G60</f>
        <v>33.6</v>
      </c>
      <c r="H59" s="57">
        <f t="shared" si="0"/>
        <v>33.49999999999999</v>
      </c>
      <c r="I59" s="59">
        <f t="shared" si="1"/>
        <v>0.5007451564828614</v>
      </c>
    </row>
    <row r="60" spans="1:9" ht="89.25">
      <c r="A60" s="23"/>
      <c r="B60" s="23"/>
      <c r="C60" s="23"/>
      <c r="D60" s="23" t="s">
        <v>42</v>
      </c>
      <c r="E60" s="24" t="s">
        <v>149</v>
      </c>
      <c r="F60" s="25">
        <v>67.1</v>
      </c>
      <c r="G60" s="25">
        <v>33.6</v>
      </c>
      <c r="H60" s="57">
        <f t="shared" si="0"/>
        <v>33.49999999999999</v>
      </c>
      <c r="I60" s="59">
        <f t="shared" si="1"/>
        <v>0.5007451564828614</v>
      </c>
    </row>
    <row r="61" spans="1:9" ht="51" customHeight="1">
      <c r="A61" s="23"/>
      <c r="B61" s="23"/>
      <c r="C61" s="23" t="s">
        <v>469</v>
      </c>
      <c r="D61" s="23"/>
      <c r="E61" s="24" t="s">
        <v>470</v>
      </c>
      <c r="F61" s="25">
        <f>F62</f>
        <v>57.5</v>
      </c>
      <c r="G61" s="25">
        <f>G62</f>
        <v>28.7</v>
      </c>
      <c r="H61" s="57">
        <f t="shared" si="0"/>
        <v>28.8</v>
      </c>
      <c r="I61" s="59">
        <f t="shared" si="1"/>
        <v>0.49913043478260866</v>
      </c>
    </row>
    <row r="62" spans="1:9" ht="89.25">
      <c r="A62" s="23"/>
      <c r="B62" s="23"/>
      <c r="C62" s="23"/>
      <c r="D62" s="23" t="s">
        <v>42</v>
      </c>
      <c r="E62" s="24" t="s">
        <v>149</v>
      </c>
      <c r="F62" s="25">
        <v>57.5</v>
      </c>
      <c r="G62" s="25">
        <v>28.7</v>
      </c>
      <c r="H62" s="57">
        <f t="shared" si="0"/>
        <v>28.8</v>
      </c>
      <c r="I62" s="59">
        <f t="shared" si="1"/>
        <v>0.49913043478260866</v>
      </c>
    </row>
    <row r="63" spans="1:9" ht="63.75">
      <c r="A63" s="23"/>
      <c r="B63" s="23"/>
      <c r="C63" s="23" t="s">
        <v>53</v>
      </c>
      <c r="D63" s="23"/>
      <c r="E63" s="24" t="s">
        <v>289</v>
      </c>
      <c r="F63" s="25">
        <f aca="true" t="shared" si="3" ref="F63:G65">F64</f>
        <v>65.5</v>
      </c>
      <c r="G63" s="25">
        <f t="shared" si="3"/>
        <v>32.8</v>
      </c>
      <c r="H63" s="57">
        <f t="shared" si="0"/>
        <v>32.7</v>
      </c>
      <c r="I63" s="59">
        <f t="shared" si="1"/>
        <v>0.5007633587786259</v>
      </c>
    </row>
    <row r="64" spans="1:9" ht="89.25">
      <c r="A64" s="23"/>
      <c r="B64" s="23"/>
      <c r="C64" s="23" t="s">
        <v>290</v>
      </c>
      <c r="D64" s="23"/>
      <c r="E64" s="24" t="s">
        <v>291</v>
      </c>
      <c r="F64" s="25">
        <f t="shared" si="3"/>
        <v>65.5</v>
      </c>
      <c r="G64" s="25">
        <f t="shared" si="3"/>
        <v>32.8</v>
      </c>
      <c r="H64" s="57">
        <f t="shared" si="0"/>
        <v>32.7</v>
      </c>
      <c r="I64" s="59">
        <f t="shared" si="1"/>
        <v>0.5007633587786259</v>
      </c>
    </row>
    <row r="65" spans="1:9" ht="51">
      <c r="A65" s="23"/>
      <c r="B65" s="23"/>
      <c r="C65" s="23" t="s">
        <v>288</v>
      </c>
      <c r="D65" s="23"/>
      <c r="E65" s="24" t="s">
        <v>54</v>
      </c>
      <c r="F65" s="25">
        <f t="shared" si="3"/>
        <v>65.5</v>
      </c>
      <c r="G65" s="25">
        <f t="shared" si="3"/>
        <v>32.8</v>
      </c>
      <c r="H65" s="57">
        <f t="shared" si="0"/>
        <v>32.7</v>
      </c>
      <c r="I65" s="59">
        <f t="shared" si="1"/>
        <v>0.5007633587786259</v>
      </c>
    </row>
    <row r="66" spans="1:9" ht="89.25">
      <c r="A66" s="23"/>
      <c r="B66" s="23"/>
      <c r="C66" s="23"/>
      <c r="D66" s="23" t="s">
        <v>42</v>
      </c>
      <c r="E66" s="24" t="s">
        <v>149</v>
      </c>
      <c r="F66" s="25">
        <v>65.5</v>
      </c>
      <c r="G66" s="25">
        <v>32.8</v>
      </c>
      <c r="H66" s="57">
        <f t="shared" si="0"/>
        <v>32.7</v>
      </c>
      <c r="I66" s="59">
        <f t="shared" si="1"/>
        <v>0.5007633587786259</v>
      </c>
    </row>
    <row r="67" spans="1:9" ht="12.75">
      <c r="A67" s="23"/>
      <c r="B67" s="23" t="s">
        <v>56</v>
      </c>
      <c r="C67" s="23"/>
      <c r="D67" s="23"/>
      <c r="E67" s="24" t="s">
        <v>57</v>
      </c>
      <c r="F67" s="25">
        <f aca="true" t="shared" si="4" ref="F67:G69">F68</f>
        <v>1666.7</v>
      </c>
      <c r="G67" s="25">
        <f t="shared" si="4"/>
        <v>0</v>
      </c>
      <c r="H67" s="57">
        <f t="shared" si="0"/>
        <v>1666.7</v>
      </c>
      <c r="I67" s="59">
        <f t="shared" si="1"/>
        <v>0</v>
      </c>
    </row>
    <row r="68" spans="1:9" ht="25.5">
      <c r="A68" s="23"/>
      <c r="B68" s="23"/>
      <c r="C68" s="23" t="s">
        <v>55</v>
      </c>
      <c r="D68" s="23"/>
      <c r="E68" s="24" t="s">
        <v>297</v>
      </c>
      <c r="F68" s="25">
        <f t="shared" si="4"/>
        <v>1666.7</v>
      </c>
      <c r="G68" s="25">
        <f t="shared" si="4"/>
        <v>0</v>
      </c>
      <c r="H68" s="57">
        <f t="shared" si="0"/>
        <v>1666.7</v>
      </c>
      <c r="I68" s="59">
        <f t="shared" si="1"/>
        <v>0</v>
      </c>
    </row>
    <row r="69" spans="1:9" ht="38.25">
      <c r="A69" s="23"/>
      <c r="B69" s="23"/>
      <c r="C69" s="23" t="s">
        <v>244</v>
      </c>
      <c r="D69" s="23"/>
      <c r="E69" s="24" t="s">
        <v>245</v>
      </c>
      <c r="F69" s="25">
        <f t="shared" si="4"/>
        <v>1666.7</v>
      </c>
      <c r="G69" s="25">
        <f t="shared" si="4"/>
        <v>0</v>
      </c>
      <c r="H69" s="57">
        <f t="shared" si="0"/>
        <v>1666.7</v>
      </c>
      <c r="I69" s="59">
        <f t="shared" si="1"/>
        <v>0</v>
      </c>
    </row>
    <row r="70" spans="1:9" ht="12.75">
      <c r="A70" s="23"/>
      <c r="B70" s="23"/>
      <c r="C70" s="23"/>
      <c r="D70" s="23" t="s">
        <v>44</v>
      </c>
      <c r="E70" s="24" t="s">
        <v>45</v>
      </c>
      <c r="F70" s="25">
        <v>1666.7</v>
      </c>
      <c r="G70" s="25">
        <v>0</v>
      </c>
      <c r="H70" s="57">
        <f t="shared" si="0"/>
        <v>1666.7</v>
      </c>
      <c r="I70" s="59">
        <f t="shared" si="1"/>
        <v>0</v>
      </c>
    </row>
    <row r="71" spans="1:9" ht="25.5">
      <c r="A71" s="23"/>
      <c r="B71" s="23" t="s">
        <v>58</v>
      </c>
      <c r="C71" s="23"/>
      <c r="D71" s="23"/>
      <c r="E71" s="24" t="s">
        <v>59</v>
      </c>
      <c r="F71" s="25">
        <f>F72</f>
        <v>784.9</v>
      </c>
      <c r="G71" s="25">
        <f>G72</f>
        <v>1</v>
      </c>
      <c r="H71" s="57">
        <f t="shared" si="0"/>
        <v>783.9</v>
      </c>
      <c r="I71" s="59">
        <f t="shared" si="1"/>
        <v>0.0012740476493820869</v>
      </c>
    </row>
    <row r="72" spans="1:9" ht="25.5">
      <c r="A72" s="23"/>
      <c r="B72" s="23"/>
      <c r="C72" s="23" t="s">
        <v>55</v>
      </c>
      <c r="D72" s="23"/>
      <c r="E72" s="24" t="s">
        <v>297</v>
      </c>
      <c r="F72" s="25">
        <f>F75+F73+F81+F79+F77</f>
        <v>784.9</v>
      </c>
      <c r="G72" s="25">
        <f>G75+G73+G81+G79+G77</f>
        <v>1</v>
      </c>
      <c r="H72" s="57">
        <f t="shared" si="0"/>
        <v>783.9</v>
      </c>
      <c r="I72" s="59">
        <f t="shared" si="1"/>
        <v>0.0012740476493820869</v>
      </c>
    </row>
    <row r="73" spans="1:9" ht="12.75" hidden="1">
      <c r="A73" s="23"/>
      <c r="B73" s="23"/>
      <c r="C73" s="23" t="s">
        <v>170</v>
      </c>
      <c r="D73" s="23"/>
      <c r="E73" s="24" t="s">
        <v>171</v>
      </c>
      <c r="F73" s="25">
        <f>F74</f>
        <v>0</v>
      </c>
      <c r="G73" s="25">
        <f>G74</f>
        <v>0</v>
      </c>
      <c r="H73" s="57">
        <f t="shared" si="0"/>
        <v>0</v>
      </c>
      <c r="I73" s="59" t="e">
        <f t="shared" si="1"/>
        <v>#DIV/0!</v>
      </c>
    </row>
    <row r="74" spans="1:9" ht="12.75" hidden="1">
      <c r="A74" s="23"/>
      <c r="B74" s="23"/>
      <c r="C74" s="23"/>
      <c r="D74" s="23" t="s">
        <v>44</v>
      </c>
      <c r="E74" s="24" t="s">
        <v>45</v>
      </c>
      <c r="F74" s="25">
        <f>5800-5400-400</f>
        <v>0</v>
      </c>
      <c r="G74" s="25">
        <f>5800-5400-400</f>
        <v>0</v>
      </c>
      <c r="H74" s="57">
        <f t="shared" si="0"/>
        <v>0</v>
      </c>
      <c r="I74" s="59" t="e">
        <f t="shared" si="1"/>
        <v>#DIV/0!</v>
      </c>
    </row>
    <row r="75" spans="1:9" ht="63.75">
      <c r="A75" s="23"/>
      <c r="B75" s="23"/>
      <c r="C75" s="23" t="s">
        <v>236</v>
      </c>
      <c r="D75" s="23"/>
      <c r="E75" s="24" t="s">
        <v>237</v>
      </c>
      <c r="F75" s="25">
        <f>F76</f>
        <v>0.1</v>
      </c>
      <c r="G75" s="25">
        <f>G76</f>
        <v>0</v>
      </c>
      <c r="H75" s="57">
        <f t="shared" si="0"/>
        <v>0.1</v>
      </c>
      <c r="I75" s="59">
        <f t="shared" si="1"/>
        <v>0</v>
      </c>
    </row>
    <row r="76" spans="1:9" ht="12.75">
      <c r="A76" s="23"/>
      <c r="B76" s="23"/>
      <c r="C76" s="23"/>
      <c r="D76" s="23" t="s">
        <v>44</v>
      </c>
      <c r="E76" s="24" t="s">
        <v>45</v>
      </c>
      <c r="F76" s="25">
        <v>0.1</v>
      </c>
      <c r="G76" s="25">
        <f>24480.6+2691.9+0.3+13.4+34228.1-1300-4610.6-10798.5-4020.3-40684.9</f>
        <v>0</v>
      </c>
      <c r="H76" s="57">
        <f t="shared" si="0"/>
        <v>0.1</v>
      </c>
      <c r="I76" s="59">
        <f t="shared" si="1"/>
        <v>0</v>
      </c>
    </row>
    <row r="77" spans="1:9" ht="38.25">
      <c r="A77" s="23"/>
      <c r="B77" s="23"/>
      <c r="C77" s="23" t="s">
        <v>278</v>
      </c>
      <c r="D77" s="23"/>
      <c r="E77" s="24" t="s">
        <v>279</v>
      </c>
      <c r="F77" s="25">
        <f>F78</f>
        <v>50</v>
      </c>
      <c r="G77" s="25">
        <f>G78</f>
        <v>0</v>
      </c>
      <c r="H77" s="57">
        <f t="shared" si="0"/>
        <v>50</v>
      </c>
      <c r="I77" s="59">
        <f t="shared" si="1"/>
        <v>0</v>
      </c>
    </row>
    <row r="78" spans="1:9" ht="12.75">
      <c r="A78" s="23"/>
      <c r="B78" s="23"/>
      <c r="C78" s="23"/>
      <c r="D78" s="23" t="s">
        <v>49</v>
      </c>
      <c r="E78" s="24" t="s">
        <v>50</v>
      </c>
      <c r="F78" s="25">
        <v>50</v>
      </c>
      <c r="G78" s="25">
        <v>0</v>
      </c>
      <c r="H78" s="57">
        <f t="shared" si="0"/>
        <v>50</v>
      </c>
      <c r="I78" s="59">
        <f t="shared" si="1"/>
        <v>0</v>
      </c>
    </row>
    <row r="79" spans="1:9" ht="63.75">
      <c r="A79" s="23"/>
      <c r="B79" s="23"/>
      <c r="C79" s="23" t="s">
        <v>471</v>
      </c>
      <c r="D79" s="23"/>
      <c r="E79" s="24" t="s">
        <v>472</v>
      </c>
      <c r="F79" s="25">
        <f>F80</f>
        <v>1</v>
      </c>
      <c r="G79" s="25">
        <f>G80</f>
        <v>1</v>
      </c>
      <c r="H79" s="57">
        <f t="shared" si="0"/>
        <v>0</v>
      </c>
      <c r="I79" s="59">
        <f t="shared" si="1"/>
        <v>1</v>
      </c>
    </row>
    <row r="80" spans="1:9" ht="25.5">
      <c r="A80" s="23"/>
      <c r="B80" s="23"/>
      <c r="C80" s="23"/>
      <c r="D80" s="23" t="s">
        <v>47</v>
      </c>
      <c r="E80" s="24" t="s">
        <v>48</v>
      </c>
      <c r="F80" s="25">
        <v>1</v>
      </c>
      <c r="G80" s="25">
        <v>1</v>
      </c>
      <c r="H80" s="57">
        <f t="shared" si="0"/>
        <v>0</v>
      </c>
      <c r="I80" s="59">
        <f t="shared" si="1"/>
        <v>1</v>
      </c>
    </row>
    <row r="81" spans="1:9" ht="76.5">
      <c r="A81" s="23"/>
      <c r="B81" s="23"/>
      <c r="C81" s="23" t="s">
        <v>304</v>
      </c>
      <c r="D81" s="23"/>
      <c r="E81" s="24" t="s">
        <v>249</v>
      </c>
      <c r="F81" s="25">
        <f>F82</f>
        <v>733.8</v>
      </c>
      <c r="G81" s="25">
        <f>G82</f>
        <v>0</v>
      </c>
      <c r="H81" s="57">
        <f t="shared" si="0"/>
        <v>733.8</v>
      </c>
      <c r="I81" s="59">
        <f t="shared" si="1"/>
        <v>0</v>
      </c>
    </row>
    <row r="82" spans="1:9" ht="12.75">
      <c r="A82" s="23"/>
      <c r="B82" s="23"/>
      <c r="C82" s="23"/>
      <c r="D82" s="23" t="s">
        <v>44</v>
      </c>
      <c r="E82" s="24" t="s">
        <v>45</v>
      </c>
      <c r="F82" s="25">
        <v>733.8</v>
      </c>
      <c r="G82" s="25">
        <v>0</v>
      </c>
      <c r="H82" s="57">
        <f t="shared" si="0"/>
        <v>733.8</v>
      </c>
      <c r="I82" s="59">
        <f t="shared" si="1"/>
        <v>0</v>
      </c>
    </row>
    <row r="83" spans="1:9" ht="38.25">
      <c r="A83" s="23"/>
      <c r="B83" s="23" t="s">
        <v>75</v>
      </c>
      <c r="C83" s="23"/>
      <c r="D83" s="23"/>
      <c r="E83" s="24" t="s">
        <v>76</v>
      </c>
      <c r="F83" s="25">
        <f>F84</f>
        <v>82.6</v>
      </c>
      <c r="G83" s="25">
        <f>G84</f>
        <v>0</v>
      </c>
      <c r="H83" s="57">
        <f aca="true" t="shared" si="5" ref="H83:H182">F83-G83</f>
        <v>82.6</v>
      </c>
      <c r="I83" s="59">
        <f aca="true" t="shared" si="6" ref="I83:I182">G83/F83</f>
        <v>0</v>
      </c>
    </row>
    <row r="84" spans="1:9" ht="15" customHeight="1">
      <c r="A84" s="23"/>
      <c r="B84" s="23" t="s">
        <v>473</v>
      </c>
      <c r="C84" s="23"/>
      <c r="D84" s="23"/>
      <c r="E84" s="27" t="s">
        <v>474</v>
      </c>
      <c r="F84" s="25">
        <f>F88+F85</f>
        <v>82.6</v>
      </c>
      <c r="G84" s="25">
        <f>G88+G85</f>
        <v>0</v>
      </c>
      <c r="H84" s="57">
        <f t="shared" si="5"/>
        <v>82.6</v>
      </c>
      <c r="I84" s="59">
        <f t="shared" si="6"/>
        <v>0</v>
      </c>
    </row>
    <row r="85" spans="1:9" ht="38.25">
      <c r="A85" s="23"/>
      <c r="B85" s="23"/>
      <c r="C85" s="23" t="s">
        <v>62</v>
      </c>
      <c r="D85" s="23"/>
      <c r="E85" s="24" t="s">
        <v>367</v>
      </c>
      <c r="F85" s="25">
        <f>F86</f>
        <v>82.6</v>
      </c>
      <c r="G85" s="25">
        <f>G86</f>
        <v>0</v>
      </c>
      <c r="H85" s="57">
        <f t="shared" si="5"/>
        <v>82.6</v>
      </c>
      <c r="I85" s="59">
        <f t="shared" si="6"/>
        <v>0</v>
      </c>
    </row>
    <row r="86" spans="1:9" ht="51">
      <c r="A86" s="23"/>
      <c r="B86" s="23"/>
      <c r="C86" s="23" t="s">
        <v>1019</v>
      </c>
      <c r="D86" s="23"/>
      <c r="E86" s="24" t="s">
        <v>1050</v>
      </c>
      <c r="F86" s="25">
        <f>F87</f>
        <v>82.6</v>
      </c>
      <c r="G86" s="25">
        <f>G87</f>
        <v>0</v>
      </c>
      <c r="H86" s="57">
        <f t="shared" si="5"/>
        <v>82.6</v>
      </c>
      <c r="I86" s="59">
        <f t="shared" si="6"/>
        <v>0</v>
      </c>
    </row>
    <row r="87" spans="1:9" ht="15" customHeight="1">
      <c r="A87" s="23"/>
      <c r="B87" s="23"/>
      <c r="C87" s="23"/>
      <c r="D87" s="23" t="s">
        <v>49</v>
      </c>
      <c r="E87" s="24" t="s">
        <v>50</v>
      </c>
      <c r="F87" s="25">
        <v>82.6</v>
      </c>
      <c r="G87" s="25">
        <v>0</v>
      </c>
      <c r="H87" s="57">
        <f t="shared" si="5"/>
        <v>82.6</v>
      </c>
      <c r="I87" s="59">
        <f t="shared" si="6"/>
        <v>0</v>
      </c>
    </row>
    <row r="88" spans="1:9" ht="55.5" customHeight="1" hidden="1">
      <c r="A88" s="23"/>
      <c r="B88" s="23"/>
      <c r="C88" s="23" t="s">
        <v>475</v>
      </c>
      <c r="D88" s="23"/>
      <c r="E88" s="24" t="s">
        <v>478</v>
      </c>
      <c r="F88" s="25">
        <f>F89</f>
        <v>0</v>
      </c>
      <c r="G88" s="25">
        <f>G89</f>
        <v>0</v>
      </c>
      <c r="H88" s="57">
        <f t="shared" si="5"/>
        <v>0</v>
      </c>
      <c r="I88" s="59" t="e">
        <f t="shared" si="6"/>
        <v>#DIV/0!</v>
      </c>
    </row>
    <row r="89" spans="1:9" ht="63.75" hidden="1">
      <c r="A89" s="23"/>
      <c r="B89" s="23"/>
      <c r="C89" s="23" t="s">
        <v>477</v>
      </c>
      <c r="D89" s="23"/>
      <c r="E89" s="24" t="s">
        <v>476</v>
      </c>
      <c r="F89" s="25">
        <f>F90</f>
        <v>0</v>
      </c>
      <c r="G89" s="25">
        <f>G90</f>
        <v>0</v>
      </c>
      <c r="H89" s="57">
        <f t="shared" si="5"/>
        <v>0</v>
      </c>
      <c r="I89" s="59" t="e">
        <f t="shared" si="6"/>
        <v>#DIV/0!</v>
      </c>
    </row>
    <row r="90" spans="1:9" ht="12.75" hidden="1">
      <c r="A90" s="23"/>
      <c r="B90" s="23"/>
      <c r="C90" s="23"/>
      <c r="D90" s="23" t="s">
        <v>49</v>
      </c>
      <c r="E90" s="24" t="s">
        <v>50</v>
      </c>
      <c r="F90" s="25"/>
      <c r="G90" s="25">
        <v>0</v>
      </c>
      <c r="H90" s="57">
        <f t="shared" si="5"/>
        <v>0</v>
      </c>
      <c r="I90" s="59" t="e">
        <f t="shared" si="6"/>
        <v>#DIV/0!</v>
      </c>
    </row>
    <row r="91" spans="1:9" ht="12.75">
      <c r="A91" s="23"/>
      <c r="B91" s="23" t="s">
        <v>79</v>
      </c>
      <c r="C91" s="23"/>
      <c r="D91" s="23"/>
      <c r="E91" s="24" t="s">
        <v>80</v>
      </c>
      <c r="F91" s="25">
        <f>F92</f>
        <v>1629.3</v>
      </c>
      <c r="G91" s="25">
        <f>G92</f>
        <v>0</v>
      </c>
      <c r="H91" s="57">
        <f t="shared" si="5"/>
        <v>1629.3</v>
      </c>
      <c r="I91" s="59">
        <f t="shared" si="6"/>
        <v>0</v>
      </c>
    </row>
    <row r="92" spans="1:9" ht="25.5">
      <c r="A92" s="23"/>
      <c r="B92" s="23" t="s">
        <v>89</v>
      </c>
      <c r="C92" s="23"/>
      <c r="D92" s="23"/>
      <c r="E92" s="24" t="s">
        <v>90</v>
      </c>
      <c r="F92" s="25">
        <f>F93+F96</f>
        <v>1629.3</v>
      </c>
      <c r="G92" s="25">
        <f>G93+G96</f>
        <v>0</v>
      </c>
      <c r="H92" s="57">
        <f t="shared" si="5"/>
        <v>1629.3</v>
      </c>
      <c r="I92" s="59">
        <f t="shared" si="6"/>
        <v>0</v>
      </c>
    </row>
    <row r="93" spans="1:9" ht="12.75">
      <c r="A93" s="23"/>
      <c r="B93" s="23"/>
      <c r="C93" s="23" t="s">
        <v>60</v>
      </c>
      <c r="D93" s="23"/>
      <c r="E93" s="24" t="s">
        <v>368</v>
      </c>
      <c r="F93" s="25">
        <f>F94</f>
        <v>750</v>
      </c>
      <c r="G93" s="25">
        <f>G94</f>
        <v>0</v>
      </c>
      <c r="H93" s="57">
        <f t="shared" si="5"/>
        <v>750</v>
      </c>
      <c r="I93" s="59">
        <f t="shared" si="6"/>
        <v>0</v>
      </c>
    </row>
    <row r="94" spans="1:9" ht="51">
      <c r="A94" s="23"/>
      <c r="B94" s="23"/>
      <c r="C94" s="23" t="s">
        <v>1020</v>
      </c>
      <c r="D94" s="23"/>
      <c r="E94" s="24" t="s">
        <v>1050</v>
      </c>
      <c r="F94" s="25">
        <f>F95</f>
        <v>750</v>
      </c>
      <c r="G94" s="25">
        <f>G95</f>
        <v>0</v>
      </c>
      <c r="H94" s="57">
        <f t="shared" si="5"/>
        <v>750</v>
      </c>
      <c r="I94" s="59">
        <f t="shared" si="6"/>
        <v>0</v>
      </c>
    </row>
    <row r="95" spans="1:9" ht="12.75">
      <c r="A95" s="23"/>
      <c r="B95" s="23"/>
      <c r="C95" s="23"/>
      <c r="D95" s="23" t="s">
        <v>49</v>
      </c>
      <c r="E95" s="24" t="s">
        <v>50</v>
      </c>
      <c r="F95" s="25">
        <v>750</v>
      </c>
      <c r="G95" s="25">
        <v>0</v>
      </c>
      <c r="H95" s="57">
        <f t="shared" si="5"/>
        <v>750</v>
      </c>
      <c r="I95" s="59">
        <f t="shared" si="6"/>
        <v>0</v>
      </c>
    </row>
    <row r="96" spans="1:9" ht="53.25" customHeight="1">
      <c r="A96" s="23"/>
      <c r="B96" s="23"/>
      <c r="C96" s="23" t="s">
        <v>475</v>
      </c>
      <c r="D96" s="23"/>
      <c r="E96" s="24" t="s">
        <v>478</v>
      </c>
      <c r="F96" s="25">
        <f>F97</f>
        <v>879.3</v>
      </c>
      <c r="G96" s="25">
        <f>G97</f>
        <v>0</v>
      </c>
      <c r="H96" s="57">
        <f t="shared" si="5"/>
        <v>879.3</v>
      </c>
      <c r="I96" s="59">
        <f t="shared" si="6"/>
        <v>0</v>
      </c>
    </row>
    <row r="97" spans="1:9" ht="63.75">
      <c r="A97" s="23"/>
      <c r="B97" s="23"/>
      <c r="C97" s="23" t="s">
        <v>477</v>
      </c>
      <c r="D97" s="23"/>
      <c r="E97" s="24" t="s">
        <v>476</v>
      </c>
      <c r="F97" s="25">
        <f>F98</f>
        <v>879.3</v>
      </c>
      <c r="G97" s="25">
        <f>G98</f>
        <v>0</v>
      </c>
      <c r="H97" s="57">
        <f t="shared" si="5"/>
        <v>879.3</v>
      </c>
      <c r="I97" s="59">
        <f t="shared" si="6"/>
        <v>0</v>
      </c>
    </row>
    <row r="98" spans="1:9" ht="12.75">
      <c r="A98" s="23"/>
      <c r="B98" s="23"/>
      <c r="C98" s="23"/>
      <c r="D98" s="23" t="s">
        <v>49</v>
      </c>
      <c r="E98" s="24" t="s">
        <v>50</v>
      </c>
      <c r="F98" s="25">
        <v>879.3</v>
      </c>
      <c r="G98" s="25">
        <v>0</v>
      </c>
      <c r="H98" s="57">
        <f t="shared" si="5"/>
        <v>879.3</v>
      </c>
      <c r="I98" s="59">
        <f t="shared" si="6"/>
        <v>0</v>
      </c>
    </row>
    <row r="99" spans="1:9" ht="25.5">
      <c r="A99" s="23"/>
      <c r="B99" s="23" t="s">
        <v>91</v>
      </c>
      <c r="C99" s="23"/>
      <c r="D99" s="23"/>
      <c r="E99" s="24" t="s">
        <v>92</v>
      </c>
      <c r="F99" s="25">
        <f>F109+F100+F105</f>
        <v>12888</v>
      </c>
      <c r="G99" s="25">
        <f>G109+G100+G105</f>
        <v>187.6</v>
      </c>
      <c r="H99" s="57">
        <f t="shared" si="5"/>
        <v>12700.4</v>
      </c>
      <c r="I99" s="59">
        <f t="shared" si="6"/>
        <v>0.014556176288019864</v>
      </c>
    </row>
    <row r="100" spans="1:9" ht="12.75">
      <c r="A100" s="23"/>
      <c r="B100" s="23" t="s">
        <v>412</v>
      </c>
      <c r="C100" s="23"/>
      <c r="D100" s="23"/>
      <c r="E100" s="24" t="s">
        <v>413</v>
      </c>
      <c r="F100" s="25">
        <f aca="true" t="shared" si="7" ref="F100:G102">F101</f>
        <v>8433.6</v>
      </c>
      <c r="G100" s="25">
        <f t="shared" si="7"/>
        <v>0</v>
      </c>
      <c r="H100" s="57">
        <f t="shared" si="5"/>
        <v>8433.6</v>
      </c>
      <c r="I100" s="59">
        <f t="shared" si="6"/>
        <v>0</v>
      </c>
    </row>
    <row r="101" spans="1:9" ht="51">
      <c r="A101" s="23"/>
      <c r="B101" s="23"/>
      <c r="C101" s="50" t="s">
        <v>66</v>
      </c>
      <c r="D101" s="50"/>
      <c r="E101" s="49" t="s">
        <v>416</v>
      </c>
      <c r="F101" s="25">
        <f t="shared" si="7"/>
        <v>8433.6</v>
      </c>
      <c r="G101" s="25">
        <f t="shared" si="7"/>
        <v>0</v>
      </c>
      <c r="H101" s="57">
        <f t="shared" si="5"/>
        <v>8433.6</v>
      </c>
      <c r="I101" s="59">
        <f t="shared" si="6"/>
        <v>0</v>
      </c>
    </row>
    <row r="102" spans="1:9" ht="76.5">
      <c r="A102" s="23"/>
      <c r="B102" s="23"/>
      <c r="C102" s="50" t="s">
        <v>417</v>
      </c>
      <c r="D102" s="50"/>
      <c r="E102" s="49" t="s">
        <v>418</v>
      </c>
      <c r="F102" s="25">
        <f t="shared" si="7"/>
        <v>8433.6</v>
      </c>
      <c r="G102" s="25">
        <f t="shared" si="7"/>
        <v>0</v>
      </c>
      <c r="H102" s="57">
        <f t="shared" si="5"/>
        <v>8433.6</v>
      </c>
      <c r="I102" s="59">
        <f t="shared" si="6"/>
        <v>0</v>
      </c>
    </row>
    <row r="103" spans="1:9" ht="38.25">
      <c r="A103" s="23"/>
      <c r="B103" s="23"/>
      <c r="C103" s="50" t="s">
        <v>414</v>
      </c>
      <c r="D103" s="50"/>
      <c r="E103" s="49" t="s">
        <v>415</v>
      </c>
      <c r="F103" s="25">
        <f>F104</f>
        <v>8433.6</v>
      </c>
      <c r="G103" s="25">
        <f>G104</f>
        <v>0</v>
      </c>
      <c r="H103" s="57">
        <f t="shared" si="5"/>
        <v>8433.6</v>
      </c>
      <c r="I103" s="59">
        <f t="shared" si="6"/>
        <v>0</v>
      </c>
    </row>
    <row r="104" spans="1:9" ht="12.75">
      <c r="A104" s="23"/>
      <c r="B104" s="23"/>
      <c r="C104" s="50"/>
      <c r="D104" s="50" t="s">
        <v>49</v>
      </c>
      <c r="E104" s="49" t="s">
        <v>50</v>
      </c>
      <c r="F104" s="25">
        <v>8433.6</v>
      </c>
      <c r="G104" s="25">
        <v>0</v>
      </c>
      <c r="H104" s="57">
        <f t="shared" si="5"/>
        <v>8433.6</v>
      </c>
      <c r="I104" s="59">
        <f t="shared" si="6"/>
        <v>0</v>
      </c>
    </row>
    <row r="105" spans="1:9" ht="12.75">
      <c r="A105" s="23"/>
      <c r="B105" s="23" t="s">
        <v>406</v>
      </c>
      <c r="C105" s="242"/>
      <c r="D105" s="242"/>
      <c r="E105" s="24" t="s">
        <v>407</v>
      </c>
      <c r="F105" s="25">
        <f aca="true" t="shared" si="8" ref="F105:G107">F106</f>
        <v>4000</v>
      </c>
      <c r="G105" s="25">
        <f t="shared" si="8"/>
        <v>0</v>
      </c>
      <c r="H105" s="57">
        <f>F105-G105</f>
        <v>4000</v>
      </c>
      <c r="I105" s="59">
        <f>G105/F105</f>
        <v>0</v>
      </c>
    </row>
    <row r="106" spans="1:9" ht="38.25">
      <c r="A106" s="23"/>
      <c r="B106" s="23"/>
      <c r="C106" s="242" t="s">
        <v>393</v>
      </c>
      <c r="D106" s="242"/>
      <c r="E106" s="243" t="s">
        <v>394</v>
      </c>
      <c r="F106" s="25">
        <f t="shared" si="8"/>
        <v>4000</v>
      </c>
      <c r="G106" s="25">
        <f t="shared" si="8"/>
        <v>0</v>
      </c>
      <c r="H106" s="57">
        <f>F106-G106</f>
        <v>4000</v>
      </c>
      <c r="I106" s="59">
        <f>G106/F106</f>
        <v>0</v>
      </c>
    </row>
    <row r="107" spans="1:9" ht="89.25">
      <c r="A107" s="23"/>
      <c r="B107" s="23"/>
      <c r="C107" s="242" t="s">
        <v>1021</v>
      </c>
      <c r="D107" s="242"/>
      <c r="E107" s="243" t="s">
        <v>1051</v>
      </c>
      <c r="F107" s="25">
        <f t="shared" si="8"/>
        <v>4000</v>
      </c>
      <c r="G107" s="25">
        <f t="shared" si="8"/>
        <v>0</v>
      </c>
      <c r="H107" s="57">
        <f>F107-G107</f>
        <v>4000</v>
      </c>
      <c r="I107" s="59">
        <f>G107/F107</f>
        <v>0</v>
      </c>
    </row>
    <row r="108" spans="1:9" ht="12.75">
      <c r="A108" s="23"/>
      <c r="B108" s="23"/>
      <c r="C108" s="242"/>
      <c r="D108" s="50" t="s">
        <v>49</v>
      </c>
      <c r="E108" s="49" t="s">
        <v>50</v>
      </c>
      <c r="F108" s="25">
        <v>4000</v>
      </c>
      <c r="G108" s="25">
        <v>0</v>
      </c>
      <c r="H108" s="57">
        <f>F108-G108</f>
        <v>4000</v>
      </c>
      <c r="I108" s="59">
        <f>G108/F108</f>
        <v>0</v>
      </c>
    </row>
    <row r="109" spans="1:9" ht="12.75">
      <c r="A109" s="23"/>
      <c r="B109" s="23" t="s">
        <v>232</v>
      </c>
      <c r="C109" s="23"/>
      <c r="D109" s="23"/>
      <c r="E109" s="24" t="s">
        <v>233</v>
      </c>
      <c r="F109" s="25">
        <f aca="true" t="shared" si="9" ref="F109:G111">F110</f>
        <v>454.4</v>
      </c>
      <c r="G109" s="25">
        <f t="shared" si="9"/>
        <v>187.6</v>
      </c>
      <c r="H109" s="57">
        <f t="shared" si="5"/>
        <v>266.79999999999995</v>
      </c>
      <c r="I109" s="59">
        <f t="shared" si="6"/>
        <v>0.41285211267605637</v>
      </c>
    </row>
    <row r="110" spans="1:9" ht="12.75">
      <c r="A110" s="23"/>
      <c r="B110" s="23"/>
      <c r="C110" s="23" t="s">
        <v>84</v>
      </c>
      <c r="D110" s="23"/>
      <c r="E110" s="24" t="s">
        <v>233</v>
      </c>
      <c r="F110" s="25">
        <f t="shared" si="9"/>
        <v>454.4</v>
      </c>
      <c r="G110" s="25">
        <f t="shared" si="9"/>
        <v>187.6</v>
      </c>
      <c r="H110" s="57">
        <f t="shared" si="5"/>
        <v>266.79999999999995</v>
      </c>
      <c r="I110" s="59">
        <f t="shared" si="6"/>
        <v>0.41285211267605637</v>
      </c>
    </row>
    <row r="111" spans="1:9" ht="51">
      <c r="A111" s="23"/>
      <c r="B111" s="23"/>
      <c r="C111" s="23" t="s">
        <v>234</v>
      </c>
      <c r="D111" s="23"/>
      <c r="E111" s="24" t="s">
        <v>235</v>
      </c>
      <c r="F111" s="25">
        <f t="shared" si="9"/>
        <v>454.4</v>
      </c>
      <c r="G111" s="25">
        <f t="shared" si="9"/>
        <v>187.6</v>
      </c>
      <c r="H111" s="57">
        <f t="shared" si="5"/>
        <v>266.79999999999995</v>
      </c>
      <c r="I111" s="59">
        <f t="shared" si="6"/>
        <v>0.41285211267605637</v>
      </c>
    </row>
    <row r="112" spans="1:9" ht="12.75">
      <c r="A112" s="23"/>
      <c r="B112" s="23"/>
      <c r="C112" s="23"/>
      <c r="D112" s="23" t="s">
        <v>44</v>
      </c>
      <c r="E112" s="24" t="s">
        <v>45</v>
      </c>
      <c r="F112" s="25">
        <v>454.4</v>
      </c>
      <c r="G112" s="25">
        <v>187.6</v>
      </c>
      <c r="H112" s="57">
        <f t="shared" si="5"/>
        <v>266.79999999999995</v>
      </c>
      <c r="I112" s="59">
        <f t="shared" si="6"/>
        <v>0.41285211267605637</v>
      </c>
    </row>
    <row r="113" spans="1:9" ht="12.75">
      <c r="A113" s="23"/>
      <c r="B113" s="23" t="s">
        <v>111</v>
      </c>
      <c r="C113" s="23"/>
      <c r="D113" s="23"/>
      <c r="E113" s="24" t="s">
        <v>210</v>
      </c>
      <c r="F113" s="25">
        <f aca="true" t="shared" si="10" ref="F113:G116">F114</f>
        <v>2749.2000000000003</v>
      </c>
      <c r="G113" s="25">
        <f t="shared" si="10"/>
        <v>2749.2000000000003</v>
      </c>
      <c r="H113" s="57">
        <f t="shared" si="5"/>
        <v>0</v>
      </c>
      <c r="I113" s="59">
        <f t="shared" si="6"/>
        <v>1</v>
      </c>
    </row>
    <row r="114" spans="1:9" ht="12.75">
      <c r="A114" s="23"/>
      <c r="B114" s="23" t="s">
        <v>112</v>
      </c>
      <c r="C114" s="23"/>
      <c r="D114" s="23"/>
      <c r="E114" s="24" t="s">
        <v>113</v>
      </c>
      <c r="F114" s="25">
        <f>F115+F118+F127</f>
        <v>2749.2000000000003</v>
      </c>
      <c r="G114" s="25">
        <f>G115+G118+G127</f>
        <v>2749.2000000000003</v>
      </c>
      <c r="H114" s="57">
        <f t="shared" si="5"/>
        <v>0</v>
      </c>
      <c r="I114" s="59">
        <f t="shared" si="6"/>
        <v>1</v>
      </c>
    </row>
    <row r="115" spans="1:9" ht="25.5">
      <c r="A115" s="23"/>
      <c r="B115" s="23"/>
      <c r="C115" s="23" t="s">
        <v>55</v>
      </c>
      <c r="D115" s="23"/>
      <c r="E115" s="24" t="s">
        <v>297</v>
      </c>
      <c r="F115" s="25">
        <f t="shared" si="10"/>
        <v>15</v>
      </c>
      <c r="G115" s="25">
        <f t="shared" si="10"/>
        <v>15</v>
      </c>
      <c r="H115" s="57">
        <f t="shared" si="5"/>
        <v>0</v>
      </c>
      <c r="I115" s="59">
        <f t="shared" si="6"/>
        <v>1</v>
      </c>
    </row>
    <row r="116" spans="1:9" ht="14.25" customHeight="1">
      <c r="A116" s="23"/>
      <c r="B116" s="23"/>
      <c r="C116" s="23" t="s">
        <v>479</v>
      </c>
      <c r="D116" s="23"/>
      <c r="E116" s="24" t="s">
        <v>480</v>
      </c>
      <c r="F116" s="25">
        <f t="shared" si="10"/>
        <v>15</v>
      </c>
      <c r="G116" s="25">
        <f t="shared" si="10"/>
        <v>15</v>
      </c>
      <c r="H116" s="57">
        <f t="shared" si="5"/>
        <v>0</v>
      </c>
      <c r="I116" s="59">
        <f t="shared" si="6"/>
        <v>1</v>
      </c>
    </row>
    <row r="117" spans="1:9" ht="12.75">
      <c r="A117" s="23"/>
      <c r="B117" s="23"/>
      <c r="C117" s="23"/>
      <c r="D117" s="50" t="s">
        <v>49</v>
      </c>
      <c r="E117" s="49" t="s">
        <v>50</v>
      </c>
      <c r="F117" s="25">
        <v>15</v>
      </c>
      <c r="G117" s="25">
        <v>15</v>
      </c>
      <c r="H117" s="57">
        <f t="shared" si="5"/>
        <v>0</v>
      </c>
      <c r="I117" s="59">
        <f t="shared" si="6"/>
        <v>1</v>
      </c>
    </row>
    <row r="118" spans="1:9" ht="38.25">
      <c r="A118" s="23"/>
      <c r="B118" s="23"/>
      <c r="C118" s="23" t="s">
        <v>63</v>
      </c>
      <c r="D118" s="242"/>
      <c r="E118" s="49" t="s">
        <v>312</v>
      </c>
      <c r="F118" s="25">
        <f>F119+F124</f>
        <v>340.4</v>
      </c>
      <c r="G118" s="25">
        <f>G119+G124</f>
        <v>340.4</v>
      </c>
      <c r="H118" s="57">
        <f aca="true" t="shared" si="11" ref="H118:H129">F118-G118</f>
        <v>0</v>
      </c>
      <c r="I118" s="59">
        <f aca="true" t="shared" si="12" ref="I118:I129">G118/F118</f>
        <v>1</v>
      </c>
    </row>
    <row r="119" spans="1:9" ht="63.75">
      <c r="A119" s="23"/>
      <c r="B119" s="23"/>
      <c r="C119" s="23" t="s">
        <v>1022</v>
      </c>
      <c r="D119" s="242"/>
      <c r="E119" s="49" t="s">
        <v>1052</v>
      </c>
      <c r="F119" s="25">
        <f>F120+F122</f>
        <v>150</v>
      </c>
      <c r="G119" s="25">
        <f>G120+G122</f>
        <v>150</v>
      </c>
      <c r="H119" s="57">
        <f t="shared" si="11"/>
        <v>0</v>
      </c>
      <c r="I119" s="59">
        <f t="shared" si="12"/>
        <v>1</v>
      </c>
    </row>
    <row r="120" spans="1:9" ht="51">
      <c r="A120" s="23"/>
      <c r="B120" s="23"/>
      <c r="C120" s="23" t="s">
        <v>1023</v>
      </c>
      <c r="D120" s="242"/>
      <c r="E120" s="243" t="s">
        <v>1054</v>
      </c>
      <c r="F120" s="25">
        <f>F121</f>
        <v>100</v>
      </c>
      <c r="G120" s="25">
        <f>G121</f>
        <v>100</v>
      </c>
      <c r="H120" s="57">
        <f t="shared" si="11"/>
        <v>0</v>
      </c>
      <c r="I120" s="59">
        <f t="shared" si="12"/>
        <v>1</v>
      </c>
    </row>
    <row r="121" spans="1:9" ht="12.75">
      <c r="A121" s="23"/>
      <c r="B121" s="23"/>
      <c r="C121" s="23"/>
      <c r="D121" s="50" t="s">
        <v>49</v>
      </c>
      <c r="E121" s="49" t="s">
        <v>50</v>
      </c>
      <c r="F121" s="25">
        <v>100</v>
      </c>
      <c r="G121" s="25">
        <v>100</v>
      </c>
      <c r="H121" s="57">
        <f t="shared" si="11"/>
        <v>0</v>
      </c>
      <c r="I121" s="59">
        <f t="shared" si="12"/>
        <v>1</v>
      </c>
    </row>
    <row r="122" spans="1:9" ht="51">
      <c r="A122" s="23"/>
      <c r="B122" s="23"/>
      <c r="C122" s="23" t="s">
        <v>1024</v>
      </c>
      <c r="D122" s="242"/>
      <c r="E122" s="243" t="s">
        <v>1055</v>
      </c>
      <c r="F122" s="25">
        <f>F123</f>
        <v>50</v>
      </c>
      <c r="G122" s="25">
        <f>G123</f>
        <v>50</v>
      </c>
      <c r="H122" s="57">
        <f t="shared" si="11"/>
        <v>0</v>
      </c>
      <c r="I122" s="59">
        <f t="shared" si="12"/>
        <v>1</v>
      </c>
    </row>
    <row r="123" spans="1:9" ht="12.75">
      <c r="A123" s="23"/>
      <c r="B123" s="23"/>
      <c r="C123" s="23"/>
      <c r="D123" s="50" t="s">
        <v>49</v>
      </c>
      <c r="E123" s="49" t="s">
        <v>50</v>
      </c>
      <c r="F123" s="25">
        <v>50</v>
      </c>
      <c r="G123" s="25">
        <v>50</v>
      </c>
      <c r="H123" s="57">
        <f t="shared" si="11"/>
        <v>0</v>
      </c>
      <c r="I123" s="59">
        <f t="shared" si="12"/>
        <v>1</v>
      </c>
    </row>
    <row r="124" spans="1:9" ht="89.25">
      <c r="A124" s="23"/>
      <c r="B124" s="23"/>
      <c r="C124" s="23" t="s">
        <v>1025</v>
      </c>
      <c r="D124" s="242"/>
      <c r="E124" s="49" t="s">
        <v>1053</v>
      </c>
      <c r="F124" s="25">
        <f>F125</f>
        <v>190.4</v>
      </c>
      <c r="G124" s="25">
        <f>G125</f>
        <v>190.4</v>
      </c>
      <c r="H124" s="57">
        <f t="shared" si="11"/>
        <v>0</v>
      </c>
      <c r="I124" s="59">
        <f t="shared" si="12"/>
        <v>1</v>
      </c>
    </row>
    <row r="125" spans="1:9" ht="63.75">
      <c r="A125" s="23"/>
      <c r="B125" s="23"/>
      <c r="C125" s="23" t="s">
        <v>1026</v>
      </c>
      <c r="D125" s="242"/>
      <c r="E125" s="243" t="s">
        <v>1056</v>
      </c>
      <c r="F125" s="25">
        <f>F126</f>
        <v>190.4</v>
      </c>
      <c r="G125" s="25">
        <f>G126</f>
        <v>190.4</v>
      </c>
      <c r="H125" s="57">
        <f t="shared" si="11"/>
        <v>0</v>
      </c>
      <c r="I125" s="59">
        <f t="shared" si="12"/>
        <v>1</v>
      </c>
    </row>
    <row r="126" spans="1:9" ht="12.75">
      <c r="A126" s="23"/>
      <c r="B126" s="23"/>
      <c r="C126" s="23"/>
      <c r="D126" s="50" t="s">
        <v>49</v>
      </c>
      <c r="E126" s="49" t="s">
        <v>50</v>
      </c>
      <c r="F126" s="25">
        <v>190.4</v>
      </c>
      <c r="G126" s="25">
        <v>190.4</v>
      </c>
      <c r="H126" s="57">
        <f t="shared" si="11"/>
        <v>0</v>
      </c>
      <c r="I126" s="59">
        <f t="shared" si="12"/>
        <v>1</v>
      </c>
    </row>
    <row r="127" spans="1:9" ht="63.75">
      <c r="A127" s="23"/>
      <c r="B127" s="23"/>
      <c r="C127" s="23" t="s">
        <v>475</v>
      </c>
      <c r="D127" s="23"/>
      <c r="E127" s="24" t="s">
        <v>478</v>
      </c>
      <c r="F127" s="25">
        <f>F128</f>
        <v>2393.8</v>
      </c>
      <c r="G127" s="25">
        <f>G128</f>
        <v>2393.8</v>
      </c>
      <c r="H127" s="57">
        <f t="shared" si="11"/>
        <v>0</v>
      </c>
      <c r="I127" s="59">
        <f t="shared" si="12"/>
        <v>1</v>
      </c>
    </row>
    <row r="128" spans="1:9" ht="63.75">
      <c r="A128" s="23"/>
      <c r="B128" s="23"/>
      <c r="C128" s="23" t="s">
        <v>477</v>
      </c>
      <c r="D128" s="23"/>
      <c r="E128" s="24" t="s">
        <v>476</v>
      </c>
      <c r="F128" s="25">
        <f>F129</f>
        <v>2393.8</v>
      </c>
      <c r="G128" s="25">
        <f>G129</f>
        <v>2393.8</v>
      </c>
      <c r="H128" s="57">
        <f t="shared" si="11"/>
        <v>0</v>
      </c>
      <c r="I128" s="59">
        <f t="shared" si="12"/>
        <v>1</v>
      </c>
    </row>
    <row r="129" spans="1:9" ht="12.75">
      <c r="A129" s="23"/>
      <c r="B129" s="23"/>
      <c r="C129" s="23"/>
      <c r="D129" s="23" t="s">
        <v>49</v>
      </c>
      <c r="E129" s="24" t="s">
        <v>50</v>
      </c>
      <c r="F129" s="25">
        <v>2393.8</v>
      </c>
      <c r="G129" s="25">
        <v>2393.8</v>
      </c>
      <c r="H129" s="57">
        <f t="shared" si="11"/>
        <v>0</v>
      </c>
      <c r="I129" s="59">
        <f t="shared" si="12"/>
        <v>1</v>
      </c>
    </row>
    <row r="130" spans="1:9" ht="12.75">
      <c r="A130" s="23"/>
      <c r="B130" s="23" t="s">
        <v>118</v>
      </c>
      <c r="C130" s="23"/>
      <c r="D130" s="23"/>
      <c r="E130" s="24" t="s">
        <v>119</v>
      </c>
      <c r="F130" s="25">
        <f>F131+F135</f>
        <v>532.7</v>
      </c>
      <c r="G130" s="25">
        <f>G131+G135</f>
        <v>260.5</v>
      </c>
      <c r="H130" s="57">
        <f t="shared" si="5"/>
        <v>272.20000000000005</v>
      </c>
      <c r="I130" s="59">
        <f t="shared" si="6"/>
        <v>0.48901820912333394</v>
      </c>
    </row>
    <row r="131" spans="1:9" ht="12.75">
      <c r="A131" s="23"/>
      <c r="B131" s="23" t="s">
        <v>120</v>
      </c>
      <c r="C131" s="23"/>
      <c r="D131" s="23"/>
      <c r="E131" s="24" t="s">
        <v>121</v>
      </c>
      <c r="F131" s="25">
        <f aca="true" t="shared" si="13" ref="F131:G133">F132</f>
        <v>363</v>
      </c>
      <c r="G131" s="25">
        <f t="shared" si="13"/>
        <v>203.3</v>
      </c>
      <c r="H131" s="57">
        <f t="shared" si="5"/>
        <v>159.7</v>
      </c>
      <c r="I131" s="59">
        <f t="shared" si="6"/>
        <v>0.5600550964187329</v>
      </c>
    </row>
    <row r="132" spans="1:9" ht="12.75">
      <c r="A132" s="23"/>
      <c r="B132" s="23"/>
      <c r="C132" s="23" t="s">
        <v>74</v>
      </c>
      <c r="D132" s="23"/>
      <c r="E132" s="24" t="s">
        <v>287</v>
      </c>
      <c r="F132" s="25">
        <f t="shared" si="13"/>
        <v>363</v>
      </c>
      <c r="G132" s="25">
        <f t="shared" si="13"/>
        <v>203.3</v>
      </c>
      <c r="H132" s="57">
        <f t="shared" si="5"/>
        <v>159.7</v>
      </c>
      <c r="I132" s="59">
        <f t="shared" si="6"/>
        <v>0.5600550964187329</v>
      </c>
    </row>
    <row r="133" spans="1:9" ht="89.25">
      <c r="A133" s="23"/>
      <c r="B133" s="23"/>
      <c r="C133" s="23" t="s">
        <v>151</v>
      </c>
      <c r="D133" s="23"/>
      <c r="E133" s="24" t="s">
        <v>152</v>
      </c>
      <c r="F133" s="25">
        <f t="shared" si="13"/>
        <v>363</v>
      </c>
      <c r="G133" s="25">
        <f t="shared" si="13"/>
        <v>203.3</v>
      </c>
      <c r="H133" s="57">
        <f t="shared" si="5"/>
        <v>159.7</v>
      </c>
      <c r="I133" s="59">
        <f t="shared" si="6"/>
        <v>0.5600550964187329</v>
      </c>
    </row>
    <row r="134" spans="1:9" ht="25.5">
      <c r="A134" s="23"/>
      <c r="B134" s="23"/>
      <c r="C134" s="23"/>
      <c r="D134" s="23" t="s">
        <v>47</v>
      </c>
      <c r="E134" s="24" t="s">
        <v>48</v>
      </c>
      <c r="F134" s="25">
        <v>363</v>
      </c>
      <c r="G134" s="25">
        <v>203.3</v>
      </c>
      <c r="H134" s="57">
        <f t="shared" si="5"/>
        <v>159.7</v>
      </c>
      <c r="I134" s="59">
        <f t="shared" si="6"/>
        <v>0.5600550964187329</v>
      </c>
    </row>
    <row r="135" spans="1:9" ht="12.75">
      <c r="A135" s="23"/>
      <c r="B135" s="23" t="s">
        <v>122</v>
      </c>
      <c r="C135" s="23"/>
      <c r="D135" s="23"/>
      <c r="E135" s="24" t="s">
        <v>123</v>
      </c>
      <c r="F135" s="25">
        <f>F140+F136</f>
        <v>169.7</v>
      </c>
      <c r="G135" s="25">
        <f>G140+G136</f>
        <v>57.2</v>
      </c>
      <c r="H135" s="57">
        <f t="shared" si="5"/>
        <v>112.49999999999999</v>
      </c>
      <c r="I135" s="59">
        <f t="shared" si="6"/>
        <v>0.33706540954625813</v>
      </c>
    </row>
    <row r="136" spans="1:9" ht="38.25">
      <c r="A136" s="23"/>
      <c r="B136" s="23"/>
      <c r="C136" s="23" t="s">
        <v>60</v>
      </c>
      <c r="D136" s="23"/>
      <c r="E136" s="49" t="s">
        <v>301</v>
      </c>
      <c r="F136" s="25">
        <f aca="true" t="shared" si="14" ref="F136:G138">F137</f>
        <v>107.1</v>
      </c>
      <c r="G136" s="25">
        <f t="shared" si="14"/>
        <v>32.1</v>
      </c>
      <c r="H136" s="57">
        <f t="shared" si="5"/>
        <v>75</v>
      </c>
      <c r="I136" s="59">
        <f t="shared" si="6"/>
        <v>0.2997198879551821</v>
      </c>
    </row>
    <row r="137" spans="1:9" ht="89.25">
      <c r="A137" s="23"/>
      <c r="B137" s="23"/>
      <c r="C137" s="23" t="s">
        <v>300</v>
      </c>
      <c r="D137" s="23"/>
      <c r="E137" s="49" t="s">
        <v>302</v>
      </c>
      <c r="F137" s="25">
        <f t="shared" si="14"/>
        <v>107.1</v>
      </c>
      <c r="G137" s="25">
        <f t="shared" si="14"/>
        <v>32.1</v>
      </c>
      <c r="H137" s="57">
        <f t="shared" si="5"/>
        <v>75</v>
      </c>
      <c r="I137" s="59">
        <f t="shared" si="6"/>
        <v>0.2997198879551821</v>
      </c>
    </row>
    <row r="138" spans="1:9" ht="63.75">
      <c r="A138" s="23"/>
      <c r="B138" s="23"/>
      <c r="C138" s="23" t="s">
        <v>298</v>
      </c>
      <c r="D138" s="23"/>
      <c r="E138" s="24" t="s">
        <v>299</v>
      </c>
      <c r="F138" s="25">
        <f t="shared" si="14"/>
        <v>107.1</v>
      </c>
      <c r="G138" s="25">
        <f t="shared" si="14"/>
        <v>32.1</v>
      </c>
      <c r="H138" s="57">
        <f t="shared" si="5"/>
        <v>75</v>
      </c>
      <c r="I138" s="59">
        <f t="shared" si="6"/>
        <v>0.2997198879551821</v>
      </c>
    </row>
    <row r="139" spans="1:9" ht="12.75">
      <c r="A139" s="23"/>
      <c r="B139" s="23"/>
      <c r="C139" s="23"/>
      <c r="D139" s="23" t="s">
        <v>49</v>
      </c>
      <c r="E139" s="24" t="s">
        <v>50</v>
      </c>
      <c r="F139" s="25">
        <v>107.1</v>
      </c>
      <c r="G139" s="25">
        <v>32.1</v>
      </c>
      <c r="H139" s="57">
        <f t="shared" si="5"/>
        <v>75</v>
      </c>
      <c r="I139" s="59">
        <f t="shared" si="6"/>
        <v>0.2997198879551821</v>
      </c>
    </row>
    <row r="140" spans="1:9" ht="12.75">
      <c r="A140" s="23"/>
      <c r="B140" s="23"/>
      <c r="C140" s="23" t="s">
        <v>74</v>
      </c>
      <c r="D140" s="23"/>
      <c r="E140" s="24" t="s">
        <v>287</v>
      </c>
      <c r="F140" s="25">
        <f>F141+F143</f>
        <v>62.6</v>
      </c>
      <c r="G140" s="25">
        <f>G141+G143</f>
        <v>25.1</v>
      </c>
      <c r="H140" s="57">
        <f t="shared" si="5"/>
        <v>37.5</v>
      </c>
      <c r="I140" s="59">
        <f t="shared" si="6"/>
        <v>0.4009584664536741</v>
      </c>
    </row>
    <row r="141" spans="1:9" ht="89.25">
      <c r="A141" s="23"/>
      <c r="B141" s="23"/>
      <c r="C141" s="23" t="s">
        <v>238</v>
      </c>
      <c r="D141" s="23"/>
      <c r="E141" s="24" t="s">
        <v>239</v>
      </c>
      <c r="F141" s="25">
        <f>F142</f>
        <v>53.6</v>
      </c>
      <c r="G141" s="25">
        <f>G142</f>
        <v>16.1</v>
      </c>
      <c r="H141" s="57">
        <f t="shared" si="5"/>
        <v>37.5</v>
      </c>
      <c r="I141" s="59">
        <f t="shared" si="6"/>
        <v>0.3003731343283582</v>
      </c>
    </row>
    <row r="142" spans="1:9" ht="12.75">
      <c r="A142" s="23"/>
      <c r="B142" s="23"/>
      <c r="C142" s="23"/>
      <c r="D142" s="23" t="s">
        <v>49</v>
      </c>
      <c r="E142" s="24" t="s">
        <v>50</v>
      </c>
      <c r="F142" s="25">
        <v>53.6</v>
      </c>
      <c r="G142" s="25">
        <v>16.1</v>
      </c>
      <c r="H142" s="57">
        <f t="shared" si="5"/>
        <v>37.5</v>
      </c>
      <c r="I142" s="59">
        <f t="shared" si="6"/>
        <v>0.3003731343283582</v>
      </c>
    </row>
    <row r="143" spans="1:9" ht="25.5">
      <c r="A143" s="23"/>
      <c r="B143" s="23"/>
      <c r="C143" s="23" t="s">
        <v>460</v>
      </c>
      <c r="D143" s="23"/>
      <c r="E143" s="24" t="s">
        <v>459</v>
      </c>
      <c r="F143" s="25">
        <f>F144</f>
        <v>9</v>
      </c>
      <c r="G143" s="25">
        <f>G144</f>
        <v>9</v>
      </c>
      <c r="H143" s="57">
        <f t="shared" si="5"/>
        <v>0</v>
      </c>
      <c r="I143" s="59">
        <f t="shared" si="6"/>
        <v>1</v>
      </c>
    </row>
    <row r="144" spans="1:9" ht="25.5">
      <c r="A144" s="23"/>
      <c r="B144" s="23"/>
      <c r="C144" s="23"/>
      <c r="D144" s="23" t="s">
        <v>47</v>
      </c>
      <c r="E144" s="24" t="s">
        <v>48</v>
      </c>
      <c r="F144" s="25">
        <v>9</v>
      </c>
      <c r="G144" s="25">
        <v>9</v>
      </c>
      <c r="H144" s="57">
        <f t="shared" si="5"/>
        <v>0</v>
      </c>
      <c r="I144" s="59">
        <f t="shared" si="6"/>
        <v>1</v>
      </c>
    </row>
    <row r="145" spans="1:9" ht="12.75">
      <c r="A145" s="23"/>
      <c r="B145" s="23" t="s">
        <v>128</v>
      </c>
      <c r="C145" s="23"/>
      <c r="D145" s="23"/>
      <c r="E145" s="24" t="s">
        <v>129</v>
      </c>
      <c r="F145" s="25">
        <f aca="true" t="shared" si="15" ref="F145:G148">F146</f>
        <v>299.2</v>
      </c>
      <c r="G145" s="25">
        <f t="shared" si="15"/>
        <v>240.2</v>
      </c>
      <c r="H145" s="57">
        <f>F145-G145</f>
        <v>59</v>
      </c>
      <c r="I145" s="59">
        <f>G145/F145</f>
        <v>0.8028074866310161</v>
      </c>
    </row>
    <row r="146" spans="1:9" ht="12.75">
      <c r="A146" s="23"/>
      <c r="B146" s="23" t="s">
        <v>130</v>
      </c>
      <c r="C146" s="23"/>
      <c r="D146" s="23"/>
      <c r="E146" s="24" t="s">
        <v>131</v>
      </c>
      <c r="F146" s="25">
        <f t="shared" si="15"/>
        <v>299.2</v>
      </c>
      <c r="G146" s="25">
        <f t="shared" si="15"/>
        <v>240.2</v>
      </c>
      <c r="H146" s="57">
        <f>F146-G146</f>
        <v>59</v>
      </c>
      <c r="I146" s="59">
        <f>G146/F146</f>
        <v>0.8028074866310161</v>
      </c>
    </row>
    <row r="147" spans="1:9" ht="48.75" customHeight="1">
      <c r="A147" s="23"/>
      <c r="B147" s="23"/>
      <c r="C147" s="23" t="s">
        <v>475</v>
      </c>
      <c r="D147" s="23"/>
      <c r="E147" s="24" t="s">
        <v>478</v>
      </c>
      <c r="F147" s="25">
        <f t="shared" si="15"/>
        <v>299.2</v>
      </c>
      <c r="G147" s="25">
        <f t="shared" si="15"/>
        <v>240.2</v>
      </c>
      <c r="H147" s="57">
        <f>F147-G147</f>
        <v>59</v>
      </c>
      <c r="I147" s="59">
        <f>G147/F147</f>
        <v>0.8028074866310161</v>
      </c>
    </row>
    <row r="148" spans="1:9" ht="63.75">
      <c r="A148" s="23"/>
      <c r="B148" s="23"/>
      <c r="C148" s="23" t="s">
        <v>477</v>
      </c>
      <c r="D148" s="23"/>
      <c r="E148" s="24" t="s">
        <v>476</v>
      </c>
      <c r="F148" s="25">
        <f t="shared" si="15"/>
        <v>299.2</v>
      </c>
      <c r="G148" s="25">
        <f t="shared" si="15"/>
        <v>240.2</v>
      </c>
      <c r="H148" s="57">
        <f>F148-G148</f>
        <v>59</v>
      </c>
      <c r="I148" s="59">
        <f>G148/F148</f>
        <v>0.8028074866310161</v>
      </c>
    </row>
    <row r="149" spans="1:9" ht="12.75">
      <c r="A149" s="23"/>
      <c r="B149" s="23"/>
      <c r="C149" s="23"/>
      <c r="D149" s="23" t="s">
        <v>49</v>
      </c>
      <c r="E149" s="24" t="s">
        <v>50</v>
      </c>
      <c r="F149" s="25">
        <v>299.2</v>
      </c>
      <c r="G149" s="25">
        <v>240.2</v>
      </c>
      <c r="H149" s="57">
        <f>F149-G149</f>
        <v>59</v>
      </c>
      <c r="I149" s="59">
        <f>G149/F149</f>
        <v>0.8028074866310161</v>
      </c>
    </row>
    <row r="150" spans="1:9" ht="38.25">
      <c r="A150" s="23"/>
      <c r="B150" s="23" t="s">
        <v>132</v>
      </c>
      <c r="C150" s="23"/>
      <c r="D150" s="23"/>
      <c r="E150" s="24" t="s">
        <v>133</v>
      </c>
      <c r="F150" s="25">
        <f aca="true" t="shared" si="16" ref="F150:G153">F151</f>
        <v>1543.0000000000002</v>
      </c>
      <c r="G150" s="25">
        <f t="shared" si="16"/>
        <v>1069</v>
      </c>
      <c r="H150" s="57">
        <f t="shared" si="5"/>
        <v>474.0000000000002</v>
      </c>
      <c r="I150" s="59">
        <f t="shared" si="6"/>
        <v>0.6928062216461438</v>
      </c>
    </row>
    <row r="151" spans="1:9" ht="25.5">
      <c r="A151" s="23"/>
      <c r="B151" s="23" t="s">
        <v>134</v>
      </c>
      <c r="C151" s="23"/>
      <c r="D151" s="23"/>
      <c r="E151" s="24" t="s">
        <v>135</v>
      </c>
      <c r="F151" s="25">
        <f t="shared" si="16"/>
        <v>1543.0000000000002</v>
      </c>
      <c r="G151" s="25">
        <f t="shared" si="16"/>
        <v>1069</v>
      </c>
      <c r="H151" s="57">
        <f t="shared" si="5"/>
        <v>474.0000000000002</v>
      </c>
      <c r="I151" s="59">
        <f t="shared" si="6"/>
        <v>0.6928062216461438</v>
      </c>
    </row>
    <row r="152" spans="1:9" ht="25.5">
      <c r="A152" s="23"/>
      <c r="B152" s="23"/>
      <c r="C152" s="23" t="s">
        <v>55</v>
      </c>
      <c r="D152" s="23"/>
      <c r="E152" s="24" t="s">
        <v>297</v>
      </c>
      <c r="F152" s="25">
        <f t="shared" si="16"/>
        <v>1543.0000000000002</v>
      </c>
      <c r="G152" s="25">
        <f t="shared" si="16"/>
        <v>1069</v>
      </c>
      <c r="H152" s="57">
        <f t="shared" si="5"/>
        <v>474.0000000000002</v>
      </c>
      <c r="I152" s="59">
        <f t="shared" si="6"/>
        <v>0.6928062216461438</v>
      </c>
    </row>
    <row r="153" spans="1:9" ht="38.25">
      <c r="A153" s="23"/>
      <c r="B153" s="23"/>
      <c r="C153" s="23" t="s">
        <v>156</v>
      </c>
      <c r="D153" s="23"/>
      <c r="E153" s="24" t="s">
        <v>157</v>
      </c>
      <c r="F153" s="25">
        <f t="shared" si="16"/>
        <v>1543.0000000000002</v>
      </c>
      <c r="G153" s="25">
        <f t="shared" si="16"/>
        <v>1069</v>
      </c>
      <c r="H153" s="57">
        <f t="shared" si="5"/>
        <v>474.0000000000002</v>
      </c>
      <c r="I153" s="59">
        <f t="shared" si="6"/>
        <v>0.6928062216461438</v>
      </c>
    </row>
    <row r="154" spans="1:9" ht="25.5">
      <c r="A154" s="23"/>
      <c r="B154" s="23"/>
      <c r="C154" s="23"/>
      <c r="D154" s="23" t="s">
        <v>136</v>
      </c>
      <c r="E154" s="24" t="s">
        <v>158</v>
      </c>
      <c r="F154" s="25">
        <f>2258.8-715.8</f>
        <v>1543.0000000000002</v>
      </c>
      <c r="G154" s="25">
        <v>1069</v>
      </c>
      <c r="H154" s="57">
        <f t="shared" si="5"/>
        <v>474.0000000000002</v>
      </c>
      <c r="I154" s="59">
        <f t="shared" si="6"/>
        <v>0.6928062216461438</v>
      </c>
    </row>
    <row r="155" spans="1:9" ht="66" customHeight="1">
      <c r="A155" s="23"/>
      <c r="B155" s="23" t="s">
        <v>137</v>
      </c>
      <c r="C155" s="23"/>
      <c r="D155" s="23"/>
      <c r="E155" s="24" t="s">
        <v>240</v>
      </c>
      <c r="F155" s="25">
        <f aca="true" t="shared" si="17" ref="F155:G158">F156</f>
        <v>34892.1</v>
      </c>
      <c r="G155" s="25">
        <f t="shared" si="17"/>
        <v>16367.2</v>
      </c>
      <c r="H155" s="57">
        <f t="shared" si="5"/>
        <v>18524.899999999998</v>
      </c>
      <c r="I155" s="59">
        <f t="shared" si="6"/>
        <v>0.4690803935561345</v>
      </c>
    </row>
    <row r="156" spans="1:9" ht="51">
      <c r="A156" s="23"/>
      <c r="B156" s="23" t="s">
        <v>138</v>
      </c>
      <c r="C156" s="23"/>
      <c r="D156" s="23"/>
      <c r="E156" s="24" t="s">
        <v>139</v>
      </c>
      <c r="F156" s="25">
        <f t="shared" si="17"/>
        <v>34892.1</v>
      </c>
      <c r="G156" s="25">
        <f t="shared" si="17"/>
        <v>16367.2</v>
      </c>
      <c r="H156" s="57">
        <f t="shared" si="5"/>
        <v>18524.899999999998</v>
      </c>
      <c r="I156" s="59">
        <f t="shared" si="6"/>
        <v>0.4690803935561345</v>
      </c>
    </row>
    <row r="157" spans="1:9" ht="12.75">
      <c r="A157" s="23"/>
      <c r="B157" s="23"/>
      <c r="C157" s="23" t="s">
        <v>241</v>
      </c>
      <c r="D157" s="23"/>
      <c r="E157" s="24" t="s">
        <v>303</v>
      </c>
      <c r="F157" s="25">
        <f t="shared" si="17"/>
        <v>34892.1</v>
      </c>
      <c r="G157" s="25">
        <f t="shared" si="17"/>
        <v>16367.2</v>
      </c>
      <c r="H157" s="57">
        <f t="shared" si="5"/>
        <v>18524.899999999998</v>
      </c>
      <c r="I157" s="59">
        <f t="shared" si="6"/>
        <v>0.4690803935561345</v>
      </c>
    </row>
    <row r="158" spans="1:9" ht="76.5">
      <c r="A158" s="23"/>
      <c r="B158" s="23"/>
      <c r="C158" s="23" t="s">
        <v>242</v>
      </c>
      <c r="D158" s="23"/>
      <c r="E158" s="24" t="s">
        <v>243</v>
      </c>
      <c r="F158" s="25">
        <f t="shared" si="17"/>
        <v>34892.1</v>
      </c>
      <c r="G158" s="25">
        <f t="shared" si="17"/>
        <v>16367.2</v>
      </c>
      <c r="H158" s="57">
        <f t="shared" si="5"/>
        <v>18524.899999999998</v>
      </c>
      <c r="I158" s="59">
        <f t="shared" si="6"/>
        <v>0.4690803935561345</v>
      </c>
    </row>
    <row r="159" spans="1:9" ht="12.75">
      <c r="A159" s="23"/>
      <c r="B159" s="23"/>
      <c r="C159" s="23"/>
      <c r="D159" s="23" t="s">
        <v>49</v>
      </c>
      <c r="E159" s="24" t="s">
        <v>50</v>
      </c>
      <c r="F159" s="25">
        <f>34800.1+92</f>
        <v>34892.1</v>
      </c>
      <c r="G159" s="25">
        <v>16367.2</v>
      </c>
      <c r="H159" s="57">
        <f t="shared" si="5"/>
        <v>18524.899999999998</v>
      </c>
      <c r="I159" s="59">
        <f t="shared" si="6"/>
        <v>0.4690803935561345</v>
      </c>
    </row>
    <row r="160" spans="1:9" ht="12.75">
      <c r="A160" s="23"/>
      <c r="B160" s="23"/>
      <c r="C160" s="23"/>
      <c r="D160" s="23"/>
      <c r="E160" s="27"/>
      <c r="F160" s="25"/>
      <c r="G160" s="25"/>
      <c r="H160" s="39"/>
      <c r="I160" s="58"/>
    </row>
    <row r="161" spans="1:9" s="35" customFormat="1" ht="38.25">
      <c r="A161" s="21" t="s">
        <v>159</v>
      </c>
      <c r="B161" s="21"/>
      <c r="C161" s="21"/>
      <c r="D161" s="21"/>
      <c r="E161" s="33" t="s">
        <v>160</v>
      </c>
      <c r="F161" s="36">
        <f>F162+F197+F192+F182</f>
        <v>18296.3</v>
      </c>
      <c r="G161" s="36">
        <f>G162+G197+G192+G182</f>
        <v>9569.5</v>
      </c>
      <c r="H161" s="39">
        <f t="shared" si="5"/>
        <v>8726.8</v>
      </c>
      <c r="I161" s="58">
        <f t="shared" si="6"/>
        <v>0.523029246350355</v>
      </c>
    </row>
    <row r="162" spans="1:9" ht="25.5">
      <c r="A162" s="23"/>
      <c r="B162" s="23" t="s">
        <v>38</v>
      </c>
      <c r="C162" s="23"/>
      <c r="D162" s="23"/>
      <c r="E162" s="24" t="s">
        <v>39</v>
      </c>
      <c r="F162" s="25">
        <f>F163+F173</f>
        <v>13193.599999999999</v>
      </c>
      <c r="G162" s="25">
        <f>G163+G173</f>
        <v>6574.6</v>
      </c>
      <c r="H162" s="57">
        <f t="shared" si="5"/>
        <v>6618.999999999998</v>
      </c>
      <c r="I162" s="59">
        <f t="shared" si="6"/>
        <v>0.4983173659956343</v>
      </c>
    </row>
    <row r="163" spans="1:9" ht="76.5">
      <c r="A163" s="23"/>
      <c r="B163" s="23" t="s">
        <v>51</v>
      </c>
      <c r="C163" s="23"/>
      <c r="D163" s="23"/>
      <c r="E163" s="24" t="s">
        <v>161</v>
      </c>
      <c r="F163" s="25">
        <f>F164+F169</f>
        <v>7467.099999999999</v>
      </c>
      <c r="G163" s="25">
        <f>G164+G169</f>
        <v>3503.2999999999997</v>
      </c>
      <c r="H163" s="57">
        <f t="shared" si="5"/>
        <v>3963.7999999999997</v>
      </c>
      <c r="I163" s="59">
        <f t="shared" si="6"/>
        <v>0.4691647359751443</v>
      </c>
    </row>
    <row r="164" spans="1:9" ht="25.5">
      <c r="A164" s="23"/>
      <c r="B164" s="23"/>
      <c r="C164" s="23" t="s">
        <v>81</v>
      </c>
      <c r="D164" s="23"/>
      <c r="E164" s="24" t="s">
        <v>285</v>
      </c>
      <c r="F164" s="25">
        <f>F165</f>
        <v>7437.099999999999</v>
      </c>
      <c r="G164" s="25">
        <f>G165</f>
        <v>3473.2999999999997</v>
      </c>
      <c r="H164" s="57">
        <f t="shared" si="5"/>
        <v>3963.7999999999997</v>
      </c>
      <c r="I164" s="59">
        <f t="shared" si="6"/>
        <v>0.467023436554571</v>
      </c>
    </row>
    <row r="165" spans="1:9" ht="51">
      <c r="A165" s="23"/>
      <c r="B165" s="23"/>
      <c r="C165" s="23" t="s">
        <v>147</v>
      </c>
      <c r="D165" s="23"/>
      <c r="E165" s="24" t="s">
        <v>148</v>
      </c>
      <c r="F165" s="25">
        <f>SUM(F166:F168)</f>
        <v>7437.099999999999</v>
      </c>
      <c r="G165" s="25">
        <f>SUM(G166:G168)</f>
        <v>3473.2999999999997</v>
      </c>
      <c r="H165" s="57">
        <f t="shared" si="5"/>
        <v>3963.7999999999997</v>
      </c>
      <c r="I165" s="59">
        <f t="shared" si="6"/>
        <v>0.467023436554571</v>
      </c>
    </row>
    <row r="166" spans="1:9" ht="89.25">
      <c r="A166" s="23"/>
      <c r="B166" s="23"/>
      <c r="C166" s="23"/>
      <c r="D166" s="23" t="s">
        <v>42</v>
      </c>
      <c r="E166" s="24" t="s">
        <v>149</v>
      </c>
      <c r="F166" s="25">
        <f>419.9+6587.4-229+191.2</f>
        <v>6969.499999999999</v>
      </c>
      <c r="G166" s="25">
        <v>3217.5</v>
      </c>
      <c r="H166" s="57">
        <f t="shared" si="5"/>
        <v>3751.999999999999</v>
      </c>
      <c r="I166" s="59">
        <f t="shared" si="6"/>
        <v>0.4616543511012268</v>
      </c>
    </row>
    <row r="167" spans="1:9" ht="38.25">
      <c r="A167" s="23"/>
      <c r="B167" s="23"/>
      <c r="C167" s="23"/>
      <c r="D167" s="23" t="s">
        <v>43</v>
      </c>
      <c r="E167" s="24" t="s">
        <v>150</v>
      </c>
      <c r="F167" s="25">
        <v>464.3</v>
      </c>
      <c r="G167" s="25">
        <v>254.7</v>
      </c>
      <c r="H167" s="57">
        <f t="shared" si="5"/>
        <v>209.60000000000002</v>
      </c>
      <c r="I167" s="59">
        <f t="shared" si="6"/>
        <v>0.5485677363773422</v>
      </c>
    </row>
    <row r="168" spans="1:9" ht="12.75">
      <c r="A168" s="23"/>
      <c r="B168" s="23"/>
      <c r="C168" s="23"/>
      <c r="D168" s="23" t="s">
        <v>44</v>
      </c>
      <c r="E168" s="24" t="s">
        <v>45</v>
      </c>
      <c r="F168" s="25">
        <f>5-1.8+0.1</f>
        <v>3.3000000000000003</v>
      </c>
      <c r="G168" s="25">
        <v>1.1</v>
      </c>
      <c r="H168" s="57">
        <f t="shared" si="5"/>
        <v>2.2</v>
      </c>
      <c r="I168" s="59">
        <f t="shared" si="6"/>
        <v>0.3333333333333333</v>
      </c>
    </row>
    <row r="169" spans="1:9" ht="38.25">
      <c r="A169" s="23"/>
      <c r="B169" s="23"/>
      <c r="C169" s="23" t="s">
        <v>71</v>
      </c>
      <c r="D169" s="23"/>
      <c r="E169" s="49" t="s">
        <v>1057</v>
      </c>
      <c r="F169" s="25">
        <f aca="true" t="shared" si="18" ref="F169:G171">F170</f>
        <v>30</v>
      </c>
      <c r="G169" s="25">
        <f t="shared" si="18"/>
        <v>30</v>
      </c>
      <c r="H169" s="57">
        <f>F169-G169</f>
        <v>0</v>
      </c>
      <c r="I169" s="59">
        <f>G169/F169</f>
        <v>1</v>
      </c>
    </row>
    <row r="170" spans="1:9" ht="66" customHeight="1">
      <c r="A170" s="23"/>
      <c r="B170" s="23"/>
      <c r="C170" s="23" t="s">
        <v>1027</v>
      </c>
      <c r="D170" s="23"/>
      <c r="E170" s="49" t="s">
        <v>1058</v>
      </c>
      <c r="F170" s="25">
        <f t="shared" si="18"/>
        <v>30</v>
      </c>
      <c r="G170" s="25">
        <f t="shared" si="18"/>
        <v>30</v>
      </c>
      <c r="H170" s="57">
        <f>F170-G170</f>
        <v>0</v>
      </c>
      <c r="I170" s="59">
        <f>G170/F170</f>
        <v>1</v>
      </c>
    </row>
    <row r="171" spans="1:9" ht="101.25" customHeight="1">
      <c r="A171" s="23"/>
      <c r="B171" s="23"/>
      <c r="C171" s="23" t="s">
        <v>1028</v>
      </c>
      <c r="D171" s="23"/>
      <c r="E171" s="49" t="s">
        <v>1059</v>
      </c>
      <c r="F171" s="25">
        <f t="shared" si="18"/>
        <v>30</v>
      </c>
      <c r="G171" s="25">
        <f t="shared" si="18"/>
        <v>30</v>
      </c>
      <c r="H171" s="57">
        <f>F171-G171</f>
        <v>0</v>
      </c>
      <c r="I171" s="59">
        <f>G171/F171</f>
        <v>1</v>
      </c>
    </row>
    <row r="172" spans="1:9" ht="89.25">
      <c r="A172" s="23"/>
      <c r="B172" s="23"/>
      <c r="C172" s="23"/>
      <c r="D172" s="23" t="s">
        <v>42</v>
      </c>
      <c r="E172" s="24" t="s">
        <v>149</v>
      </c>
      <c r="F172" s="25">
        <v>30</v>
      </c>
      <c r="G172" s="25">
        <v>30</v>
      </c>
      <c r="H172" s="57">
        <f>F172-G172</f>
        <v>0</v>
      </c>
      <c r="I172" s="59">
        <f>G172/F172</f>
        <v>1</v>
      </c>
    </row>
    <row r="173" spans="1:9" ht="25.5">
      <c r="A173" s="23"/>
      <c r="B173" s="23" t="s">
        <v>58</v>
      </c>
      <c r="C173" s="23"/>
      <c r="D173" s="23"/>
      <c r="E173" s="24" t="s">
        <v>59</v>
      </c>
      <c r="F173" s="25">
        <f>F174</f>
        <v>5726.5</v>
      </c>
      <c r="G173" s="25">
        <f>G174</f>
        <v>3071.3</v>
      </c>
      <c r="H173" s="57">
        <f t="shared" si="5"/>
        <v>2655.2</v>
      </c>
      <c r="I173" s="59">
        <f t="shared" si="6"/>
        <v>0.5363310922902297</v>
      </c>
    </row>
    <row r="174" spans="1:9" ht="25.5">
      <c r="A174" s="23"/>
      <c r="B174" s="23"/>
      <c r="C174" s="23" t="s">
        <v>55</v>
      </c>
      <c r="D174" s="23"/>
      <c r="E174" s="24" t="s">
        <v>297</v>
      </c>
      <c r="F174" s="25">
        <f>F175+F180+F178</f>
        <v>5726.5</v>
      </c>
      <c r="G174" s="25">
        <f>G175+G180+G178</f>
        <v>3071.3</v>
      </c>
      <c r="H174" s="57">
        <f t="shared" si="5"/>
        <v>2655.2</v>
      </c>
      <c r="I174" s="59">
        <f t="shared" si="6"/>
        <v>0.5363310922902297</v>
      </c>
    </row>
    <row r="175" spans="1:9" ht="38.25">
      <c r="A175" s="23"/>
      <c r="B175" s="23"/>
      <c r="C175" s="23" t="s">
        <v>162</v>
      </c>
      <c r="D175" s="23"/>
      <c r="E175" s="24" t="s">
        <v>163</v>
      </c>
      <c r="F175" s="25">
        <f>F176+F177</f>
        <v>4795.7</v>
      </c>
      <c r="G175" s="25">
        <f>G176+G177</f>
        <v>2643.2000000000003</v>
      </c>
      <c r="H175" s="57">
        <f t="shared" si="5"/>
        <v>2152.4999999999995</v>
      </c>
      <c r="I175" s="59">
        <f t="shared" si="6"/>
        <v>0.5511604145380237</v>
      </c>
    </row>
    <row r="176" spans="1:9" ht="38.25">
      <c r="A176" s="23"/>
      <c r="B176" s="23"/>
      <c r="C176" s="23"/>
      <c r="D176" s="23" t="s">
        <v>43</v>
      </c>
      <c r="E176" s="24" t="s">
        <v>150</v>
      </c>
      <c r="F176" s="25">
        <v>4712.7</v>
      </c>
      <c r="G176" s="25">
        <v>2603.8</v>
      </c>
      <c r="H176" s="57">
        <f t="shared" si="5"/>
        <v>2108.8999999999996</v>
      </c>
      <c r="I176" s="59">
        <f t="shared" si="6"/>
        <v>0.5525070554034842</v>
      </c>
    </row>
    <row r="177" spans="1:9" ht="12.75">
      <c r="A177" s="23"/>
      <c r="B177" s="23"/>
      <c r="C177" s="23"/>
      <c r="D177" s="23" t="s">
        <v>44</v>
      </c>
      <c r="E177" s="24" t="s">
        <v>45</v>
      </c>
      <c r="F177" s="25">
        <v>83</v>
      </c>
      <c r="G177" s="25">
        <v>39.4</v>
      </c>
      <c r="H177" s="57">
        <f t="shared" si="5"/>
        <v>43.6</v>
      </c>
      <c r="I177" s="59">
        <f t="shared" si="6"/>
        <v>0.4746987951807229</v>
      </c>
    </row>
    <row r="178" spans="1:9" ht="38.25">
      <c r="A178" s="23"/>
      <c r="B178" s="23"/>
      <c r="C178" s="23" t="s">
        <v>272</v>
      </c>
      <c r="D178" s="23"/>
      <c r="E178" s="24" t="s">
        <v>273</v>
      </c>
      <c r="F178" s="25">
        <f>F179</f>
        <v>628.2</v>
      </c>
      <c r="G178" s="25">
        <f>G179</f>
        <v>125.6</v>
      </c>
      <c r="H178" s="57">
        <f t="shared" si="5"/>
        <v>502.6</v>
      </c>
      <c r="I178" s="59">
        <f t="shared" si="6"/>
        <v>0.19993632601082456</v>
      </c>
    </row>
    <row r="179" spans="1:9" ht="38.25">
      <c r="A179" s="23"/>
      <c r="B179" s="23"/>
      <c r="C179" s="23"/>
      <c r="D179" s="23" t="s">
        <v>43</v>
      </c>
      <c r="E179" s="24" t="s">
        <v>150</v>
      </c>
      <c r="F179" s="25">
        <v>628.2</v>
      </c>
      <c r="G179" s="25">
        <v>125.6</v>
      </c>
      <c r="H179" s="57">
        <f t="shared" si="5"/>
        <v>502.6</v>
      </c>
      <c r="I179" s="59">
        <f t="shared" si="6"/>
        <v>0.19993632601082456</v>
      </c>
    </row>
    <row r="180" spans="1:9" ht="38.25">
      <c r="A180" s="23"/>
      <c r="B180" s="23"/>
      <c r="C180" s="23" t="s">
        <v>410</v>
      </c>
      <c r="D180" s="23"/>
      <c r="E180" s="49" t="s">
        <v>411</v>
      </c>
      <c r="F180" s="25">
        <f>F181</f>
        <v>302.6</v>
      </c>
      <c r="G180" s="25">
        <f>G181</f>
        <v>302.5</v>
      </c>
      <c r="H180" s="57">
        <f t="shared" si="5"/>
        <v>0.10000000000002274</v>
      </c>
      <c r="I180" s="59">
        <f t="shared" si="6"/>
        <v>0.9996695307336417</v>
      </c>
    </row>
    <row r="181" spans="1:9" ht="12.75">
      <c r="A181" s="23"/>
      <c r="B181" s="23"/>
      <c r="C181" s="23"/>
      <c r="D181" s="23" t="s">
        <v>44</v>
      </c>
      <c r="E181" s="24" t="s">
        <v>45</v>
      </c>
      <c r="F181" s="25">
        <v>302.6</v>
      </c>
      <c r="G181" s="25">
        <v>302.5</v>
      </c>
      <c r="H181" s="57">
        <f t="shared" si="5"/>
        <v>0.10000000000002274</v>
      </c>
      <c r="I181" s="59">
        <f t="shared" si="6"/>
        <v>0.9996695307336417</v>
      </c>
    </row>
    <row r="182" spans="1:9" ht="12.75">
      <c r="A182" s="23"/>
      <c r="B182" s="23" t="s">
        <v>79</v>
      </c>
      <c r="C182" s="23"/>
      <c r="D182" s="23"/>
      <c r="E182" s="24" t="s">
        <v>80</v>
      </c>
      <c r="F182" s="25">
        <f>F183</f>
        <v>329.8</v>
      </c>
      <c r="G182" s="25">
        <f>G183</f>
        <v>29.8</v>
      </c>
      <c r="H182" s="57">
        <f t="shared" si="5"/>
        <v>300</v>
      </c>
      <c r="I182" s="59">
        <f t="shared" si="6"/>
        <v>0.09035779260157671</v>
      </c>
    </row>
    <row r="183" spans="1:9" ht="25.5">
      <c r="A183" s="23"/>
      <c r="B183" s="23" t="s">
        <v>387</v>
      </c>
      <c r="C183" s="23"/>
      <c r="D183" s="23"/>
      <c r="E183" s="24" t="s">
        <v>388</v>
      </c>
      <c r="F183" s="25">
        <f>F189+F184</f>
        <v>329.8</v>
      </c>
      <c r="G183" s="25">
        <f>G189+G184</f>
        <v>29.8</v>
      </c>
      <c r="H183" s="57">
        <f aca="true" t="shared" si="19" ref="H183:H252">F183-G183</f>
        <v>300</v>
      </c>
      <c r="I183" s="59">
        <f aca="true" t="shared" si="20" ref="I183:I252">G183/F183</f>
        <v>0.09035779260157671</v>
      </c>
    </row>
    <row r="184" spans="1:9" ht="27.75" customHeight="1">
      <c r="A184" s="23"/>
      <c r="B184" s="23"/>
      <c r="C184" s="23" t="s">
        <v>389</v>
      </c>
      <c r="D184" s="23"/>
      <c r="E184" s="24" t="s">
        <v>390</v>
      </c>
      <c r="F184" s="25">
        <f>F185+F187</f>
        <v>301.5</v>
      </c>
      <c r="G184" s="25">
        <f>G185+G187</f>
        <v>1.5</v>
      </c>
      <c r="H184" s="57">
        <f>F184-G184</f>
        <v>300</v>
      </c>
      <c r="I184" s="59">
        <f>G184/F184</f>
        <v>0.004975124378109453</v>
      </c>
    </row>
    <row r="185" spans="1:9" ht="63.75">
      <c r="A185" s="23"/>
      <c r="B185" s="23"/>
      <c r="C185" s="23" t="s">
        <v>1029</v>
      </c>
      <c r="D185" s="23"/>
      <c r="E185" s="24" t="s">
        <v>1060</v>
      </c>
      <c r="F185" s="25">
        <f>F186</f>
        <v>1.5</v>
      </c>
      <c r="G185" s="25">
        <f>G186</f>
        <v>1.5</v>
      </c>
      <c r="H185" s="57">
        <f>F185-G185</f>
        <v>0</v>
      </c>
      <c r="I185" s="59">
        <f>G185/F185</f>
        <v>1</v>
      </c>
    </row>
    <row r="186" spans="1:9" ht="38.25">
      <c r="A186" s="23"/>
      <c r="B186" s="23"/>
      <c r="C186" s="23"/>
      <c r="D186" s="23" t="s">
        <v>43</v>
      </c>
      <c r="E186" s="24" t="s">
        <v>150</v>
      </c>
      <c r="F186" s="25">
        <v>1.5</v>
      </c>
      <c r="G186" s="25">
        <v>1.5</v>
      </c>
      <c r="H186" s="57">
        <f>F186-G186</f>
        <v>0</v>
      </c>
      <c r="I186" s="59">
        <f>G186/F186</f>
        <v>1</v>
      </c>
    </row>
    <row r="187" spans="1:9" ht="66" customHeight="1">
      <c r="A187" s="23"/>
      <c r="B187" s="23"/>
      <c r="C187" s="23" t="s">
        <v>1030</v>
      </c>
      <c r="D187" s="23"/>
      <c r="E187" s="24" t="s">
        <v>1061</v>
      </c>
      <c r="F187" s="25">
        <f>F188</f>
        <v>300</v>
      </c>
      <c r="G187" s="25">
        <f>G188</f>
        <v>0</v>
      </c>
      <c r="H187" s="57">
        <f>F187-G187</f>
        <v>300</v>
      </c>
      <c r="I187" s="59">
        <f>G187/F187</f>
        <v>0</v>
      </c>
    </row>
    <row r="188" spans="1:9" ht="38.25">
      <c r="A188" s="23"/>
      <c r="B188" s="23"/>
      <c r="C188" s="23"/>
      <c r="D188" s="23" t="s">
        <v>43</v>
      </c>
      <c r="E188" s="24" t="s">
        <v>150</v>
      </c>
      <c r="F188" s="25">
        <v>300</v>
      </c>
      <c r="G188" s="25">
        <v>0</v>
      </c>
      <c r="H188" s="57">
        <f>F188-G188</f>
        <v>300</v>
      </c>
      <c r="I188" s="59">
        <f>G188/F188</f>
        <v>0</v>
      </c>
    </row>
    <row r="189" spans="1:9" ht="51.75" customHeight="1">
      <c r="A189" s="23"/>
      <c r="B189" s="23"/>
      <c r="C189" s="23" t="s">
        <v>475</v>
      </c>
      <c r="D189" s="23"/>
      <c r="E189" s="24" t="s">
        <v>478</v>
      </c>
      <c r="F189" s="25">
        <f>F190</f>
        <v>28.3</v>
      </c>
      <c r="G189" s="25">
        <f>G190</f>
        <v>28.3</v>
      </c>
      <c r="H189" s="57">
        <f t="shared" si="19"/>
        <v>0</v>
      </c>
      <c r="I189" s="59">
        <f t="shared" si="20"/>
        <v>1</v>
      </c>
    </row>
    <row r="190" spans="1:9" ht="40.5" customHeight="1">
      <c r="A190" s="23"/>
      <c r="B190" s="23"/>
      <c r="C190" s="23" t="s">
        <v>481</v>
      </c>
      <c r="D190" s="23"/>
      <c r="E190" s="24" t="s">
        <v>482</v>
      </c>
      <c r="F190" s="25">
        <f>F191</f>
        <v>28.3</v>
      </c>
      <c r="G190" s="25">
        <f>G191</f>
        <v>28.3</v>
      </c>
      <c r="H190" s="57">
        <f t="shared" si="19"/>
        <v>0</v>
      </c>
      <c r="I190" s="59">
        <f t="shared" si="20"/>
        <v>1</v>
      </c>
    </row>
    <row r="191" spans="1:9" ht="38.25">
      <c r="A191" s="23"/>
      <c r="B191" s="23"/>
      <c r="C191" s="23"/>
      <c r="D191" s="23" t="s">
        <v>43</v>
      </c>
      <c r="E191" s="24" t="s">
        <v>150</v>
      </c>
      <c r="F191" s="25">
        <v>28.3</v>
      </c>
      <c r="G191" s="25">
        <v>28.3</v>
      </c>
      <c r="H191" s="57">
        <f t="shared" si="19"/>
        <v>0</v>
      </c>
      <c r="I191" s="59">
        <f t="shared" si="20"/>
        <v>1</v>
      </c>
    </row>
    <row r="192" spans="1:9" ht="25.5">
      <c r="A192" s="23"/>
      <c r="B192" s="23" t="s">
        <v>91</v>
      </c>
      <c r="C192" s="23"/>
      <c r="D192" s="23"/>
      <c r="E192" s="24" t="s">
        <v>92</v>
      </c>
      <c r="F192" s="25">
        <f aca="true" t="shared" si="21" ref="F192:G195">F193</f>
        <v>60</v>
      </c>
      <c r="G192" s="25">
        <f t="shared" si="21"/>
        <v>0</v>
      </c>
      <c r="H192" s="57">
        <f t="shared" si="19"/>
        <v>60</v>
      </c>
      <c r="I192" s="59">
        <f t="shared" si="20"/>
        <v>0</v>
      </c>
    </row>
    <row r="193" spans="1:9" ht="12.75">
      <c r="A193" s="23"/>
      <c r="B193" s="23" t="s">
        <v>406</v>
      </c>
      <c r="C193" s="23"/>
      <c r="D193" s="23"/>
      <c r="E193" s="24" t="s">
        <v>407</v>
      </c>
      <c r="F193" s="25">
        <f t="shared" si="21"/>
        <v>60</v>
      </c>
      <c r="G193" s="25">
        <f t="shared" si="21"/>
        <v>0</v>
      </c>
      <c r="H193" s="57">
        <f t="shared" si="19"/>
        <v>60</v>
      </c>
      <c r="I193" s="59">
        <f t="shared" si="20"/>
        <v>0</v>
      </c>
    </row>
    <row r="194" spans="1:9" ht="25.5">
      <c r="A194" s="23"/>
      <c r="B194" s="23"/>
      <c r="C194" s="23" t="s">
        <v>55</v>
      </c>
      <c r="D194" s="23"/>
      <c r="E194" s="24" t="s">
        <v>297</v>
      </c>
      <c r="F194" s="25">
        <f t="shared" si="21"/>
        <v>60</v>
      </c>
      <c r="G194" s="25">
        <f t="shared" si="21"/>
        <v>0</v>
      </c>
      <c r="H194" s="57">
        <f t="shared" si="19"/>
        <v>60</v>
      </c>
      <c r="I194" s="59">
        <f t="shared" si="20"/>
        <v>0</v>
      </c>
    </row>
    <row r="195" spans="1:9" ht="51">
      <c r="A195" s="23"/>
      <c r="B195" s="23"/>
      <c r="C195" s="23" t="s">
        <v>408</v>
      </c>
      <c r="D195" s="23"/>
      <c r="E195" s="24" t="s">
        <v>409</v>
      </c>
      <c r="F195" s="25">
        <f t="shared" si="21"/>
        <v>60</v>
      </c>
      <c r="G195" s="25">
        <f t="shared" si="21"/>
        <v>0</v>
      </c>
      <c r="H195" s="57">
        <f t="shared" si="19"/>
        <v>60</v>
      </c>
      <c r="I195" s="59">
        <f t="shared" si="20"/>
        <v>0</v>
      </c>
    </row>
    <row r="196" spans="1:9" ht="12.75">
      <c r="A196" s="23"/>
      <c r="B196" s="23"/>
      <c r="C196" s="23"/>
      <c r="D196" s="26" t="s">
        <v>385</v>
      </c>
      <c r="E196" s="60" t="s">
        <v>386</v>
      </c>
      <c r="F196" s="25">
        <v>60</v>
      </c>
      <c r="G196" s="25">
        <v>0</v>
      </c>
      <c r="H196" s="57">
        <f t="shared" si="19"/>
        <v>60</v>
      </c>
      <c r="I196" s="59">
        <f t="shared" si="20"/>
        <v>0</v>
      </c>
    </row>
    <row r="197" spans="1:9" ht="12.75">
      <c r="A197" s="23"/>
      <c r="B197" s="23" t="s">
        <v>118</v>
      </c>
      <c r="C197" s="23"/>
      <c r="D197" s="23"/>
      <c r="E197" s="24" t="s">
        <v>119</v>
      </c>
      <c r="F197" s="25">
        <f>F198+F202</f>
        <v>4712.900000000001</v>
      </c>
      <c r="G197" s="25">
        <f>G198+G202</f>
        <v>2965.1000000000004</v>
      </c>
      <c r="H197" s="57">
        <f t="shared" si="19"/>
        <v>1747.8000000000002</v>
      </c>
      <c r="I197" s="59">
        <f t="shared" si="20"/>
        <v>0.6291455367183687</v>
      </c>
    </row>
    <row r="198" spans="1:9" ht="12.75">
      <c r="A198" s="23"/>
      <c r="B198" s="23" t="s">
        <v>120</v>
      </c>
      <c r="C198" s="23"/>
      <c r="D198" s="23"/>
      <c r="E198" s="24" t="s">
        <v>121</v>
      </c>
      <c r="F198" s="25">
        <f aca="true" t="shared" si="22" ref="F198:G200">F199</f>
        <v>26.2</v>
      </c>
      <c r="G198" s="25">
        <f t="shared" si="22"/>
        <v>13.3</v>
      </c>
      <c r="H198" s="57">
        <f t="shared" si="19"/>
        <v>12.899999999999999</v>
      </c>
      <c r="I198" s="59">
        <f t="shared" si="20"/>
        <v>0.5076335877862596</v>
      </c>
    </row>
    <row r="199" spans="1:9" ht="12.75">
      <c r="A199" s="23"/>
      <c r="B199" s="23"/>
      <c r="C199" s="23" t="s">
        <v>74</v>
      </c>
      <c r="D199" s="23"/>
      <c r="E199" s="24" t="s">
        <v>287</v>
      </c>
      <c r="F199" s="25">
        <f t="shared" si="22"/>
        <v>26.2</v>
      </c>
      <c r="G199" s="25">
        <f t="shared" si="22"/>
        <v>13.3</v>
      </c>
      <c r="H199" s="57">
        <f t="shared" si="19"/>
        <v>12.899999999999999</v>
      </c>
      <c r="I199" s="59">
        <f t="shared" si="20"/>
        <v>0.5076335877862596</v>
      </c>
    </row>
    <row r="200" spans="1:9" ht="89.25">
      <c r="A200" s="23"/>
      <c r="B200" s="23"/>
      <c r="C200" s="23" t="s">
        <v>151</v>
      </c>
      <c r="D200" s="23"/>
      <c r="E200" s="24" t="s">
        <v>152</v>
      </c>
      <c r="F200" s="25">
        <f t="shared" si="22"/>
        <v>26.2</v>
      </c>
      <c r="G200" s="25">
        <f t="shared" si="22"/>
        <v>13.3</v>
      </c>
      <c r="H200" s="57">
        <f t="shared" si="19"/>
        <v>12.899999999999999</v>
      </c>
      <c r="I200" s="59">
        <f t="shared" si="20"/>
        <v>0.5076335877862596</v>
      </c>
    </row>
    <row r="201" spans="1:9" ht="25.5">
      <c r="A201" s="23"/>
      <c r="B201" s="23"/>
      <c r="C201" s="23"/>
      <c r="D201" s="23" t="s">
        <v>47</v>
      </c>
      <c r="E201" s="24" t="s">
        <v>48</v>
      </c>
      <c r="F201" s="25">
        <v>26.2</v>
      </c>
      <c r="G201" s="25">
        <v>13.3</v>
      </c>
      <c r="H201" s="57">
        <f t="shared" si="19"/>
        <v>12.899999999999999</v>
      </c>
      <c r="I201" s="59">
        <f t="shared" si="20"/>
        <v>0.5076335877862596</v>
      </c>
    </row>
    <row r="202" spans="1:9" ht="12.75">
      <c r="A202" s="23"/>
      <c r="B202" s="23" t="s">
        <v>122</v>
      </c>
      <c r="C202" s="23"/>
      <c r="D202" s="23"/>
      <c r="E202" s="49" t="s">
        <v>123</v>
      </c>
      <c r="F202" s="25">
        <f>+F203+F211</f>
        <v>4686.700000000001</v>
      </c>
      <c r="G202" s="25">
        <f>+G203+G211</f>
        <v>2951.8</v>
      </c>
      <c r="H202" s="57">
        <f t="shared" si="19"/>
        <v>1734.9000000000005</v>
      </c>
      <c r="I202" s="59">
        <f t="shared" si="20"/>
        <v>0.6298248234365331</v>
      </c>
    </row>
    <row r="203" spans="1:9" ht="38.25">
      <c r="A203" s="23"/>
      <c r="B203" s="23"/>
      <c r="C203" s="23" t="s">
        <v>60</v>
      </c>
      <c r="D203" s="23"/>
      <c r="E203" s="49" t="s">
        <v>301</v>
      </c>
      <c r="F203" s="25">
        <f>+F204</f>
        <v>4681.700000000001</v>
      </c>
      <c r="G203" s="25">
        <f>+G204</f>
        <v>2946.8</v>
      </c>
      <c r="H203" s="57">
        <f t="shared" si="19"/>
        <v>1734.9000000000005</v>
      </c>
      <c r="I203" s="59">
        <f t="shared" si="20"/>
        <v>0.629429480744174</v>
      </c>
    </row>
    <row r="204" spans="1:9" ht="89.25">
      <c r="A204" s="23"/>
      <c r="B204" s="23"/>
      <c r="C204" s="23" t="s">
        <v>300</v>
      </c>
      <c r="D204" s="23"/>
      <c r="E204" s="49" t="s">
        <v>302</v>
      </c>
      <c r="F204" s="25">
        <f>F205+F207+F209</f>
        <v>4681.700000000001</v>
      </c>
      <c r="G204" s="25">
        <f>G205+G207+G209</f>
        <v>2946.8</v>
      </c>
      <c r="H204" s="57">
        <f t="shared" si="19"/>
        <v>1734.9000000000005</v>
      </c>
      <c r="I204" s="59">
        <f t="shared" si="20"/>
        <v>0.629429480744174</v>
      </c>
    </row>
    <row r="205" spans="1:9" ht="116.25" customHeight="1">
      <c r="A205" s="23"/>
      <c r="B205" s="23"/>
      <c r="C205" s="23" t="s">
        <v>375</v>
      </c>
      <c r="D205" s="23"/>
      <c r="E205" s="49" t="s">
        <v>523</v>
      </c>
      <c r="F205" s="25">
        <f>F206</f>
        <v>2357.4</v>
      </c>
      <c r="G205" s="25">
        <f>G206</f>
        <v>2357.4</v>
      </c>
      <c r="H205" s="57">
        <f t="shared" si="19"/>
        <v>0</v>
      </c>
      <c r="I205" s="59">
        <f t="shared" si="20"/>
        <v>1</v>
      </c>
    </row>
    <row r="206" spans="1:9" ht="25.5">
      <c r="A206" s="23"/>
      <c r="B206" s="23"/>
      <c r="C206" s="23"/>
      <c r="D206" s="23" t="s">
        <v>47</v>
      </c>
      <c r="E206" s="24" t="s">
        <v>48</v>
      </c>
      <c r="F206" s="25">
        <v>2357.4</v>
      </c>
      <c r="G206" s="25">
        <v>2357.4</v>
      </c>
      <c r="H206" s="57">
        <f t="shared" si="19"/>
        <v>0</v>
      </c>
      <c r="I206" s="59">
        <f t="shared" si="20"/>
        <v>1</v>
      </c>
    </row>
    <row r="207" spans="1:9" ht="89.25">
      <c r="A207" s="23"/>
      <c r="B207" s="23"/>
      <c r="C207" s="23" t="s">
        <v>376</v>
      </c>
      <c r="D207" s="23"/>
      <c r="E207" s="49" t="s">
        <v>524</v>
      </c>
      <c r="F207" s="25">
        <f>F208</f>
        <v>1178.7</v>
      </c>
      <c r="G207" s="25">
        <f>G208</f>
        <v>589.4</v>
      </c>
      <c r="H207" s="57">
        <f t="shared" si="19"/>
        <v>589.3000000000001</v>
      </c>
      <c r="I207" s="59">
        <f t="shared" si="20"/>
        <v>0.5000424196148299</v>
      </c>
    </row>
    <row r="208" spans="1:9" ht="25.5">
      <c r="A208" s="23"/>
      <c r="B208" s="23"/>
      <c r="C208" s="23"/>
      <c r="D208" s="23" t="s">
        <v>47</v>
      </c>
      <c r="E208" s="24" t="s">
        <v>48</v>
      </c>
      <c r="F208" s="25">
        <v>1178.7</v>
      </c>
      <c r="G208" s="25">
        <v>589.4</v>
      </c>
      <c r="H208" s="57">
        <f t="shared" si="19"/>
        <v>589.3000000000001</v>
      </c>
      <c r="I208" s="59">
        <f t="shared" si="20"/>
        <v>0.5000424196148299</v>
      </c>
    </row>
    <row r="209" spans="1:9" ht="63.75">
      <c r="A209" s="23"/>
      <c r="B209" s="23"/>
      <c r="C209" s="23" t="s">
        <v>1031</v>
      </c>
      <c r="D209" s="23"/>
      <c r="E209" s="49" t="s">
        <v>1062</v>
      </c>
      <c r="F209" s="25">
        <f>F210</f>
        <v>1145.6</v>
      </c>
      <c r="G209" s="25">
        <f>G210</f>
        <v>0</v>
      </c>
      <c r="H209" s="57">
        <f>F209-G209</f>
        <v>1145.6</v>
      </c>
      <c r="I209" s="59">
        <f>G209/F209</f>
        <v>0</v>
      </c>
    </row>
    <row r="210" spans="1:9" ht="25.5">
      <c r="A210" s="23"/>
      <c r="B210" s="23"/>
      <c r="C210" s="23"/>
      <c r="D210" s="23" t="s">
        <v>47</v>
      </c>
      <c r="E210" s="24" t="s">
        <v>48</v>
      </c>
      <c r="F210" s="25">
        <v>1145.6</v>
      </c>
      <c r="G210" s="25">
        <v>0</v>
      </c>
      <c r="H210" s="57">
        <f>F210-G210</f>
        <v>1145.6</v>
      </c>
      <c r="I210" s="59">
        <f>G210/F210</f>
        <v>0</v>
      </c>
    </row>
    <row r="211" spans="1:9" ht="12.75">
      <c r="A211" s="23"/>
      <c r="B211" s="23"/>
      <c r="C211" s="23" t="s">
        <v>74</v>
      </c>
      <c r="D211" s="23"/>
      <c r="E211" s="24" t="s">
        <v>287</v>
      </c>
      <c r="F211" s="25">
        <f>F212</f>
        <v>5</v>
      </c>
      <c r="G211" s="25">
        <f>G212</f>
        <v>5</v>
      </c>
      <c r="H211" s="57">
        <f t="shared" si="19"/>
        <v>0</v>
      </c>
      <c r="I211" s="59">
        <f t="shared" si="20"/>
        <v>1</v>
      </c>
    </row>
    <row r="212" spans="1:9" ht="25.5">
      <c r="A212" s="23"/>
      <c r="B212" s="23"/>
      <c r="C212" s="23" t="s">
        <v>460</v>
      </c>
      <c r="D212" s="23"/>
      <c r="E212" s="24" t="s">
        <v>459</v>
      </c>
      <c r="F212" s="25">
        <f>F213</f>
        <v>5</v>
      </c>
      <c r="G212" s="25">
        <f>G213</f>
        <v>5</v>
      </c>
      <c r="H212" s="57">
        <f t="shared" si="19"/>
        <v>0</v>
      </c>
      <c r="I212" s="59">
        <f t="shared" si="20"/>
        <v>1</v>
      </c>
    </row>
    <row r="213" spans="1:9" ht="25.5">
      <c r="A213" s="23"/>
      <c r="B213" s="23"/>
      <c r="C213" s="23"/>
      <c r="D213" s="23" t="s">
        <v>47</v>
      </c>
      <c r="E213" s="24" t="s">
        <v>48</v>
      </c>
      <c r="F213" s="25">
        <v>5</v>
      </c>
      <c r="G213" s="25">
        <v>5</v>
      </c>
      <c r="H213" s="57">
        <f t="shared" si="19"/>
        <v>0</v>
      </c>
      <c r="I213" s="59">
        <f t="shared" si="20"/>
        <v>1</v>
      </c>
    </row>
    <row r="214" spans="1:9" ht="12.75">
      <c r="A214" s="23"/>
      <c r="B214" s="23"/>
      <c r="C214" s="23"/>
      <c r="D214" s="23"/>
      <c r="E214" s="24"/>
      <c r="F214" s="25"/>
      <c r="G214" s="25"/>
      <c r="H214" s="39"/>
      <c r="I214" s="58"/>
    </row>
    <row r="215" spans="1:9" s="35" customFormat="1" ht="25.5">
      <c r="A215" s="21" t="s">
        <v>164</v>
      </c>
      <c r="B215" s="21"/>
      <c r="C215" s="21"/>
      <c r="D215" s="21"/>
      <c r="E215" s="37" t="s">
        <v>165</v>
      </c>
      <c r="F215" s="36">
        <f>F216+F327+F298+F360+F365+F318+F293</f>
        <v>100124.7</v>
      </c>
      <c r="G215" s="36">
        <f>G216+G327+G298+G360+G365+G318+G293</f>
        <v>45790.1</v>
      </c>
      <c r="H215" s="39">
        <f t="shared" si="19"/>
        <v>54334.6</v>
      </c>
      <c r="I215" s="58">
        <f t="shared" si="20"/>
        <v>0.4573307086063679</v>
      </c>
    </row>
    <row r="216" spans="1:9" ht="25.5">
      <c r="A216" s="23"/>
      <c r="B216" s="23" t="s">
        <v>38</v>
      </c>
      <c r="C216" s="23"/>
      <c r="D216" s="23"/>
      <c r="E216" s="24" t="s">
        <v>39</v>
      </c>
      <c r="F216" s="25">
        <f>F217+F221+F255</f>
        <v>47159.3</v>
      </c>
      <c r="G216" s="25">
        <f>G217+G221+G255</f>
        <v>20153.8</v>
      </c>
      <c r="H216" s="57">
        <f t="shared" si="19"/>
        <v>27005.500000000004</v>
      </c>
      <c r="I216" s="59">
        <f t="shared" si="20"/>
        <v>0.4273557919646814</v>
      </c>
    </row>
    <row r="217" spans="1:9" ht="51">
      <c r="A217" s="23"/>
      <c r="B217" s="23" t="s">
        <v>40</v>
      </c>
      <c r="C217" s="23"/>
      <c r="D217" s="23"/>
      <c r="E217" s="24" t="s">
        <v>41</v>
      </c>
      <c r="F217" s="25">
        <f aca="true" t="shared" si="23" ref="F217:G219">F218</f>
        <v>1862.8999999999999</v>
      </c>
      <c r="G217" s="25">
        <f t="shared" si="23"/>
        <v>778.1</v>
      </c>
      <c r="H217" s="57">
        <f t="shared" si="19"/>
        <v>1084.7999999999997</v>
      </c>
      <c r="I217" s="59">
        <f t="shared" si="20"/>
        <v>0.41768210854044774</v>
      </c>
    </row>
    <row r="218" spans="1:9" ht="25.5">
      <c r="A218" s="23"/>
      <c r="B218" s="23"/>
      <c r="C218" s="23" t="s">
        <v>81</v>
      </c>
      <c r="D218" s="23"/>
      <c r="E218" s="24" t="s">
        <v>285</v>
      </c>
      <c r="F218" s="25">
        <f t="shared" si="23"/>
        <v>1862.8999999999999</v>
      </c>
      <c r="G218" s="25">
        <f t="shared" si="23"/>
        <v>778.1</v>
      </c>
      <c r="H218" s="57">
        <f t="shared" si="19"/>
        <v>1084.7999999999997</v>
      </c>
      <c r="I218" s="59">
        <f t="shared" si="20"/>
        <v>0.41768210854044774</v>
      </c>
    </row>
    <row r="219" spans="1:9" ht="25.5">
      <c r="A219" s="23"/>
      <c r="B219" s="23"/>
      <c r="C219" s="23" t="s">
        <v>166</v>
      </c>
      <c r="D219" s="23"/>
      <c r="E219" s="24" t="s">
        <v>167</v>
      </c>
      <c r="F219" s="25">
        <f t="shared" si="23"/>
        <v>1862.8999999999999</v>
      </c>
      <c r="G219" s="25">
        <f t="shared" si="23"/>
        <v>778.1</v>
      </c>
      <c r="H219" s="57">
        <f t="shared" si="19"/>
        <v>1084.7999999999997</v>
      </c>
      <c r="I219" s="59">
        <f t="shared" si="20"/>
        <v>0.41768210854044774</v>
      </c>
    </row>
    <row r="220" spans="1:9" ht="89.25">
      <c r="A220" s="23"/>
      <c r="B220" s="23"/>
      <c r="C220" s="23"/>
      <c r="D220" s="23" t="s">
        <v>42</v>
      </c>
      <c r="E220" s="24" t="s">
        <v>149</v>
      </c>
      <c r="F220" s="25">
        <f>108.6+1703.2+51.1</f>
        <v>1862.8999999999999</v>
      </c>
      <c r="G220" s="25">
        <v>778.1</v>
      </c>
      <c r="H220" s="57">
        <f t="shared" si="19"/>
        <v>1084.7999999999997</v>
      </c>
      <c r="I220" s="59">
        <f t="shared" si="20"/>
        <v>0.41768210854044774</v>
      </c>
    </row>
    <row r="221" spans="1:9" ht="76.5">
      <c r="A221" s="23"/>
      <c r="B221" s="23" t="s">
        <v>51</v>
      </c>
      <c r="C221" s="23"/>
      <c r="D221" s="23"/>
      <c r="E221" s="24" t="s">
        <v>161</v>
      </c>
      <c r="F221" s="25">
        <f>F222+F233+F237+F242+F246+F250</f>
        <v>35326.8</v>
      </c>
      <c r="G221" s="25">
        <f>G222+G233+G237+G242+G246+G250</f>
        <v>17060.4</v>
      </c>
      <c r="H221" s="57">
        <f t="shared" si="19"/>
        <v>18266.4</v>
      </c>
      <c r="I221" s="59">
        <f t="shared" si="20"/>
        <v>0.48293080607357586</v>
      </c>
    </row>
    <row r="222" spans="1:9" ht="25.5">
      <c r="A222" s="23"/>
      <c r="B222" s="23"/>
      <c r="C222" s="23" t="s">
        <v>81</v>
      </c>
      <c r="D222" s="23"/>
      <c r="E222" s="24" t="s">
        <v>285</v>
      </c>
      <c r="F222" s="25">
        <f>F223+F227+F230</f>
        <v>33432.6</v>
      </c>
      <c r="G222" s="25">
        <f>G223+G227+G230</f>
        <v>16203.900000000001</v>
      </c>
      <c r="H222" s="57">
        <f t="shared" si="19"/>
        <v>17228.699999999997</v>
      </c>
      <c r="I222" s="59">
        <f t="shared" si="20"/>
        <v>0.4846736418944384</v>
      </c>
    </row>
    <row r="223" spans="1:9" ht="51">
      <c r="A223" s="23"/>
      <c r="B223" s="23"/>
      <c r="C223" s="23" t="s">
        <v>147</v>
      </c>
      <c r="D223" s="23"/>
      <c r="E223" s="24" t="s">
        <v>148</v>
      </c>
      <c r="F223" s="25">
        <f>SUM(F224:F226)</f>
        <v>33365.4</v>
      </c>
      <c r="G223" s="25">
        <f>SUM(G224:G226)</f>
        <v>16173.300000000001</v>
      </c>
      <c r="H223" s="57">
        <f t="shared" si="19"/>
        <v>17192.1</v>
      </c>
      <c r="I223" s="59">
        <f t="shared" si="20"/>
        <v>0.48473268715495693</v>
      </c>
    </row>
    <row r="224" spans="1:9" ht="89.25">
      <c r="A224" s="23"/>
      <c r="B224" s="23"/>
      <c r="C224" s="23"/>
      <c r="D224" s="23" t="s">
        <v>42</v>
      </c>
      <c r="E224" s="24" t="s">
        <v>149</v>
      </c>
      <c r="F224" s="25">
        <f>1666.9+26147.8-687+765</f>
        <v>27892.7</v>
      </c>
      <c r="G224" s="25">
        <v>13845.6</v>
      </c>
      <c r="H224" s="57">
        <f t="shared" si="19"/>
        <v>14047.1</v>
      </c>
      <c r="I224" s="59">
        <f t="shared" si="20"/>
        <v>0.49638794379891515</v>
      </c>
    </row>
    <row r="225" spans="1:9" ht="38.25">
      <c r="A225" s="23"/>
      <c r="B225" s="23"/>
      <c r="C225" s="23"/>
      <c r="D225" s="23" t="s">
        <v>43</v>
      </c>
      <c r="E225" s="24" t="s">
        <v>150</v>
      </c>
      <c r="F225" s="25">
        <v>5374.7</v>
      </c>
      <c r="G225" s="25">
        <v>2261</v>
      </c>
      <c r="H225" s="57">
        <f t="shared" si="19"/>
        <v>3113.7</v>
      </c>
      <c r="I225" s="59">
        <f t="shared" si="20"/>
        <v>0.4206746423056171</v>
      </c>
    </row>
    <row r="226" spans="1:9" ht="12.75">
      <c r="A226" s="23"/>
      <c r="B226" s="23"/>
      <c r="C226" s="23"/>
      <c r="D226" s="23" t="s">
        <v>44</v>
      </c>
      <c r="E226" s="24" t="s">
        <v>45</v>
      </c>
      <c r="F226" s="25">
        <v>98</v>
      </c>
      <c r="G226" s="25">
        <v>66.7</v>
      </c>
      <c r="H226" s="57">
        <f t="shared" si="19"/>
        <v>31.299999999999997</v>
      </c>
      <c r="I226" s="59">
        <f t="shared" si="20"/>
        <v>0.6806122448979592</v>
      </c>
    </row>
    <row r="227" spans="1:9" ht="76.5">
      <c r="A227" s="23"/>
      <c r="B227" s="23"/>
      <c r="C227" s="23" t="s">
        <v>483</v>
      </c>
      <c r="D227" s="23"/>
      <c r="E227" s="24" t="s">
        <v>484</v>
      </c>
      <c r="F227" s="25">
        <f>F228+F229</f>
        <v>60</v>
      </c>
      <c r="G227" s="25">
        <f>G228+G229</f>
        <v>27</v>
      </c>
      <c r="H227" s="57">
        <f t="shared" si="19"/>
        <v>33</v>
      </c>
      <c r="I227" s="59">
        <f t="shared" si="20"/>
        <v>0.45</v>
      </c>
    </row>
    <row r="228" spans="1:9" ht="89.25">
      <c r="A228" s="23"/>
      <c r="B228" s="23"/>
      <c r="C228" s="23"/>
      <c r="D228" s="23" t="s">
        <v>42</v>
      </c>
      <c r="E228" s="24" t="s">
        <v>149</v>
      </c>
      <c r="F228" s="25">
        <v>46</v>
      </c>
      <c r="G228" s="25">
        <v>22</v>
      </c>
      <c r="H228" s="57">
        <f t="shared" si="19"/>
        <v>24</v>
      </c>
      <c r="I228" s="59">
        <f t="shared" si="20"/>
        <v>0.4782608695652174</v>
      </c>
    </row>
    <row r="229" spans="1:9" ht="38.25">
      <c r="A229" s="23"/>
      <c r="B229" s="23"/>
      <c r="C229" s="23"/>
      <c r="D229" s="23" t="s">
        <v>43</v>
      </c>
      <c r="E229" s="24" t="s">
        <v>150</v>
      </c>
      <c r="F229" s="25">
        <v>14</v>
      </c>
      <c r="G229" s="25">
        <v>5</v>
      </c>
      <c r="H229" s="57">
        <f t="shared" si="19"/>
        <v>9</v>
      </c>
      <c r="I229" s="59">
        <f t="shared" si="20"/>
        <v>0.35714285714285715</v>
      </c>
    </row>
    <row r="230" spans="1:9" ht="39" customHeight="1">
      <c r="A230" s="23"/>
      <c r="B230" s="23"/>
      <c r="C230" s="23" t="s">
        <v>485</v>
      </c>
      <c r="D230" s="23"/>
      <c r="E230" s="24" t="s">
        <v>486</v>
      </c>
      <c r="F230" s="25">
        <f>F231+F232</f>
        <v>7.199999999999999</v>
      </c>
      <c r="G230" s="25">
        <f>G231+G232</f>
        <v>3.5999999999999996</v>
      </c>
      <c r="H230" s="57">
        <f t="shared" si="19"/>
        <v>3.5999999999999996</v>
      </c>
      <c r="I230" s="59">
        <f t="shared" si="20"/>
        <v>0.5</v>
      </c>
    </row>
    <row r="231" spans="1:9" ht="89.25">
      <c r="A231" s="23"/>
      <c r="B231" s="23"/>
      <c r="C231" s="23"/>
      <c r="D231" s="23" t="s">
        <v>42</v>
      </c>
      <c r="E231" s="24" t="s">
        <v>149</v>
      </c>
      <c r="F231" s="25">
        <v>5.8</v>
      </c>
      <c r="G231" s="25">
        <v>2.9</v>
      </c>
      <c r="H231" s="57">
        <f t="shared" si="19"/>
        <v>2.9</v>
      </c>
      <c r="I231" s="59">
        <f t="shared" si="20"/>
        <v>0.5</v>
      </c>
    </row>
    <row r="232" spans="1:9" ht="38.25">
      <c r="A232" s="23"/>
      <c r="B232" s="23"/>
      <c r="C232" s="23"/>
      <c r="D232" s="23" t="s">
        <v>43</v>
      </c>
      <c r="E232" s="24" t="s">
        <v>150</v>
      </c>
      <c r="F232" s="25">
        <v>1.4</v>
      </c>
      <c r="G232" s="25">
        <v>0.7</v>
      </c>
      <c r="H232" s="57">
        <f t="shared" si="19"/>
        <v>0.7</v>
      </c>
      <c r="I232" s="59">
        <f t="shared" si="20"/>
        <v>0.5</v>
      </c>
    </row>
    <row r="233" spans="1:9" ht="38.25">
      <c r="A233" s="23"/>
      <c r="B233" s="23"/>
      <c r="C233" s="23" t="s">
        <v>60</v>
      </c>
      <c r="D233" s="23"/>
      <c r="E233" s="49" t="s">
        <v>301</v>
      </c>
      <c r="F233" s="25">
        <f aca="true" t="shared" si="24" ref="F233:G235">F234</f>
        <v>1.8</v>
      </c>
      <c r="G233" s="25">
        <f t="shared" si="24"/>
        <v>0.9</v>
      </c>
      <c r="H233" s="57">
        <f t="shared" si="19"/>
        <v>0.9</v>
      </c>
      <c r="I233" s="59">
        <f t="shared" si="20"/>
        <v>0.5</v>
      </c>
    </row>
    <row r="234" spans="1:9" ht="89.25">
      <c r="A234" s="23"/>
      <c r="B234" s="23"/>
      <c r="C234" s="23" t="s">
        <v>300</v>
      </c>
      <c r="D234" s="23"/>
      <c r="E234" s="49" t="s">
        <v>302</v>
      </c>
      <c r="F234" s="25">
        <f t="shared" si="24"/>
        <v>1.8</v>
      </c>
      <c r="G234" s="25">
        <f t="shared" si="24"/>
        <v>0.9</v>
      </c>
      <c r="H234" s="57">
        <f t="shared" si="19"/>
        <v>0.9</v>
      </c>
      <c r="I234" s="59">
        <f t="shared" si="20"/>
        <v>0.5</v>
      </c>
    </row>
    <row r="235" spans="1:9" ht="89.25">
      <c r="A235" s="23"/>
      <c r="B235" s="23"/>
      <c r="C235" s="23" t="s">
        <v>323</v>
      </c>
      <c r="D235" s="23"/>
      <c r="E235" s="24" t="s">
        <v>61</v>
      </c>
      <c r="F235" s="25">
        <f t="shared" si="24"/>
        <v>1.8</v>
      </c>
      <c r="G235" s="25">
        <f t="shared" si="24"/>
        <v>0.9</v>
      </c>
      <c r="H235" s="57">
        <f t="shared" si="19"/>
        <v>0.9</v>
      </c>
      <c r="I235" s="59">
        <f t="shared" si="20"/>
        <v>0.5</v>
      </c>
    </row>
    <row r="236" spans="1:9" ht="38.25">
      <c r="A236" s="23"/>
      <c r="B236" s="23"/>
      <c r="C236" s="23"/>
      <c r="D236" s="23" t="s">
        <v>43</v>
      </c>
      <c r="E236" s="24" t="s">
        <v>150</v>
      </c>
      <c r="F236" s="25">
        <v>1.8</v>
      </c>
      <c r="G236" s="25">
        <v>0.9</v>
      </c>
      <c r="H236" s="57">
        <f t="shared" si="19"/>
        <v>0.9</v>
      </c>
      <c r="I236" s="59">
        <f t="shared" si="20"/>
        <v>0.5</v>
      </c>
    </row>
    <row r="237" spans="1:9" ht="38.25">
      <c r="A237" s="23"/>
      <c r="B237" s="23"/>
      <c r="C237" s="23" t="s">
        <v>62</v>
      </c>
      <c r="D237" s="23"/>
      <c r="E237" s="24" t="s">
        <v>307</v>
      </c>
      <c r="F237" s="25">
        <f>F238</f>
        <v>1403.8</v>
      </c>
      <c r="G237" s="25">
        <f>G238</f>
        <v>701.9</v>
      </c>
      <c r="H237" s="57">
        <f t="shared" si="19"/>
        <v>701.9</v>
      </c>
      <c r="I237" s="59">
        <f t="shared" si="20"/>
        <v>0.5</v>
      </c>
    </row>
    <row r="238" spans="1:9" ht="78" customHeight="1">
      <c r="A238" s="23"/>
      <c r="B238" s="23"/>
      <c r="C238" s="23" t="s">
        <v>306</v>
      </c>
      <c r="D238" s="23"/>
      <c r="E238" s="24" t="s">
        <v>308</v>
      </c>
      <c r="F238" s="25">
        <f>F239</f>
        <v>1403.8</v>
      </c>
      <c r="G238" s="25">
        <f>G239</f>
        <v>701.9</v>
      </c>
      <c r="H238" s="57">
        <f t="shared" si="19"/>
        <v>701.9</v>
      </c>
      <c r="I238" s="59">
        <f t="shared" si="20"/>
        <v>0.5</v>
      </c>
    </row>
    <row r="239" spans="1:9" ht="38.25">
      <c r="A239" s="23"/>
      <c r="B239" s="23"/>
      <c r="C239" s="23" t="s">
        <v>305</v>
      </c>
      <c r="D239" s="23"/>
      <c r="E239" s="24" t="s">
        <v>253</v>
      </c>
      <c r="F239" s="25">
        <f>SUM(F240:F241)</f>
        <v>1403.8</v>
      </c>
      <c r="G239" s="25">
        <f>SUM(G240:G241)</f>
        <v>701.9</v>
      </c>
      <c r="H239" s="57">
        <f t="shared" si="19"/>
        <v>701.9</v>
      </c>
      <c r="I239" s="59">
        <f t="shared" si="20"/>
        <v>0.5</v>
      </c>
    </row>
    <row r="240" spans="1:9" ht="89.25">
      <c r="A240" s="23"/>
      <c r="B240" s="23"/>
      <c r="C240" s="23"/>
      <c r="D240" s="23" t="s">
        <v>42</v>
      </c>
      <c r="E240" s="24" t="s">
        <v>149</v>
      </c>
      <c r="F240" s="25">
        <v>1357.5</v>
      </c>
      <c r="G240" s="25">
        <v>688</v>
      </c>
      <c r="H240" s="57">
        <f t="shared" si="19"/>
        <v>669.5</v>
      </c>
      <c r="I240" s="59">
        <f t="shared" si="20"/>
        <v>0.5068139963167587</v>
      </c>
    </row>
    <row r="241" spans="1:9" ht="38.25">
      <c r="A241" s="23"/>
      <c r="B241" s="23"/>
      <c r="C241" s="23"/>
      <c r="D241" s="23" t="s">
        <v>43</v>
      </c>
      <c r="E241" s="24" t="s">
        <v>150</v>
      </c>
      <c r="F241" s="25">
        <f>40+6.3</f>
        <v>46.3</v>
      </c>
      <c r="G241" s="25">
        <v>13.9</v>
      </c>
      <c r="H241" s="57">
        <f t="shared" si="19"/>
        <v>32.4</v>
      </c>
      <c r="I241" s="59">
        <f t="shared" si="20"/>
        <v>0.30021598272138234</v>
      </c>
    </row>
    <row r="242" spans="1:9" ht="38.25">
      <c r="A242" s="23"/>
      <c r="B242" s="23"/>
      <c r="C242" s="23" t="s">
        <v>63</v>
      </c>
      <c r="D242" s="23"/>
      <c r="E242" s="24" t="s">
        <v>312</v>
      </c>
      <c r="F242" s="25">
        <f aca="true" t="shared" si="25" ref="F242:G244">F243</f>
        <v>457.09999999999997</v>
      </c>
      <c r="G242" s="25">
        <f t="shared" si="25"/>
        <v>153.7</v>
      </c>
      <c r="H242" s="57">
        <f t="shared" si="19"/>
        <v>303.4</v>
      </c>
      <c r="I242" s="59">
        <f t="shared" si="20"/>
        <v>0.3362502734631372</v>
      </c>
    </row>
    <row r="243" spans="1:9" ht="51">
      <c r="A243" s="23"/>
      <c r="B243" s="23"/>
      <c r="C243" s="23" t="s">
        <v>311</v>
      </c>
      <c r="D243" s="23"/>
      <c r="E243" s="24" t="s">
        <v>313</v>
      </c>
      <c r="F243" s="25">
        <f t="shared" si="25"/>
        <v>457.09999999999997</v>
      </c>
      <c r="G243" s="25">
        <f t="shared" si="25"/>
        <v>153.7</v>
      </c>
      <c r="H243" s="57">
        <f t="shared" si="19"/>
        <v>303.4</v>
      </c>
      <c r="I243" s="59">
        <f t="shared" si="20"/>
        <v>0.3362502734631372</v>
      </c>
    </row>
    <row r="244" spans="1:9" ht="63.75">
      <c r="A244" s="23"/>
      <c r="B244" s="23"/>
      <c r="C244" s="23" t="s">
        <v>309</v>
      </c>
      <c r="D244" s="23"/>
      <c r="E244" s="24" t="s">
        <v>310</v>
      </c>
      <c r="F244" s="25">
        <f t="shared" si="25"/>
        <v>457.09999999999997</v>
      </c>
      <c r="G244" s="25">
        <f t="shared" si="25"/>
        <v>153.7</v>
      </c>
      <c r="H244" s="57">
        <f t="shared" si="19"/>
        <v>303.4</v>
      </c>
      <c r="I244" s="59">
        <f t="shared" si="20"/>
        <v>0.3362502734631372</v>
      </c>
    </row>
    <row r="245" spans="1:9" ht="38.25">
      <c r="A245" s="23"/>
      <c r="B245" s="23"/>
      <c r="C245" s="23"/>
      <c r="D245" s="23" t="s">
        <v>43</v>
      </c>
      <c r="E245" s="24" t="s">
        <v>150</v>
      </c>
      <c r="F245" s="25">
        <f>36.2+420.9</f>
        <v>457.09999999999997</v>
      </c>
      <c r="G245" s="25">
        <v>153.7</v>
      </c>
      <c r="H245" s="57">
        <f t="shared" si="19"/>
        <v>303.4</v>
      </c>
      <c r="I245" s="59">
        <f t="shared" si="20"/>
        <v>0.3362502734631372</v>
      </c>
    </row>
    <row r="246" spans="1:9" ht="51">
      <c r="A246" s="23"/>
      <c r="B246" s="23"/>
      <c r="C246" s="23" t="s">
        <v>315</v>
      </c>
      <c r="D246" s="23"/>
      <c r="E246" s="49" t="s">
        <v>317</v>
      </c>
      <c r="F246" s="25">
        <f aca="true" t="shared" si="26" ref="F246:G248">F247</f>
        <v>14.4</v>
      </c>
      <c r="G246" s="25">
        <f t="shared" si="26"/>
        <v>0</v>
      </c>
      <c r="H246" s="57">
        <f t="shared" si="19"/>
        <v>14.4</v>
      </c>
      <c r="I246" s="59">
        <f t="shared" si="20"/>
        <v>0</v>
      </c>
    </row>
    <row r="247" spans="1:9" ht="76.5">
      <c r="A247" s="23"/>
      <c r="B247" s="23"/>
      <c r="C247" s="23" t="s">
        <v>316</v>
      </c>
      <c r="D247" s="23"/>
      <c r="E247" s="49" t="s">
        <v>318</v>
      </c>
      <c r="F247" s="25">
        <f t="shared" si="26"/>
        <v>14.4</v>
      </c>
      <c r="G247" s="25">
        <f t="shared" si="26"/>
        <v>0</v>
      </c>
      <c r="H247" s="57">
        <f t="shared" si="19"/>
        <v>14.4</v>
      </c>
      <c r="I247" s="59">
        <f t="shared" si="20"/>
        <v>0</v>
      </c>
    </row>
    <row r="248" spans="1:9" ht="25.5">
      <c r="A248" s="23"/>
      <c r="B248" s="23"/>
      <c r="C248" s="23" t="s">
        <v>314</v>
      </c>
      <c r="D248" s="23"/>
      <c r="E248" s="24" t="s">
        <v>78</v>
      </c>
      <c r="F248" s="25">
        <f t="shared" si="26"/>
        <v>14.4</v>
      </c>
      <c r="G248" s="25">
        <f t="shared" si="26"/>
        <v>0</v>
      </c>
      <c r="H248" s="57">
        <f t="shared" si="19"/>
        <v>14.4</v>
      </c>
      <c r="I248" s="59">
        <f t="shared" si="20"/>
        <v>0</v>
      </c>
    </row>
    <row r="249" spans="1:9" ht="38.25">
      <c r="A249" s="23"/>
      <c r="B249" s="23"/>
      <c r="C249" s="23"/>
      <c r="D249" s="23" t="s">
        <v>43</v>
      </c>
      <c r="E249" s="24" t="s">
        <v>150</v>
      </c>
      <c r="F249" s="25">
        <v>14.4</v>
      </c>
      <c r="G249" s="25">
        <v>0</v>
      </c>
      <c r="H249" s="57">
        <f t="shared" si="19"/>
        <v>14.4</v>
      </c>
      <c r="I249" s="59">
        <f t="shared" si="20"/>
        <v>0</v>
      </c>
    </row>
    <row r="250" spans="1:9" ht="38.25">
      <c r="A250" s="23"/>
      <c r="B250" s="23"/>
      <c r="C250" s="23" t="s">
        <v>67</v>
      </c>
      <c r="D250" s="23"/>
      <c r="E250" s="49" t="s">
        <v>322</v>
      </c>
      <c r="F250" s="25">
        <f>F251</f>
        <v>17.1</v>
      </c>
      <c r="G250" s="25">
        <f>G251</f>
        <v>0</v>
      </c>
      <c r="H250" s="57">
        <f t="shared" si="19"/>
        <v>17.1</v>
      </c>
      <c r="I250" s="59">
        <f t="shared" si="20"/>
        <v>0</v>
      </c>
    </row>
    <row r="251" spans="1:9" ht="76.5">
      <c r="A251" s="23"/>
      <c r="B251" s="23"/>
      <c r="C251" s="23" t="s">
        <v>320</v>
      </c>
      <c r="D251" s="23"/>
      <c r="E251" s="49" t="s">
        <v>321</v>
      </c>
      <c r="F251" s="25">
        <f>F252</f>
        <v>17.1</v>
      </c>
      <c r="G251" s="25">
        <f>G252</f>
        <v>0</v>
      </c>
      <c r="H251" s="57">
        <f t="shared" si="19"/>
        <v>17.1</v>
      </c>
      <c r="I251" s="59">
        <f t="shared" si="20"/>
        <v>0</v>
      </c>
    </row>
    <row r="252" spans="1:9" ht="105" customHeight="1">
      <c r="A252" s="23"/>
      <c r="B252" s="23"/>
      <c r="C252" s="23" t="s">
        <v>319</v>
      </c>
      <c r="D252" s="23"/>
      <c r="E252" s="24" t="s">
        <v>254</v>
      </c>
      <c r="F252" s="25">
        <f>SUM(F253:F254)</f>
        <v>17.1</v>
      </c>
      <c r="G252" s="25">
        <f>SUM(G253:G254)</f>
        <v>0</v>
      </c>
      <c r="H252" s="57">
        <f t="shared" si="19"/>
        <v>17.1</v>
      </c>
      <c r="I252" s="59">
        <f t="shared" si="20"/>
        <v>0</v>
      </c>
    </row>
    <row r="253" spans="1:9" ht="89.25">
      <c r="A253" s="23"/>
      <c r="B253" s="23"/>
      <c r="C253" s="23"/>
      <c r="D253" s="23" t="s">
        <v>42</v>
      </c>
      <c r="E253" s="24" t="s">
        <v>149</v>
      </c>
      <c r="F253" s="25">
        <v>9.2</v>
      </c>
      <c r="G253" s="25">
        <v>0</v>
      </c>
      <c r="H253" s="57">
        <f aca="true" t="shared" si="27" ref="H253:H328">F253-G253</f>
        <v>9.2</v>
      </c>
      <c r="I253" s="59">
        <f aca="true" t="shared" si="28" ref="I253:I328">G253/F253</f>
        <v>0</v>
      </c>
    </row>
    <row r="254" spans="1:9" ht="38.25">
      <c r="A254" s="23"/>
      <c r="B254" s="23"/>
      <c r="C254" s="23"/>
      <c r="D254" s="23" t="s">
        <v>43</v>
      </c>
      <c r="E254" s="24" t="s">
        <v>150</v>
      </c>
      <c r="F254" s="25">
        <v>7.9</v>
      </c>
      <c r="G254" s="25">
        <v>0</v>
      </c>
      <c r="H254" s="57">
        <f t="shared" si="27"/>
        <v>7.9</v>
      </c>
      <c r="I254" s="59">
        <f t="shared" si="28"/>
        <v>0</v>
      </c>
    </row>
    <row r="255" spans="1:9" ht="25.5">
      <c r="A255" s="23"/>
      <c r="B255" s="23" t="s">
        <v>58</v>
      </c>
      <c r="C255" s="23"/>
      <c r="D255" s="23"/>
      <c r="E255" s="24" t="s">
        <v>59</v>
      </c>
      <c r="F255" s="25">
        <f>F267+F256+F289+F286</f>
        <v>9969.6</v>
      </c>
      <c r="G255" s="25">
        <f>G267+G256+G289+G286</f>
        <v>2315.3</v>
      </c>
      <c r="H255" s="57">
        <f t="shared" si="27"/>
        <v>7654.3</v>
      </c>
      <c r="I255" s="59">
        <f t="shared" si="28"/>
        <v>0.2322359974321939</v>
      </c>
    </row>
    <row r="256" spans="1:9" ht="25.5">
      <c r="A256" s="23"/>
      <c r="B256" s="23"/>
      <c r="C256" s="23" t="s">
        <v>81</v>
      </c>
      <c r="D256" s="23"/>
      <c r="E256" s="24" t="s">
        <v>285</v>
      </c>
      <c r="F256" s="25">
        <f>F257+F261+F265+F263</f>
        <v>3293.7999999999997</v>
      </c>
      <c r="G256" s="25">
        <f>G257+G261+G265+G263</f>
        <v>506.6</v>
      </c>
      <c r="H256" s="57">
        <f t="shared" si="27"/>
        <v>2787.2</v>
      </c>
      <c r="I256" s="59">
        <f t="shared" si="28"/>
        <v>0.15380411682555106</v>
      </c>
    </row>
    <row r="257" spans="1:9" ht="25.5">
      <c r="A257" s="23"/>
      <c r="B257" s="23"/>
      <c r="C257" s="23" t="s">
        <v>223</v>
      </c>
      <c r="D257" s="23"/>
      <c r="E257" s="24" t="s">
        <v>64</v>
      </c>
      <c r="F257" s="25">
        <f>SUM(F258:F260)</f>
        <v>3079.6</v>
      </c>
      <c r="G257" s="25">
        <f>SUM(G258:G260)</f>
        <v>506.6</v>
      </c>
      <c r="H257" s="57">
        <f t="shared" si="27"/>
        <v>2573</v>
      </c>
      <c r="I257" s="59">
        <f t="shared" si="28"/>
        <v>0.16450188336147553</v>
      </c>
    </row>
    <row r="258" spans="1:9" ht="89.25">
      <c r="A258" s="23"/>
      <c r="B258" s="23"/>
      <c r="C258" s="23"/>
      <c r="D258" s="23" t="s">
        <v>42</v>
      </c>
      <c r="E258" s="24" t="s">
        <v>149</v>
      </c>
      <c r="F258" s="25">
        <f>157.2+2466.4+308.3</f>
        <v>2931.9</v>
      </c>
      <c r="G258" s="25">
        <v>495</v>
      </c>
      <c r="H258" s="57">
        <f t="shared" si="27"/>
        <v>2436.9</v>
      </c>
      <c r="I258" s="59">
        <f t="shared" si="28"/>
        <v>0.16883249769773867</v>
      </c>
    </row>
    <row r="259" spans="1:9" ht="38.25">
      <c r="A259" s="23"/>
      <c r="B259" s="23"/>
      <c r="C259" s="23"/>
      <c r="D259" s="23" t="s">
        <v>43</v>
      </c>
      <c r="E259" s="24" t="s">
        <v>150</v>
      </c>
      <c r="F259" s="25">
        <v>147.7</v>
      </c>
      <c r="G259" s="25">
        <v>11.6</v>
      </c>
      <c r="H259" s="57">
        <f t="shared" si="27"/>
        <v>136.1</v>
      </c>
      <c r="I259" s="59">
        <f t="shared" si="28"/>
        <v>0.07853757616790792</v>
      </c>
    </row>
    <row r="260" spans="1:9" ht="12.75" hidden="1">
      <c r="A260" s="23"/>
      <c r="B260" s="23"/>
      <c r="C260" s="23"/>
      <c r="D260" s="23" t="s">
        <v>44</v>
      </c>
      <c r="E260" s="24" t="s">
        <v>45</v>
      </c>
      <c r="F260" s="25">
        <v>0</v>
      </c>
      <c r="G260" s="25">
        <v>0</v>
      </c>
      <c r="H260" s="57">
        <f t="shared" si="27"/>
        <v>0</v>
      </c>
      <c r="I260" s="59" t="e">
        <f t="shared" si="28"/>
        <v>#DIV/0!</v>
      </c>
    </row>
    <row r="261" spans="1:9" ht="114.75">
      <c r="A261" s="23"/>
      <c r="B261" s="23"/>
      <c r="C261" s="23" t="s">
        <v>487</v>
      </c>
      <c r="D261" s="23"/>
      <c r="E261" s="24" t="s">
        <v>488</v>
      </c>
      <c r="F261" s="25">
        <f>F262</f>
        <v>151.2</v>
      </c>
      <c r="G261" s="25">
        <f>G262</f>
        <v>0</v>
      </c>
      <c r="H261" s="57">
        <f t="shared" si="27"/>
        <v>151.2</v>
      </c>
      <c r="I261" s="59">
        <f t="shared" si="28"/>
        <v>0</v>
      </c>
    </row>
    <row r="262" spans="1:9" ht="89.25">
      <c r="A262" s="23"/>
      <c r="B262" s="23"/>
      <c r="C262" s="23"/>
      <c r="D262" s="23" t="s">
        <v>42</v>
      </c>
      <c r="E262" s="24" t="s">
        <v>149</v>
      </c>
      <c r="F262" s="25">
        <v>151.2</v>
      </c>
      <c r="G262" s="25">
        <v>0</v>
      </c>
      <c r="H262" s="57">
        <f t="shared" si="27"/>
        <v>151.2</v>
      </c>
      <c r="I262" s="59">
        <f t="shared" si="28"/>
        <v>0</v>
      </c>
    </row>
    <row r="263" spans="1:9" ht="127.5">
      <c r="A263" s="23"/>
      <c r="B263" s="23"/>
      <c r="C263" s="23" t="s">
        <v>1079</v>
      </c>
      <c r="D263" s="23"/>
      <c r="E263" s="24" t="s">
        <v>1080</v>
      </c>
      <c r="F263" s="25">
        <f>F264</f>
        <v>29.4</v>
      </c>
      <c r="G263" s="25">
        <f>G264</f>
        <v>0</v>
      </c>
      <c r="H263" s="25">
        <f t="shared" si="27"/>
        <v>29.4</v>
      </c>
      <c r="I263" s="64">
        <f t="shared" si="28"/>
        <v>0</v>
      </c>
    </row>
    <row r="264" spans="1:9" ht="89.25">
      <c r="A264" s="23"/>
      <c r="B264" s="23"/>
      <c r="C264" s="23"/>
      <c r="D264" s="23" t="s">
        <v>42</v>
      </c>
      <c r="E264" s="24" t="s">
        <v>149</v>
      </c>
      <c r="F264" s="25">
        <v>29.4</v>
      </c>
      <c r="G264" s="25">
        <v>0</v>
      </c>
      <c r="H264" s="25">
        <f t="shared" si="27"/>
        <v>29.4</v>
      </c>
      <c r="I264" s="64">
        <f t="shared" si="28"/>
        <v>0</v>
      </c>
    </row>
    <row r="265" spans="1:9" ht="102">
      <c r="A265" s="23"/>
      <c r="B265" s="23"/>
      <c r="C265" s="23" t="s">
        <v>489</v>
      </c>
      <c r="D265" s="23"/>
      <c r="E265" s="24" t="s">
        <v>490</v>
      </c>
      <c r="F265" s="25">
        <f>F266</f>
        <v>33.6</v>
      </c>
      <c r="G265" s="25">
        <f>G266</f>
        <v>0</v>
      </c>
      <c r="H265" s="57">
        <f t="shared" si="27"/>
        <v>33.6</v>
      </c>
      <c r="I265" s="59">
        <f t="shared" si="28"/>
        <v>0</v>
      </c>
    </row>
    <row r="266" spans="1:9" ht="89.25">
      <c r="A266" s="23"/>
      <c r="B266" s="23"/>
      <c r="C266" s="23"/>
      <c r="D266" s="23" t="s">
        <v>42</v>
      </c>
      <c r="E266" s="24" t="s">
        <v>149</v>
      </c>
      <c r="F266" s="25">
        <v>33.6</v>
      </c>
      <c r="G266" s="25">
        <v>0</v>
      </c>
      <c r="H266" s="57">
        <f t="shared" si="27"/>
        <v>33.6</v>
      </c>
      <c r="I266" s="59">
        <f t="shared" si="28"/>
        <v>0</v>
      </c>
    </row>
    <row r="267" spans="1:9" ht="25.5">
      <c r="A267" s="23"/>
      <c r="B267" s="23"/>
      <c r="C267" s="23" t="s">
        <v>55</v>
      </c>
      <c r="D267" s="23"/>
      <c r="E267" s="24" t="s">
        <v>297</v>
      </c>
      <c r="F267" s="25">
        <f>F268+F275+F277+F272+F270+F279+F283</f>
        <v>1869.6999999999998</v>
      </c>
      <c r="G267" s="25">
        <f>G268+G275+G277+G272+G270+G279+G283</f>
        <v>799.8000000000001</v>
      </c>
      <c r="H267" s="57">
        <f t="shared" si="27"/>
        <v>1069.8999999999996</v>
      </c>
      <c r="I267" s="59">
        <f t="shared" si="28"/>
        <v>0.42776916082794036</v>
      </c>
    </row>
    <row r="268" spans="1:9" ht="38.25" hidden="1">
      <c r="A268" s="23"/>
      <c r="B268" s="23"/>
      <c r="C268" s="23" t="s">
        <v>162</v>
      </c>
      <c r="D268" s="23"/>
      <c r="E268" s="24" t="s">
        <v>163</v>
      </c>
      <c r="F268" s="25">
        <f>F269</f>
        <v>0</v>
      </c>
      <c r="G268" s="25">
        <f>G269</f>
        <v>0</v>
      </c>
      <c r="H268" s="57">
        <f t="shared" si="27"/>
        <v>0</v>
      </c>
      <c r="I268" s="59" t="e">
        <f t="shared" si="28"/>
        <v>#DIV/0!</v>
      </c>
    </row>
    <row r="269" spans="1:9" ht="38.25" hidden="1">
      <c r="A269" s="23"/>
      <c r="B269" s="23"/>
      <c r="C269" s="23"/>
      <c r="D269" s="23" t="s">
        <v>43</v>
      </c>
      <c r="E269" s="24" t="s">
        <v>150</v>
      </c>
      <c r="F269" s="25"/>
      <c r="G269" s="25"/>
      <c r="H269" s="57">
        <f t="shared" si="27"/>
        <v>0</v>
      </c>
      <c r="I269" s="59" t="e">
        <f t="shared" si="28"/>
        <v>#DIV/0!</v>
      </c>
    </row>
    <row r="270" spans="1:9" ht="38.25">
      <c r="A270" s="23"/>
      <c r="B270" s="23"/>
      <c r="C270" s="23" t="s">
        <v>272</v>
      </c>
      <c r="D270" s="23"/>
      <c r="E270" s="24" t="s">
        <v>273</v>
      </c>
      <c r="F270" s="25">
        <f>F271</f>
        <v>208</v>
      </c>
      <c r="G270" s="25">
        <f>G271</f>
        <v>208</v>
      </c>
      <c r="H270" s="57">
        <f t="shared" si="27"/>
        <v>0</v>
      </c>
      <c r="I270" s="59">
        <f t="shared" si="28"/>
        <v>1</v>
      </c>
    </row>
    <row r="271" spans="1:9" ht="51">
      <c r="A271" s="23"/>
      <c r="B271" s="23"/>
      <c r="C271" s="23"/>
      <c r="D271" s="23" t="s">
        <v>65</v>
      </c>
      <c r="E271" s="24" t="s">
        <v>178</v>
      </c>
      <c r="F271" s="25">
        <v>208</v>
      </c>
      <c r="G271" s="25">
        <v>208</v>
      </c>
      <c r="H271" s="57">
        <f t="shared" si="27"/>
        <v>0</v>
      </c>
      <c r="I271" s="59">
        <f t="shared" si="28"/>
        <v>1</v>
      </c>
    </row>
    <row r="272" spans="1:9" ht="12.75">
      <c r="A272" s="23"/>
      <c r="B272" s="23"/>
      <c r="C272" s="23" t="s">
        <v>170</v>
      </c>
      <c r="D272" s="23"/>
      <c r="E272" s="24" t="s">
        <v>171</v>
      </c>
      <c r="F272" s="25">
        <f>F273+F274</f>
        <v>237.7</v>
      </c>
      <c r="G272" s="25">
        <f>G273+G274</f>
        <v>229.3</v>
      </c>
      <c r="H272" s="57">
        <f t="shared" si="27"/>
        <v>8.399999999999977</v>
      </c>
      <c r="I272" s="59">
        <f t="shared" si="28"/>
        <v>0.9646613378207826</v>
      </c>
    </row>
    <row r="273" spans="1:9" ht="38.25">
      <c r="A273" s="23"/>
      <c r="B273" s="23"/>
      <c r="C273" s="23"/>
      <c r="D273" s="23" t="s">
        <v>43</v>
      </c>
      <c r="E273" s="24" t="s">
        <v>150</v>
      </c>
      <c r="F273" s="25">
        <v>204.7</v>
      </c>
      <c r="G273" s="25">
        <v>196.3</v>
      </c>
      <c r="H273" s="57">
        <f t="shared" si="27"/>
        <v>8.399999999999977</v>
      </c>
      <c r="I273" s="59">
        <f t="shared" si="28"/>
        <v>0.9589643380556914</v>
      </c>
    </row>
    <row r="274" spans="1:9" ht="51">
      <c r="A274" s="23"/>
      <c r="B274" s="23"/>
      <c r="C274" s="23"/>
      <c r="D274" s="23" t="s">
        <v>65</v>
      </c>
      <c r="E274" s="24" t="s">
        <v>178</v>
      </c>
      <c r="F274" s="25">
        <v>33</v>
      </c>
      <c r="G274" s="25">
        <v>33</v>
      </c>
      <c r="H274" s="57">
        <f t="shared" si="27"/>
        <v>0</v>
      </c>
      <c r="I274" s="59">
        <f t="shared" si="28"/>
        <v>1</v>
      </c>
    </row>
    <row r="275" spans="1:9" ht="39.75" customHeight="1">
      <c r="A275" s="23"/>
      <c r="B275" s="23"/>
      <c r="C275" s="23" t="s">
        <v>179</v>
      </c>
      <c r="D275" s="23"/>
      <c r="E275" s="24" t="s">
        <v>274</v>
      </c>
      <c r="F275" s="25">
        <f>F276</f>
        <v>736.6</v>
      </c>
      <c r="G275" s="25">
        <f>G276</f>
        <v>326.4</v>
      </c>
      <c r="H275" s="57">
        <f t="shared" si="27"/>
        <v>410.20000000000005</v>
      </c>
      <c r="I275" s="59">
        <f t="shared" si="28"/>
        <v>0.44311702416508275</v>
      </c>
    </row>
    <row r="276" spans="1:9" ht="25.5">
      <c r="A276" s="23"/>
      <c r="B276" s="23"/>
      <c r="C276" s="23"/>
      <c r="D276" s="23" t="s">
        <v>47</v>
      </c>
      <c r="E276" s="24" t="s">
        <v>48</v>
      </c>
      <c r="F276" s="25">
        <v>736.6</v>
      </c>
      <c r="G276" s="25">
        <v>326.4</v>
      </c>
      <c r="H276" s="57">
        <f t="shared" si="27"/>
        <v>410.20000000000005</v>
      </c>
      <c r="I276" s="59">
        <f t="shared" si="28"/>
        <v>0.44311702416508275</v>
      </c>
    </row>
    <row r="277" spans="1:9" ht="51">
      <c r="A277" s="23"/>
      <c r="B277" s="23"/>
      <c r="C277" s="23" t="s">
        <v>180</v>
      </c>
      <c r="D277" s="23"/>
      <c r="E277" s="24" t="s">
        <v>275</v>
      </c>
      <c r="F277" s="25">
        <f>F278</f>
        <v>20</v>
      </c>
      <c r="G277" s="25">
        <f>G278</f>
        <v>0</v>
      </c>
      <c r="H277" s="57">
        <f t="shared" si="27"/>
        <v>20</v>
      </c>
      <c r="I277" s="59">
        <f t="shared" si="28"/>
        <v>0</v>
      </c>
    </row>
    <row r="278" spans="1:9" ht="25.5">
      <c r="A278" s="23"/>
      <c r="B278" s="23"/>
      <c r="C278" s="23"/>
      <c r="D278" s="23" t="s">
        <v>47</v>
      </c>
      <c r="E278" s="24" t="s">
        <v>48</v>
      </c>
      <c r="F278" s="25">
        <v>20</v>
      </c>
      <c r="G278" s="25">
        <v>0</v>
      </c>
      <c r="H278" s="57">
        <f t="shared" si="27"/>
        <v>20</v>
      </c>
      <c r="I278" s="59">
        <f t="shared" si="28"/>
        <v>0</v>
      </c>
    </row>
    <row r="279" spans="1:9" ht="38.25">
      <c r="A279" s="23"/>
      <c r="B279" s="23"/>
      <c r="C279" s="23" t="s">
        <v>278</v>
      </c>
      <c r="D279" s="23"/>
      <c r="E279" s="24" t="s">
        <v>279</v>
      </c>
      <c r="F279" s="25">
        <f>F282+F281+F280</f>
        <v>646.4</v>
      </c>
      <c r="G279" s="25">
        <f>G282+G281+G280</f>
        <v>15.1</v>
      </c>
      <c r="H279" s="57">
        <f t="shared" si="27"/>
        <v>631.3</v>
      </c>
      <c r="I279" s="59">
        <f t="shared" si="28"/>
        <v>0.023360148514851485</v>
      </c>
    </row>
    <row r="280" spans="1:9" ht="38.25">
      <c r="A280" s="23"/>
      <c r="B280" s="23"/>
      <c r="C280" s="23"/>
      <c r="D280" s="23" t="s">
        <v>43</v>
      </c>
      <c r="E280" s="24" t="s">
        <v>150</v>
      </c>
      <c r="F280" s="25">
        <v>15.1</v>
      </c>
      <c r="G280" s="25">
        <v>15.1</v>
      </c>
      <c r="H280" s="57">
        <f>F280-G280</f>
        <v>0</v>
      </c>
      <c r="I280" s="59">
        <f>G280/F280</f>
        <v>1</v>
      </c>
    </row>
    <row r="281" spans="1:9" ht="51">
      <c r="A281" s="23"/>
      <c r="B281" s="23"/>
      <c r="C281" s="23"/>
      <c r="D281" s="23" t="s">
        <v>65</v>
      </c>
      <c r="E281" s="24" t="s">
        <v>178</v>
      </c>
      <c r="F281" s="25">
        <v>116.3</v>
      </c>
      <c r="G281" s="25">
        <v>0</v>
      </c>
      <c r="H281" s="57">
        <f>F281-G281</f>
        <v>116.3</v>
      </c>
      <c r="I281" s="59">
        <f>G281/F281</f>
        <v>0</v>
      </c>
    </row>
    <row r="282" spans="1:9" ht="12.75">
      <c r="A282" s="23"/>
      <c r="B282" s="23"/>
      <c r="C282" s="23"/>
      <c r="D282" s="23" t="s">
        <v>44</v>
      </c>
      <c r="E282" s="24" t="s">
        <v>45</v>
      </c>
      <c r="F282" s="25">
        <v>515</v>
      </c>
      <c r="G282" s="25">
        <v>0</v>
      </c>
      <c r="H282" s="57">
        <f t="shared" si="27"/>
        <v>515</v>
      </c>
      <c r="I282" s="59">
        <f t="shared" si="28"/>
        <v>0</v>
      </c>
    </row>
    <row r="283" spans="1:9" ht="63.75">
      <c r="A283" s="23"/>
      <c r="B283" s="23"/>
      <c r="C283" s="23" t="s">
        <v>471</v>
      </c>
      <c r="D283" s="23"/>
      <c r="E283" s="24" t="s">
        <v>472</v>
      </c>
      <c r="F283" s="25">
        <f>F284+F285</f>
        <v>21</v>
      </c>
      <c r="G283" s="25">
        <f>G284+G285</f>
        <v>21</v>
      </c>
      <c r="H283" s="57">
        <f t="shared" si="27"/>
        <v>0</v>
      </c>
      <c r="I283" s="59">
        <f t="shared" si="28"/>
        <v>1</v>
      </c>
    </row>
    <row r="284" spans="1:9" ht="25.5">
      <c r="A284" s="23"/>
      <c r="B284" s="23"/>
      <c r="C284" s="23"/>
      <c r="D284" s="23" t="s">
        <v>47</v>
      </c>
      <c r="E284" s="24" t="s">
        <v>48</v>
      </c>
      <c r="F284" s="25">
        <v>16</v>
      </c>
      <c r="G284" s="25">
        <v>16</v>
      </c>
      <c r="H284" s="57">
        <f t="shared" si="27"/>
        <v>0</v>
      </c>
      <c r="I284" s="59">
        <f t="shared" si="28"/>
        <v>1</v>
      </c>
    </row>
    <row r="285" spans="1:9" ht="51">
      <c r="A285" s="23"/>
      <c r="B285" s="23"/>
      <c r="C285" s="23"/>
      <c r="D285" s="23" t="s">
        <v>65</v>
      </c>
      <c r="E285" s="24" t="s">
        <v>178</v>
      </c>
      <c r="F285" s="25">
        <v>5</v>
      </c>
      <c r="G285" s="25">
        <v>5</v>
      </c>
      <c r="H285" s="57">
        <f t="shared" si="27"/>
        <v>0</v>
      </c>
      <c r="I285" s="59">
        <f t="shared" si="28"/>
        <v>1</v>
      </c>
    </row>
    <row r="286" spans="1:9" ht="12.75">
      <c r="A286" s="23"/>
      <c r="B286" s="23"/>
      <c r="C286" s="23" t="s">
        <v>421</v>
      </c>
      <c r="D286" s="23"/>
      <c r="E286" s="24" t="s">
        <v>422</v>
      </c>
      <c r="F286" s="25">
        <f>F287</f>
        <v>500</v>
      </c>
      <c r="G286" s="25">
        <f>G287</f>
        <v>0</v>
      </c>
      <c r="H286" s="57">
        <f t="shared" si="27"/>
        <v>500</v>
      </c>
      <c r="I286" s="59">
        <f t="shared" si="28"/>
        <v>0</v>
      </c>
    </row>
    <row r="287" spans="1:9" ht="63.75">
      <c r="A287" s="23"/>
      <c r="B287" s="23"/>
      <c r="C287" s="23" t="s">
        <v>423</v>
      </c>
      <c r="D287" s="23"/>
      <c r="E287" s="24" t="s">
        <v>424</v>
      </c>
      <c r="F287" s="25">
        <f>F288</f>
        <v>500</v>
      </c>
      <c r="G287" s="25">
        <f>G288</f>
        <v>0</v>
      </c>
      <c r="H287" s="57">
        <f t="shared" si="27"/>
        <v>500</v>
      </c>
      <c r="I287" s="59">
        <f t="shared" si="28"/>
        <v>0</v>
      </c>
    </row>
    <row r="288" spans="1:9" ht="38.25">
      <c r="A288" s="23"/>
      <c r="B288" s="23"/>
      <c r="C288" s="23"/>
      <c r="D288" s="23" t="s">
        <v>43</v>
      </c>
      <c r="E288" s="24" t="s">
        <v>150</v>
      </c>
      <c r="F288" s="25">
        <v>500</v>
      </c>
      <c r="G288" s="25">
        <v>0</v>
      </c>
      <c r="H288" s="57">
        <f t="shared" si="27"/>
        <v>500</v>
      </c>
      <c r="I288" s="59">
        <f t="shared" si="28"/>
        <v>0</v>
      </c>
    </row>
    <row r="289" spans="1:9" ht="38.25">
      <c r="A289" s="23"/>
      <c r="B289" s="23"/>
      <c r="C289" s="23" t="s">
        <v>378</v>
      </c>
      <c r="D289" s="23"/>
      <c r="E289" s="49" t="s">
        <v>379</v>
      </c>
      <c r="F289" s="25">
        <f>F290</f>
        <v>4306.1</v>
      </c>
      <c r="G289" s="25">
        <f>G290</f>
        <v>1008.9</v>
      </c>
      <c r="H289" s="57">
        <f t="shared" si="27"/>
        <v>3297.2000000000003</v>
      </c>
      <c r="I289" s="59">
        <f t="shared" si="28"/>
        <v>0.23429553424212163</v>
      </c>
    </row>
    <row r="290" spans="1:9" ht="25.5">
      <c r="A290" s="23"/>
      <c r="B290" s="23"/>
      <c r="C290" s="23" t="s">
        <v>380</v>
      </c>
      <c r="D290" s="23"/>
      <c r="E290" s="49" t="s">
        <v>381</v>
      </c>
      <c r="F290" s="25">
        <f>F291+F292</f>
        <v>4306.1</v>
      </c>
      <c r="G290" s="25">
        <f>G291+G292</f>
        <v>1008.9</v>
      </c>
      <c r="H290" s="57">
        <f t="shared" si="27"/>
        <v>3297.2000000000003</v>
      </c>
      <c r="I290" s="59">
        <f t="shared" si="28"/>
        <v>0.23429553424212163</v>
      </c>
    </row>
    <row r="291" spans="1:9" ht="89.25">
      <c r="A291" s="23"/>
      <c r="B291" s="23"/>
      <c r="C291" s="23"/>
      <c r="D291" s="23" t="s">
        <v>42</v>
      </c>
      <c r="E291" s="24" t="s">
        <v>149</v>
      </c>
      <c r="F291" s="25">
        <v>1869.7</v>
      </c>
      <c r="G291" s="25">
        <v>804.3</v>
      </c>
      <c r="H291" s="57">
        <f t="shared" si="27"/>
        <v>1065.4</v>
      </c>
      <c r="I291" s="59">
        <f t="shared" si="28"/>
        <v>0.4301759640584051</v>
      </c>
    </row>
    <row r="292" spans="1:9" ht="38.25">
      <c r="A292" s="23"/>
      <c r="B292" s="23"/>
      <c r="C292" s="23"/>
      <c r="D292" s="23" t="s">
        <v>43</v>
      </c>
      <c r="E292" s="24" t="s">
        <v>150</v>
      </c>
      <c r="F292" s="25">
        <f>131.5+2304.9</f>
        <v>2436.4</v>
      </c>
      <c r="G292" s="25">
        <v>204.6</v>
      </c>
      <c r="H292" s="57">
        <f t="shared" si="27"/>
        <v>2231.8</v>
      </c>
      <c r="I292" s="59">
        <f t="shared" si="28"/>
        <v>0.0839763585618125</v>
      </c>
    </row>
    <row r="293" spans="1:9" ht="38.25">
      <c r="A293" s="23"/>
      <c r="B293" s="23" t="s">
        <v>75</v>
      </c>
      <c r="C293" s="23"/>
      <c r="D293" s="23"/>
      <c r="E293" s="24" t="s">
        <v>76</v>
      </c>
      <c r="F293" s="25">
        <f aca="true" t="shared" si="29" ref="F293:G296">F294</f>
        <v>3</v>
      </c>
      <c r="G293" s="25">
        <f t="shared" si="29"/>
        <v>0</v>
      </c>
      <c r="H293" s="57">
        <f>F293-G293</f>
        <v>3</v>
      </c>
      <c r="I293" s="59">
        <f>G293/F293</f>
        <v>0</v>
      </c>
    </row>
    <row r="294" spans="1:9" ht="51">
      <c r="A294" s="23"/>
      <c r="B294" s="23" t="s">
        <v>77</v>
      </c>
      <c r="C294" s="23"/>
      <c r="D294" s="23"/>
      <c r="E294" s="24" t="s">
        <v>227</v>
      </c>
      <c r="F294" s="25">
        <f t="shared" si="29"/>
        <v>3</v>
      </c>
      <c r="G294" s="25">
        <f t="shared" si="29"/>
        <v>0</v>
      </c>
      <c r="H294" s="57">
        <f>F294-G294</f>
        <v>3</v>
      </c>
      <c r="I294" s="59">
        <f>G294/F294</f>
        <v>0</v>
      </c>
    </row>
    <row r="295" spans="1:9" ht="38.25">
      <c r="A295" s="23"/>
      <c r="B295" s="23"/>
      <c r="C295" s="23" t="s">
        <v>62</v>
      </c>
      <c r="D295" s="23"/>
      <c r="E295" s="24" t="s">
        <v>367</v>
      </c>
      <c r="F295" s="25">
        <f t="shared" si="29"/>
        <v>3</v>
      </c>
      <c r="G295" s="25">
        <f t="shared" si="29"/>
        <v>0</v>
      </c>
      <c r="H295" s="57">
        <f>F295-G295</f>
        <v>3</v>
      </c>
      <c r="I295" s="59">
        <f>G295/F295</f>
        <v>0</v>
      </c>
    </row>
    <row r="296" spans="1:9" ht="38.25" customHeight="1">
      <c r="A296" s="23"/>
      <c r="B296" s="23"/>
      <c r="C296" s="23" t="s">
        <v>1032</v>
      </c>
      <c r="D296" s="23"/>
      <c r="E296" s="24" t="s">
        <v>1063</v>
      </c>
      <c r="F296" s="25">
        <f t="shared" si="29"/>
        <v>3</v>
      </c>
      <c r="G296" s="25">
        <f t="shared" si="29"/>
        <v>0</v>
      </c>
      <c r="H296" s="57">
        <f>F296-G296</f>
        <v>3</v>
      </c>
      <c r="I296" s="59">
        <f>G296/F296</f>
        <v>0</v>
      </c>
    </row>
    <row r="297" spans="1:9" ht="38.25">
      <c r="A297" s="23"/>
      <c r="B297" s="23"/>
      <c r="C297" s="23"/>
      <c r="D297" s="23" t="s">
        <v>43</v>
      </c>
      <c r="E297" s="24" t="s">
        <v>150</v>
      </c>
      <c r="F297" s="25">
        <v>3</v>
      </c>
      <c r="G297" s="25">
        <v>0</v>
      </c>
      <c r="H297" s="57">
        <f>F297-G297</f>
        <v>3</v>
      </c>
      <c r="I297" s="59">
        <f>G297/F297</f>
        <v>0</v>
      </c>
    </row>
    <row r="298" spans="1:9" ht="12.75">
      <c r="A298" s="23"/>
      <c r="B298" s="23" t="s">
        <v>79</v>
      </c>
      <c r="C298" s="23"/>
      <c r="D298" s="23"/>
      <c r="E298" s="24" t="s">
        <v>80</v>
      </c>
      <c r="F298" s="25">
        <f>F299+F312</f>
        <v>12907.400000000001</v>
      </c>
      <c r="G298" s="25">
        <f>G299+G312</f>
        <v>7614.1</v>
      </c>
      <c r="H298" s="57">
        <f t="shared" si="27"/>
        <v>5293.300000000001</v>
      </c>
      <c r="I298" s="59">
        <f t="shared" si="28"/>
        <v>0.5899019167299379</v>
      </c>
    </row>
    <row r="299" spans="1:9" ht="12.75">
      <c r="A299" s="23"/>
      <c r="B299" s="23" t="s">
        <v>87</v>
      </c>
      <c r="C299" s="23"/>
      <c r="D299" s="23"/>
      <c r="E299" s="24" t="s">
        <v>88</v>
      </c>
      <c r="F299" s="25">
        <f>F309+F300+F305</f>
        <v>12107.400000000001</v>
      </c>
      <c r="G299" s="25">
        <f>G309+G300+G305</f>
        <v>7264.1</v>
      </c>
      <c r="H299" s="57">
        <f t="shared" si="27"/>
        <v>4843.300000000001</v>
      </c>
      <c r="I299" s="59">
        <f t="shared" si="28"/>
        <v>0.5999719180005616</v>
      </c>
    </row>
    <row r="300" spans="1:9" ht="25.5">
      <c r="A300" s="23"/>
      <c r="B300" s="23"/>
      <c r="C300" s="23" t="s">
        <v>81</v>
      </c>
      <c r="D300" s="23"/>
      <c r="E300" s="24" t="s">
        <v>285</v>
      </c>
      <c r="F300" s="25">
        <f>F301</f>
        <v>7312.000000000001</v>
      </c>
      <c r="G300" s="25">
        <f>G301</f>
        <v>2742.2000000000003</v>
      </c>
      <c r="H300" s="57">
        <f t="shared" si="27"/>
        <v>4569.800000000001</v>
      </c>
      <c r="I300" s="59">
        <f t="shared" si="28"/>
        <v>0.375027352297593</v>
      </c>
    </row>
    <row r="301" spans="1:9" ht="25.5">
      <c r="A301" s="23"/>
      <c r="B301" s="23"/>
      <c r="C301" s="23" t="s">
        <v>223</v>
      </c>
      <c r="D301" s="23"/>
      <c r="E301" s="24" t="s">
        <v>64</v>
      </c>
      <c r="F301" s="25">
        <f>SUM(F302:F304)</f>
        <v>7312.000000000001</v>
      </c>
      <c r="G301" s="25">
        <f>SUM(G302:G304)</f>
        <v>2742.2000000000003</v>
      </c>
      <c r="H301" s="57">
        <f t="shared" si="27"/>
        <v>4569.800000000001</v>
      </c>
      <c r="I301" s="59">
        <f t="shared" si="28"/>
        <v>0.375027352297593</v>
      </c>
    </row>
    <row r="302" spans="1:9" ht="89.25">
      <c r="A302" s="23"/>
      <c r="B302" s="23"/>
      <c r="C302" s="23"/>
      <c r="D302" s="23" t="s">
        <v>42</v>
      </c>
      <c r="E302" s="24" t="s">
        <v>149</v>
      </c>
      <c r="F302" s="25">
        <f>3010+501.3+1180.9+75.3</f>
        <v>4767.500000000001</v>
      </c>
      <c r="G302" s="25">
        <v>1807.9</v>
      </c>
      <c r="H302" s="57">
        <f t="shared" si="27"/>
        <v>2959.600000000001</v>
      </c>
      <c r="I302" s="59">
        <f t="shared" si="28"/>
        <v>0.37921342422653376</v>
      </c>
    </row>
    <row r="303" spans="1:9" ht="38.25">
      <c r="A303" s="23"/>
      <c r="B303" s="23"/>
      <c r="C303" s="23"/>
      <c r="D303" s="23" t="s">
        <v>43</v>
      </c>
      <c r="E303" s="24" t="s">
        <v>150</v>
      </c>
      <c r="F303" s="25">
        <v>2377</v>
      </c>
      <c r="G303" s="25">
        <v>901</v>
      </c>
      <c r="H303" s="57">
        <f t="shared" si="27"/>
        <v>1476</v>
      </c>
      <c r="I303" s="59">
        <f t="shared" si="28"/>
        <v>0.37904922170803534</v>
      </c>
    </row>
    <row r="304" spans="1:9" ht="12.75">
      <c r="A304" s="23"/>
      <c r="B304" s="23"/>
      <c r="C304" s="23"/>
      <c r="D304" s="23" t="s">
        <v>44</v>
      </c>
      <c r="E304" s="24" t="s">
        <v>45</v>
      </c>
      <c r="F304" s="25">
        <f>105.7+18.6+43.2</f>
        <v>167.5</v>
      </c>
      <c r="G304" s="25">
        <v>33.3</v>
      </c>
      <c r="H304" s="57">
        <f t="shared" si="27"/>
        <v>134.2</v>
      </c>
      <c r="I304" s="59">
        <f t="shared" si="28"/>
        <v>0.19880597014925372</v>
      </c>
    </row>
    <row r="305" spans="1:9" ht="38.25">
      <c r="A305" s="23"/>
      <c r="B305" s="23"/>
      <c r="C305" s="23" t="s">
        <v>60</v>
      </c>
      <c r="D305" s="23"/>
      <c r="E305" s="49" t="s">
        <v>301</v>
      </c>
      <c r="F305" s="25">
        <f aca="true" t="shared" si="30" ref="F305:G307">F306</f>
        <v>4521.9</v>
      </c>
      <c r="G305" s="25">
        <f t="shared" si="30"/>
        <v>4521.9</v>
      </c>
      <c r="H305" s="57">
        <f t="shared" si="27"/>
        <v>0</v>
      </c>
      <c r="I305" s="59">
        <f t="shared" si="28"/>
        <v>1</v>
      </c>
    </row>
    <row r="306" spans="1:9" ht="89.25">
      <c r="A306" s="23"/>
      <c r="B306" s="23"/>
      <c r="C306" s="23" t="s">
        <v>300</v>
      </c>
      <c r="D306" s="23"/>
      <c r="E306" s="49" t="s">
        <v>302</v>
      </c>
      <c r="F306" s="25">
        <f t="shared" si="30"/>
        <v>4521.9</v>
      </c>
      <c r="G306" s="25">
        <f t="shared" si="30"/>
        <v>4521.9</v>
      </c>
      <c r="H306" s="57">
        <f t="shared" si="27"/>
        <v>0</v>
      </c>
      <c r="I306" s="59">
        <f t="shared" si="28"/>
        <v>1</v>
      </c>
    </row>
    <row r="307" spans="1:9" ht="63.75">
      <c r="A307" s="23"/>
      <c r="B307" s="23"/>
      <c r="C307" s="23" t="s">
        <v>491</v>
      </c>
      <c r="D307" s="23"/>
      <c r="E307" s="24" t="s">
        <v>492</v>
      </c>
      <c r="F307" s="25">
        <f t="shared" si="30"/>
        <v>4521.9</v>
      </c>
      <c r="G307" s="25">
        <f t="shared" si="30"/>
        <v>4521.9</v>
      </c>
      <c r="H307" s="57">
        <f t="shared" si="27"/>
        <v>0</v>
      </c>
      <c r="I307" s="59">
        <f t="shared" si="28"/>
        <v>1</v>
      </c>
    </row>
    <row r="308" spans="1:9" ht="12.75">
      <c r="A308" s="23"/>
      <c r="B308" s="23"/>
      <c r="C308" s="23"/>
      <c r="D308" s="23" t="s">
        <v>44</v>
      </c>
      <c r="E308" s="24" t="s">
        <v>45</v>
      </c>
      <c r="F308" s="25">
        <v>4521.9</v>
      </c>
      <c r="G308" s="25">
        <v>4521.9</v>
      </c>
      <c r="H308" s="57">
        <f t="shared" si="27"/>
        <v>0</v>
      </c>
      <c r="I308" s="59">
        <f t="shared" si="28"/>
        <v>1</v>
      </c>
    </row>
    <row r="309" spans="1:9" ht="12.75">
      <c r="A309" s="23"/>
      <c r="B309" s="23"/>
      <c r="C309" s="23" t="s">
        <v>104</v>
      </c>
      <c r="D309" s="23"/>
      <c r="E309" s="24" t="s">
        <v>88</v>
      </c>
      <c r="F309" s="25">
        <f>F310</f>
        <v>273.5</v>
      </c>
      <c r="G309" s="25">
        <f>G310</f>
        <v>0</v>
      </c>
      <c r="H309" s="57">
        <f t="shared" si="27"/>
        <v>273.5</v>
      </c>
      <c r="I309" s="59">
        <f t="shared" si="28"/>
        <v>0</v>
      </c>
    </row>
    <row r="310" spans="1:9" ht="104.25" customHeight="1">
      <c r="A310" s="23"/>
      <c r="B310" s="23"/>
      <c r="C310" s="23" t="s">
        <v>168</v>
      </c>
      <c r="D310" s="23"/>
      <c r="E310" s="24" t="s">
        <v>169</v>
      </c>
      <c r="F310" s="25">
        <f>F311</f>
        <v>273.5</v>
      </c>
      <c r="G310" s="25">
        <f>G311</f>
        <v>0</v>
      </c>
      <c r="H310" s="57">
        <f t="shared" si="27"/>
        <v>273.5</v>
      </c>
      <c r="I310" s="59">
        <f t="shared" si="28"/>
        <v>0</v>
      </c>
    </row>
    <row r="311" spans="1:9" ht="12.75">
      <c r="A311" s="23"/>
      <c r="B311" s="23"/>
      <c r="C311" s="23"/>
      <c r="D311" s="23" t="s">
        <v>44</v>
      </c>
      <c r="E311" s="24" t="s">
        <v>45</v>
      </c>
      <c r="F311" s="25">
        <v>273.5</v>
      </c>
      <c r="G311" s="25">
        <v>0</v>
      </c>
      <c r="H311" s="57">
        <f t="shared" si="27"/>
        <v>273.5</v>
      </c>
      <c r="I311" s="59">
        <f t="shared" si="28"/>
        <v>0</v>
      </c>
    </row>
    <row r="312" spans="1:9" ht="25.5">
      <c r="A312" s="23"/>
      <c r="B312" s="23" t="s">
        <v>387</v>
      </c>
      <c r="C312" s="23"/>
      <c r="D312" s="23"/>
      <c r="E312" s="49" t="s">
        <v>388</v>
      </c>
      <c r="F312" s="25">
        <f>F313</f>
        <v>800</v>
      </c>
      <c r="G312" s="25">
        <f>G313</f>
        <v>350</v>
      </c>
      <c r="H312" s="57">
        <f t="shared" si="27"/>
        <v>450</v>
      </c>
      <c r="I312" s="59">
        <f t="shared" si="28"/>
        <v>0.4375</v>
      </c>
    </row>
    <row r="313" spans="1:9" ht="12.75">
      <c r="A313" s="23"/>
      <c r="B313" s="23"/>
      <c r="C313" s="23" t="s">
        <v>421</v>
      </c>
      <c r="D313" s="23"/>
      <c r="E313" s="24" t="s">
        <v>422</v>
      </c>
      <c r="F313" s="25">
        <f>F314</f>
        <v>800</v>
      </c>
      <c r="G313" s="25">
        <f>G314</f>
        <v>350</v>
      </c>
      <c r="H313" s="57">
        <f t="shared" si="27"/>
        <v>450</v>
      </c>
      <c r="I313" s="59">
        <f t="shared" si="28"/>
        <v>0.4375</v>
      </c>
    </row>
    <row r="314" spans="1:9" ht="76.5">
      <c r="A314" s="23"/>
      <c r="B314" s="23"/>
      <c r="C314" s="23" t="s">
        <v>427</v>
      </c>
      <c r="D314" s="23"/>
      <c r="E314" s="24" t="s">
        <v>428</v>
      </c>
      <c r="F314" s="25">
        <f>F315+F317+F316</f>
        <v>800</v>
      </c>
      <c r="G314" s="25">
        <f>G315+G317+G316</f>
        <v>350</v>
      </c>
      <c r="H314" s="57">
        <f t="shared" si="27"/>
        <v>450</v>
      </c>
      <c r="I314" s="59">
        <f t="shared" si="28"/>
        <v>0.4375</v>
      </c>
    </row>
    <row r="315" spans="1:9" ht="38.25" hidden="1">
      <c r="A315" s="23"/>
      <c r="B315" s="23"/>
      <c r="C315" s="23"/>
      <c r="D315" s="23" t="s">
        <v>43</v>
      </c>
      <c r="E315" s="24" t="s">
        <v>150</v>
      </c>
      <c r="F315" s="25">
        <v>0</v>
      </c>
      <c r="G315" s="25">
        <v>0</v>
      </c>
      <c r="H315" s="57">
        <f t="shared" si="27"/>
        <v>0</v>
      </c>
      <c r="I315" s="59" t="e">
        <f t="shared" si="28"/>
        <v>#DIV/0!</v>
      </c>
    </row>
    <row r="316" spans="1:9" ht="51">
      <c r="A316" s="23"/>
      <c r="B316" s="23"/>
      <c r="C316" s="23"/>
      <c r="D316" s="23" t="s">
        <v>65</v>
      </c>
      <c r="E316" s="24" t="s">
        <v>178</v>
      </c>
      <c r="F316" s="25">
        <v>350</v>
      </c>
      <c r="G316" s="25">
        <v>350</v>
      </c>
      <c r="H316" s="57">
        <f t="shared" si="27"/>
        <v>0</v>
      </c>
      <c r="I316" s="59">
        <f t="shared" si="28"/>
        <v>1</v>
      </c>
    </row>
    <row r="317" spans="1:9" ht="12.75">
      <c r="A317" s="23"/>
      <c r="B317" s="23"/>
      <c r="C317" s="23"/>
      <c r="D317" s="23" t="s">
        <v>44</v>
      </c>
      <c r="E317" s="24" t="s">
        <v>45</v>
      </c>
      <c r="F317" s="25">
        <v>450</v>
      </c>
      <c r="G317" s="25">
        <v>0</v>
      </c>
      <c r="H317" s="57">
        <f t="shared" si="27"/>
        <v>450</v>
      </c>
      <c r="I317" s="59">
        <f t="shared" si="28"/>
        <v>0</v>
      </c>
    </row>
    <row r="318" spans="1:9" ht="12.75">
      <c r="A318" s="23"/>
      <c r="B318" s="23" t="s">
        <v>114</v>
      </c>
      <c r="C318" s="23"/>
      <c r="D318" s="23"/>
      <c r="E318" s="24" t="s">
        <v>115</v>
      </c>
      <c r="F318" s="25">
        <f aca="true" t="shared" si="31" ref="F318:G322">F319</f>
        <v>23229.8</v>
      </c>
      <c r="G318" s="25">
        <f t="shared" si="31"/>
        <v>8617</v>
      </c>
      <c r="H318" s="57">
        <f t="shared" si="27"/>
        <v>14612.8</v>
      </c>
      <c r="I318" s="59">
        <f t="shared" si="28"/>
        <v>0.3709459401286279</v>
      </c>
    </row>
    <row r="319" spans="1:9" ht="12.75">
      <c r="A319" s="23"/>
      <c r="B319" s="23" t="s">
        <v>116</v>
      </c>
      <c r="C319" s="23"/>
      <c r="D319" s="23"/>
      <c r="E319" s="24" t="s">
        <v>117</v>
      </c>
      <c r="F319" s="25">
        <f t="shared" si="31"/>
        <v>23229.8</v>
      </c>
      <c r="G319" s="25">
        <f t="shared" si="31"/>
        <v>8617</v>
      </c>
      <c r="H319" s="57">
        <f t="shared" si="27"/>
        <v>14612.8</v>
      </c>
      <c r="I319" s="59">
        <f t="shared" si="28"/>
        <v>0.3709459401286279</v>
      </c>
    </row>
    <row r="320" spans="1:9" ht="38.25">
      <c r="A320" s="23"/>
      <c r="B320" s="23"/>
      <c r="C320" s="50" t="s">
        <v>81</v>
      </c>
      <c r="D320" s="50"/>
      <c r="E320" s="49" t="s">
        <v>326</v>
      </c>
      <c r="F320" s="25">
        <f>F321+F324</f>
        <v>23229.8</v>
      </c>
      <c r="G320" s="25">
        <f>G321+G324</f>
        <v>8617</v>
      </c>
      <c r="H320" s="57">
        <f t="shared" si="27"/>
        <v>14612.8</v>
      </c>
      <c r="I320" s="59">
        <f t="shared" si="28"/>
        <v>0.3709459401286279</v>
      </c>
    </row>
    <row r="321" spans="1:9" ht="114.75">
      <c r="A321" s="23"/>
      <c r="B321" s="23"/>
      <c r="C321" s="50" t="s">
        <v>327</v>
      </c>
      <c r="D321" s="50"/>
      <c r="E321" s="49" t="s">
        <v>328</v>
      </c>
      <c r="F321" s="25">
        <f t="shared" si="31"/>
        <v>23043.8</v>
      </c>
      <c r="G321" s="25">
        <f t="shared" si="31"/>
        <v>8617</v>
      </c>
      <c r="H321" s="57">
        <f t="shared" si="27"/>
        <v>14426.8</v>
      </c>
      <c r="I321" s="59">
        <f t="shared" si="28"/>
        <v>0.3739400619689461</v>
      </c>
    </row>
    <row r="322" spans="1:9" ht="39" customHeight="1">
      <c r="A322" s="23"/>
      <c r="B322" s="23"/>
      <c r="C322" s="23" t="s">
        <v>324</v>
      </c>
      <c r="D322" s="23"/>
      <c r="E322" s="24" t="s">
        <v>325</v>
      </c>
      <c r="F322" s="25">
        <f t="shared" si="31"/>
        <v>23043.8</v>
      </c>
      <c r="G322" s="25">
        <f t="shared" si="31"/>
        <v>8617</v>
      </c>
      <c r="H322" s="57">
        <f t="shared" si="27"/>
        <v>14426.8</v>
      </c>
      <c r="I322" s="59">
        <f t="shared" si="28"/>
        <v>0.3739400619689461</v>
      </c>
    </row>
    <row r="323" spans="1:9" ht="51">
      <c r="A323" s="23"/>
      <c r="B323" s="23"/>
      <c r="C323" s="23"/>
      <c r="D323" s="23" t="s">
        <v>65</v>
      </c>
      <c r="E323" s="24" t="s">
        <v>178</v>
      </c>
      <c r="F323" s="25">
        <v>23043.8</v>
      </c>
      <c r="G323" s="25">
        <v>8617</v>
      </c>
      <c r="H323" s="57">
        <f t="shared" si="27"/>
        <v>14426.8</v>
      </c>
      <c r="I323" s="59">
        <f t="shared" si="28"/>
        <v>0.3739400619689461</v>
      </c>
    </row>
    <row r="324" spans="1:9" ht="76.5">
      <c r="A324" s="23"/>
      <c r="B324" s="23"/>
      <c r="C324" s="23" t="s">
        <v>1034</v>
      </c>
      <c r="D324" s="23"/>
      <c r="E324" s="49" t="s">
        <v>1064</v>
      </c>
      <c r="F324" s="25">
        <f>F325</f>
        <v>186</v>
      </c>
      <c r="G324" s="25">
        <f>G325</f>
        <v>0</v>
      </c>
      <c r="H324" s="57">
        <f>F324-G324</f>
        <v>186</v>
      </c>
      <c r="I324" s="59">
        <f>G324/F324</f>
        <v>0</v>
      </c>
    </row>
    <row r="325" spans="1:9" ht="25.5">
      <c r="A325" s="23"/>
      <c r="B325" s="23"/>
      <c r="C325" s="23" t="s">
        <v>1033</v>
      </c>
      <c r="D325" s="23"/>
      <c r="E325" s="24" t="s">
        <v>1065</v>
      </c>
      <c r="F325" s="25">
        <f>F326</f>
        <v>186</v>
      </c>
      <c r="G325" s="25">
        <f>G326</f>
        <v>0</v>
      </c>
      <c r="H325" s="57">
        <f>F325-G325</f>
        <v>186</v>
      </c>
      <c r="I325" s="59">
        <f>G325/F325</f>
        <v>0</v>
      </c>
    </row>
    <row r="326" spans="1:9" ht="51">
      <c r="A326" s="23"/>
      <c r="B326" s="23"/>
      <c r="C326" s="23"/>
      <c r="D326" s="23" t="s">
        <v>65</v>
      </c>
      <c r="E326" s="24" t="s">
        <v>178</v>
      </c>
      <c r="F326" s="25">
        <v>186</v>
      </c>
      <c r="G326" s="25">
        <v>0</v>
      </c>
      <c r="H326" s="57">
        <f>F326-G326</f>
        <v>186</v>
      </c>
      <c r="I326" s="59">
        <f>G326/F326</f>
        <v>0</v>
      </c>
    </row>
    <row r="327" spans="1:9" ht="12.75">
      <c r="A327" s="23"/>
      <c r="B327" s="23" t="s">
        <v>118</v>
      </c>
      <c r="C327" s="23"/>
      <c r="D327" s="23"/>
      <c r="E327" s="24" t="s">
        <v>119</v>
      </c>
      <c r="F327" s="25">
        <f>F328+F332</f>
        <v>11375.599999999999</v>
      </c>
      <c r="G327" s="25">
        <f>G328+G332</f>
        <v>6909.1</v>
      </c>
      <c r="H327" s="57">
        <f t="shared" si="27"/>
        <v>4466.499999999998</v>
      </c>
      <c r="I327" s="59">
        <f t="shared" si="28"/>
        <v>0.607361369949717</v>
      </c>
    </row>
    <row r="328" spans="1:9" ht="12.75">
      <c r="A328" s="23"/>
      <c r="B328" s="23" t="s">
        <v>120</v>
      </c>
      <c r="C328" s="23"/>
      <c r="D328" s="23"/>
      <c r="E328" s="24" t="s">
        <v>121</v>
      </c>
      <c r="F328" s="25">
        <f aca="true" t="shared" si="32" ref="F328:G330">F329</f>
        <v>2340.3</v>
      </c>
      <c r="G328" s="25">
        <f t="shared" si="32"/>
        <v>1015.6</v>
      </c>
      <c r="H328" s="57">
        <f t="shared" si="27"/>
        <v>1324.7000000000003</v>
      </c>
      <c r="I328" s="59">
        <f t="shared" si="28"/>
        <v>0.43396145793274365</v>
      </c>
    </row>
    <row r="329" spans="1:9" ht="12.75">
      <c r="A329" s="23"/>
      <c r="B329" s="23"/>
      <c r="C329" s="23" t="s">
        <v>74</v>
      </c>
      <c r="D329" s="23"/>
      <c r="E329" s="24" t="s">
        <v>287</v>
      </c>
      <c r="F329" s="25">
        <f t="shared" si="32"/>
        <v>2340.3</v>
      </c>
      <c r="G329" s="25">
        <f t="shared" si="32"/>
        <v>1015.6</v>
      </c>
      <c r="H329" s="57">
        <f aca="true" t="shared" si="33" ref="H329:H409">F329-G329</f>
        <v>1324.7000000000003</v>
      </c>
      <c r="I329" s="59">
        <f aca="true" t="shared" si="34" ref="I329:I409">G329/F329</f>
        <v>0.43396145793274365</v>
      </c>
    </row>
    <row r="330" spans="1:9" ht="89.25">
      <c r="A330" s="23"/>
      <c r="B330" s="23"/>
      <c r="C330" s="23" t="s">
        <v>151</v>
      </c>
      <c r="D330" s="23"/>
      <c r="E330" s="24" t="s">
        <v>152</v>
      </c>
      <c r="F330" s="25">
        <f t="shared" si="32"/>
        <v>2340.3</v>
      </c>
      <c r="G330" s="25">
        <f t="shared" si="32"/>
        <v>1015.6</v>
      </c>
      <c r="H330" s="57">
        <f t="shared" si="33"/>
        <v>1324.7000000000003</v>
      </c>
      <c r="I330" s="59">
        <f t="shared" si="34"/>
        <v>0.43396145793274365</v>
      </c>
    </row>
    <row r="331" spans="1:9" ht="25.5">
      <c r="A331" s="23"/>
      <c r="B331" s="23"/>
      <c r="C331" s="23"/>
      <c r="D331" s="23" t="s">
        <v>47</v>
      </c>
      <c r="E331" s="24" t="s">
        <v>48</v>
      </c>
      <c r="F331" s="25">
        <v>2340.3</v>
      </c>
      <c r="G331" s="25">
        <v>1015.6</v>
      </c>
      <c r="H331" s="57">
        <f t="shared" si="33"/>
        <v>1324.7000000000003</v>
      </c>
      <c r="I331" s="59">
        <f t="shared" si="34"/>
        <v>0.43396145793274365</v>
      </c>
    </row>
    <row r="332" spans="1:9" ht="12.75">
      <c r="A332" s="23"/>
      <c r="B332" s="23" t="s">
        <v>122</v>
      </c>
      <c r="C332" s="23"/>
      <c r="D332" s="23"/>
      <c r="E332" s="24" t="s">
        <v>123</v>
      </c>
      <c r="F332" s="25">
        <f>F333+F346+F340</f>
        <v>9035.3</v>
      </c>
      <c r="G332" s="25">
        <f>G333+G346+G340</f>
        <v>5893.5</v>
      </c>
      <c r="H332" s="57">
        <f t="shared" si="33"/>
        <v>3141.7999999999993</v>
      </c>
      <c r="I332" s="59">
        <f t="shared" si="34"/>
        <v>0.6522749659668191</v>
      </c>
    </row>
    <row r="333" spans="1:9" ht="38.25">
      <c r="A333" s="23"/>
      <c r="B333" s="23"/>
      <c r="C333" s="23" t="s">
        <v>60</v>
      </c>
      <c r="D333" s="23"/>
      <c r="E333" s="49" t="s">
        <v>301</v>
      </c>
      <c r="F333" s="25">
        <f>F334</f>
        <v>1377.5000000000002</v>
      </c>
      <c r="G333" s="25">
        <f>G334</f>
        <v>795.8</v>
      </c>
      <c r="H333" s="57">
        <f t="shared" si="33"/>
        <v>581.7000000000003</v>
      </c>
      <c r="I333" s="59">
        <f t="shared" si="34"/>
        <v>0.5777132486388383</v>
      </c>
    </row>
    <row r="334" spans="1:9" ht="89.25">
      <c r="A334" s="23"/>
      <c r="B334" s="23"/>
      <c r="C334" s="23" t="s">
        <v>300</v>
      </c>
      <c r="D334" s="23"/>
      <c r="E334" s="49" t="s">
        <v>302</v>
      </c>
      <c r="F334" s="25">
        <f>F337+F335</f>
        <v>1377.5000000000002</v>
      </c>
      <c r="G334" s="25">
        <f>G337+G335</f>
        <v>795.8</v>
      </c>
      <c r="H334" s="57">
        <f t="shared" si="33"/>
        <v>581.7000000000003</v>
      </c>
      <c r="I334" s="59">
        <f t="shared" si="34"/>
        <v>0.5777132486388383</v>
      </c>
    </row>
    <row r="335" spans="1:9" ht="63.75">
      <c r="A335" s="23"/>
      <c r="B335" s="23"/>
      <c r="C335" s="23" t="s">
        <v>298</v>
      </c>
      <c r="D335" s="23"/>
      <c r="E335" s="24" t="s">
        <v>299</v>
      </c>
      <c r="F335" s="25">
        <f>F336</f>
        <v>214.2</v>
      </c>
      <c r="G335" s="25">
        <f>G336</f>
        <v>214.2</v>
      </c>
      <c r="H335" s="57">
        <f t="shared" si="33"/>
        <v>0</v>
      </c>
      <c r="I335" s="59">
        <f t="shared" si="34"/>
        <v>1</v>
      </c>
    </row>
    <row r="336" spans="1:9" ht="51">
      <c r="A336" s="23"/>
      <c r="B336" s="23"/>
      <c r="C336" s="23"/>
      <c r="D336" s="23" t="s">
        <v>65</v>
      </c>
      <c r="E336" s="24" t="s">
        <v>178</v>
      </c>
      <c r="F336" s="25">
        <v>214.2</v>
      </c>
      <c r="G336" s="25">
        <v>214.2</v>
      </c>
      <c r="H336" s="57">
        <f t="shared" si="33"/>
        <v>0</v>
      </c>
      <c r="I336" s="59">
        <f t="shared" si="34"/>
        <v>1</v>
      </c>
    </row>
    <row r="337" spans="1:9" ht="102">
      <c r="A337" s="23"/>
      <c r="B337" s="23"/>
      <c r="C337" s="23" t="s">
        <v>329</v>
      </c>
      <c r="D337" s="23"/>
      <c r="E337" s="24" t="s">
        <v>330</v>
      </c>
      <c r="F337" s="25">
        <f>F338+F339</f>
        <v>1163.3000000000002</v>
      </c>
      <c r="G337" s="25">
        <f>G338+G339</f>
        <v>581.6</v>
      </c>
      <c r="H337" s="57">
        <f t="shared" si="33"/>
        <v>581.7000000000002</v>
      </c>
      <c r="I337" s="59">
        <f t="shared" si="34"/>
        <v>0.4999570188257543</v>
      </c>
    </row>
    <row r="338" spans="1:9" ht="25.5">
      <c r="A338" s="23"/>
      <c r="B338" s="23"/>
      <c r="C338" s="23"/>
      <c r="D338" s="23" t="s">
        <v>47</v>
      </c>
      <c r="E338" s="24" t="s">
        <v>48</v>
      </c>
      <c r="F338" s="25">
        <v>63.4</v>
      </c>
      <c r="G338" s="25">
        <v>22.9</v>
      </c>
      <c r="H338" s="57">
        <f t="shared" si="33"/>
        <v>40.5</v>
      </c>
      <c r="I338" s="59">
        <f t="shared" si="34"/>
        <v>0.361198738170347</v>
      </c>
    </row>
    <row r="339" spans="1:9" ht="51">
      <c r="A339" s="23"/>
      <c r="B339" s="23"/>
      <c r="C339" s="23"/>
      <c r="D339" s="23" t="s">
        <v>65</v>
      </c>
      <c r="E339" s="24" t="s">
        <v>178</v>
      </c>
      <c r="F339" s="25">
        <v>1099.9</v>
      </c>
      <c r="G339" s="25">
        <v>558.7</v>
      </c>
      <c r="H339" s="57">
        <f t="shared" si="33"/>
        <v>541.2</v>
      </c>
      <c r="I339" s="59">
        <f t="shared" si="34"/>
        <v>0.5079552686607873</v>
      </c>
    </row>
    <row r="340" spans="1:9" ht="38.25">
      <c r="A340" s="23"/>
      <c r="B340" s="23"/>
      <c r="C340" s="23" t="s">
        <v>62</v>
      </c>
      <c r="D340" s="23"/>
      <c r="E340" s="49" t="s">
        <v>307</v>
      </c>
      <c r="F340" s="25">
        <f>F341</f>
        <v>5177.2</v>
      </c>
      <c r="G340" s="25">
        <f>G341</f>
        <v>4692.4</v>
      </c>
      <c r="H340" s="57">
        <f aca="true" t="shared" si="35" ref="H340:H345">F340-G340</f>
        <v>484.8000000000002</v>
      </c>
      <c r="I340" s="59">
        <f aca="true" t="shared" si="36" ref="I340:I345">G340/F340</f>
        <v>0.9063586494630301</v>
      </c>
    </row>
    <row r="341" spans="1:9" ht="63.75">
      <c r="A341" s="23"/>
      <c r="B341" s="23"/>
      <c r="C341" s="23" t="s">
        <v>356</v>
      </c>
      <c r="D341" s="23"/>
      <c r="E341" s="49" t="s">
        <v>357</v>
      </c>
      <c r="F341" s="25">
        <f>F342+F344</f>
        <v>5177.2</v>
      </c>
      <c r="G341" s="25">
        <f>G342+G344</f>
        <v>4692.4</v>
      </c>
      <c r="H341" s="57">
        <f t="shared" si="35"/>
        <v>484.8000000000002</v>
      </c>
      <c r="I341" s="59">
        <f t="shared" si="36"/>
        <v>0.9063586494630301</v>
      </c>
    </row>
    <row r="342" spans="1:9" ht="25.5">
      <c r="A342" s="23"/>
      <c r="B342" s="23"/>
      <c r="C342" s="23" t="s">
        <v>1035</v>
      </c>
      <c r="D342" s="23"/>
      <c r="E342" s="24" t="s">
        <v>1066</v>
      </c>
      <c r="F342" s="25">
        <f>F343</f>
        <v>301.8</v>
      </c>
      <c r="G342" s="25">
        <f>G343</f>
        <v>150.9</v>
      </c>
      <c r="H342" s="57">
        <f t="shared" si="35"/>
        <v>150.9</v>
      </c>
      <c r="I342" s="59">
        <f t="shared" si="36"/>
        <v>0.5</v>
      </c>
    </row>
    <row r="343" spans="1:9" ht="25.5">
      <c r="A343" s="23"/>
      <c r="B343" s="23"/>
      <c r="C343" s="23"/>
      <c r="D343" s="23" t="s">
        <v>47</v>
      </c>
      <c r="E343" s="24" t="s">
        <v>48</v>
      </c>
      <c r="F343" s="25">
        <v>301.8</v>
      </c>
      <c r="G343" s="25">
        <v>150.9</v>
      </c>
      <c r="H343" s="57">
        <f t="shared" si="35"/>
        <v>150.9</v>
      </c>
      <c r="I343" s="59">
        <f t="shared" si="36"/>
        <v>0.5</v>
      </c>
    </row>
    <row r="344" spans="1:9" ht="12.75">
      <c r="A344" s="23"/>
      <c r="B344" s="23"/>
      <c r="C344" s="23" t="s">
        <v>1036</v>
      </c>
      <c r="D344" s="23"/>
      <c r="E344" s="24" t="s">
        <v>494</v>
      </c>
      <c r="F344" s="25">
        <f>F345</f>
        <v>4875.4</v>
      </c>
      <c r="G344" s="25">
        <f>G345</f>
        <v>4541.5</v>
      </c>
      <c r="H344" s="57">
        <f t="shared" si="35"/>
        <v>333.89999999999964</v>
      </c>
      <c r="I344" s="59">
        <f t="shared" si="36"/>
        <v>0.9315133117282686</v>
      </c>
    </row>
    <row r="345" spans="1:9" ht="25.5">
      <c r="A345" s="23"/>
      <c r="B345" s="23"/>
      <c r="C345" s="23"/>
      <c r="D345" s="23" t="s">
        <v>47</v>
      </c>
      <c r="E345" s="24" t="s">
        <v>48</v>
      </c>
      <c r="F345" s="25">
        <v>4875.4</v>
      </c>
      <c r="G345" s="25">
        <v>4541.5</v>
      </c>
      <c r="H345" s="57">
        <f t="shared" si="35"/>
        <v>333.89999999999964</v>
      </c>
      <c r="I345" s="59">
        <f t="shared" si="36"/>
        <v>0.9315133117282686</v>
      </c>
    </row>
    <row r="346" spans="1:9" ht="12.75">
      <c r="A346" s="23"/>
      <c r="B346" s="23"/>
      <c r="C346" s="23" t="s">
        <v>74</v>
      </c>
      <c r="D346" s="23"/>
      <c r="E346" s="24" t="s">
        <v>287</v>
      </c>
      <c r="F346" s="25">
        <f>F347+F349+F352+F354+F356+F358</f>
        <v>2480.6</v>
      </c>
      <c r="G346" s="25">
        <f>G347+G349+G352+G354+G356+G358</f>
        <v>405.29999999999995</v>
      </c>
      <c r="H346" s="57">
        <f t="shared" si="33"/>
        <v>2075.3</v>
      </c>
      <c r="I346" s="59">
        <f t="shared" si="34"/>
        <v>0.16338789002660645</v>
      </c>
    </row>
    <row r="347" spans="1:9" ht="89.25">
      <c r="A347" s="23"/>
      <c r="B347" s="23"/>
      <c r="C347" s="23" t="s">
        <v>238</v>
      </c>
      <c r="D347" s="23"/>
      <c r="E347" s="24" t="s">
        <v>239</v>
      </c>
      <c r="F347" s="25">
        <f>F348</f>
        <v>107.1</v>
      </c>
      <c r="G347" s="25">
        <f>G348</f>
        <v>107.1</v>
      </c>
      <c r="H347" s="57">
        <f t="shared" si="33"/>
        <v>0</v>
      </c>
      <c r="I347" s="59">
        <f t="shared" si="34"/>
        <v>1</v>
      </c>
    </row>
    <row r="348" spans="1:9" ht="51">
      <c r="A348" s="23"/>
      <c r="B348" s="23"/>
      <c r="C348" s="23"/>
      <c r="D348" s="23" t="s">
        <v>65</v>
      </c>
      <c r="E348" s="24" t="s">
        <v>178</v>
      </c>
      <c r="F348" s="25">
        <v>107.1</v>
      </c>
      <c r="G348" s="25">
        <v>107.1</v>
      </c>
      <c r="H348" s="57">
        <f t="shared" si="33"/>
        <v>0</v>
      </c>
      <c r="I348" s="59">
        <f t="shared" si="34"/>
        <v>1</v>
      </c>
    </row>
    <row r="349" spans="1:9" ht="25.5">
      <c r="A349" s="23"/>
      <c r="B349" s="23"/>
      <c r="C349" s="23" t="s">
        <v>460</v>
      </c>
      <c r="D349" s="23"/>
      <c r="E349" s="24" t="s">
        <v>459</v>
      </c>
      <c r="F349" s="25">
        <f>F350+F351</f>
        <v>74</v>
      </c>
      <c r="G349" s="25">
        <f>G350+G351</f>
        <v>53.5</v>
      </c>
      <c r="H349" s="57">
        <f t="shared" si="33"/>
        <v>20.5</v>
      </c>
      <c r="I349" s="59">
        <f t="shared" si="34"/>
        <v>0.722972972972973</v>
      </c>
    </row>
    <row r="350" spans="1:9" ht="25.5">
      <c r="A350" s="23"/>
      <c r="B350" s="23"/>
      <c r="C350" s="23"/>
      <c r="D350" s="23" t="s">
        <v>47</v>
      </c>
      <c r="E350" s="24" t="s">
        <v>48</v>
      </c>
      <c r="F350" s="25">
        <v>54</v>
      </c>
      <c r="G350" s="25">
        <v>53.5</v>
      </c>
      <c r="H350" s="57">
        <f t="shared" si="33"/>
        <v>0.5</v>
      </c>
      <c r="I350" s="59">
        <f t="shared" si="34"/>
        <v>0.9907407407407407</v>
      </c>
    </row>
    <row r="351" spans="1:9" ht="12.75">
      <c r="A351" s="23"/>
      <c r="B351" s="23"/>
      <c r="C351" s="23"/>
      <c r="D351" s="23" t="s">
        <v>44</v>
      </c>
      <c r="E351" s="24" t="s">
        <v>45</v>
      </c>
      <c r="F351" s="25">
        <v>20</v>
      </c>
      <c r="G351" s="25">
        <v>0</v>
      </c>
      <c r="H351" s="57">
        <f>F351-G351</f>
        <v>20</v>
      </c>
      <c r="I351" s="59">
        <f>G351/F351</f>
        <v>0</v>
      </c>
    </row>
    <row r="352" spans="1:9" ht="12.75">
      <c r="A352" s="23"/>
      <c r="B352" s="23"/>
      <c r="C352" s="23" t="s">
        <v>493</v>
      </c>
      <c r="D352" s="23"/>
      <c r="E352" s="24" t="s">
        <v>494</v>
      </c>
      <c r="F352" s="25">
        <f>F353</f>
        <v>1244.7</v>
      </c>
      <c r="G352" s="25">
        <f>G353</f>
        <v>244.7</v>
      </c>
      <c r="H352" s="57">
        <f t="shared" si="33"/>
        <v>1000</v>
      </c>
      <c r="I352" s="59">
        <f t="shared" si="34"/>
        <v>0.19659355668032455</v>
      </c>
    </row>
    <row r="353" spans="1:9" ht="25.5">
      <c r="A353" s="23"/>
      <c r="B353" s="23"/>
      <c r="C353" s="23"/>
      <c r="D353" s="23" t="s">
        <v>47</v>
      </c>
      <c r="E353" s="24" t="s">
        <v>48</v>
      </c>
      <c r="F353" s="25">
        <v>1244.7</v>
      </c>
      <c r="G353" s="25">
        <v>244.7</v>
      </c>
      <c r="H353" s="57">
        <f t="shared" si="33"/>
        <v>1000</v>
      </c>
      <c r="I353" s="59">
        <f t="shared" si="34"/>
        <v>0.19659355668032455</v>
      </c>
    </row>
    <row r="354" spans="1:9" ht="25.5">
      <c r="A354" s="23"/>
      <c r="B354" s="23"/>
      <c r="C354" s="23" t="s">
        <v>495</v>
      </c>
      <c r="D354" s="23"/>
      <c r="E354" s="24" t="s">
        <v>496</v>
      </c>
      <c r="F354" s="25">
        <f>F355</f>
        <v>260</v>
      </c>
      <c r="G354" s="25">
        <f>G355</f>
        <v>0</v>
      </c>
      <c r="H354" s="57">
        <f t="shared" si="33"/>
        <v>260</v>
      </c>
      <c r="I354" s="59">
        <f t="shared" si="34"/>
        <v>0</v>
      </c>
    </row>
    <row r="355" spans="1:9" ht="25.5">
      <c r="A355" s="23"/>
      <c r="B355" s="23"/>
      <c r="C355" s="23"/>
      <c r="D355" s="23" t="s">
        <v>47</v>
      </c>
      <c r="E355" s="24" t="s">
        <v>48</v>
      </c>
      <c r="F355" s="25">
        <v>260</v>
      </c>
      <c r="G355" s="25">
        <v>0</v>
      </c>
      <c r="H355" s="57">
        <f t="shared" si="33"/>
        <v>260</v>
      </c>
      <c r="I355" s="59">
        <f t="shared" si="34"/>
        <v>0</v>
      </c>
    </row>
    <row r="356" spans="1:9" ht="63.75">
      <c r="A356" s="23"/>
      <c r="B356" s="23"/>
      <c r="C356" s="23" t="s">
        <v>497</v>
      </c>
      <c r="D356" s="23"/>
      <c r="E356" s="24" t="s">
        <v>462</v>
      </c>
      <c r="F356" s="25">
        <f>F357</f>
        <v>544.8</v>
      </c>
      <c r="G356" s="25">
        <f>G357</f>
        <v>0</v>
      </c>
      <c r="H356" s="57">
        <f t="shared" si="33"/>
        <v>544.8</v>
      </c>
      <c r="I356" s="59">
        <f t="shared" si="34"/>
        <v>0</v>
      </c>
    </row>
    <row r="357" spans="1:9" ht="25.5">
      <c r="A357" s="23"/>
      <c r="B357" s="23"/>
      <c r="C357" s="23"/>
      <c r="D357" s="23" t="s">
        <v>47</v>
      </c>
      <c r="E357" s="24" t="s">
        <v>48</v>
      </c>
      <c r="F357" s="25">
        <v>544.8</v>
      </c>
      <c r="G357" s="25">
        <v>0</v>
      </c>
      <c r="H357" s="57">
        <f t="shared" si="33"/>
        <v>544.8</v>
      </c>
      <c r="I357" s="59">
        <f t="shared" si="34"/>
        <v>0</v>
      </c>
    </row>
    <row r="358" spans="1:9" ht="25.5">
      <c r="A358" s="23"/>
      <c r="B358" s="23"/>
      <c r="C358" s="23" t="s">
        <v>498</v>
      </c>
      <c r="D358" s="23"/>
      <c r="E358" s="24" t="s">
        <v>499</v>
      </c>
      <c r="F358" s="25">
        <f>F359</f>
        <v>250</v>
      </c>
      <c r="G358" s="25">
        <f>G359</f>
        <v>0</v>
      </c>
      <c r="H358" s="57">
        <f t="shared" si="33"/>
        <v>250</v>
      </c>
      <c r="I358" s="59">
        <f t="shared" si="34"/>
        <v>0</v>
      </c>
    </row>
    <row r="359" spans="1:9" ht="25.5">
      <c r="A359" s="23"/>
      <c r="B359" s="23"/>
      <c r="C359" s="23"/>
      <c r="D359" s="23" t="s">
        <v>47</v>
      </c>
      <c r="E359" s="24" t="s">
        <v>48</v>
      </c>
      <c r="F359" s="25">
        <v>250</v>
      </c>
      <c r="G359" s="25">
        <v>0</v>
      </c>
      <c r="H359" s="57">
        <f t="shared" si="33"/>
        <v>250</v>
      </c>
      <c r="I359" s="59">
        <f t="shared" si="34"/>
        <v>0</v>
      </c>
    </row>
    <row r="360" spans="1:9" ht="25.5">
      <c r="A360" s="23"/>
      <c r="B360" s="23" t="s">
        <v>172</v>
      </c>
      <c r="C360" s="23"/>
      <c r="D360" s="23"/>
      <c r="E360" s="24" t="s">
        <v>173</v>
      </c>
      <c r="F360" s="25">
        <f aca="true" t="shared" si="37" ref="F360:G363">F361</f>
        <v>2066.7</v>
      </c>
      <c r="G360" s="25">
        <f t="shared" si="37"/>
        <v>1033.4</v>
      </c>
      <c r="H360" s="57">
        <f t="shared" si="33"/>
        <v>1033.2999999999997</v>
      </c>
      <c r="I360" s="59">
        <f t="shared" si="34"/>
        <v>0.5000241931581749</v>
      </c>
    </row>
    <row r="361" spans="1:9" ht="12.75">
      <c r="A361" s="23"/>
      <c r="B361" s="23" t="s">
        <v>174</v>
      </c>
      <c r="C361" s="23"/>
      <c r="D361" s="23"/>
      <c r="E361" s="24" t="s">
        <v>175</v>
      </c>
      <c r="F361" s="25">
        <f t="shared" si="37"/>
        <v>2066.7</v>
      </c>
      <c r="G361" s="25">
        <f t="shared" si="37"/>
        <v>1033.4</v>
      </c>
      <c r="H361" s="57">
        <f t="shared" si="33"/>
        <v>1033.2999999999997</v>
      </c>
      <c r="I361" s="59">
        <f t="shared" si="34"/>
        <v>0.5000241931581749</v>
      </c>
    </row>
    <row r="362" spans="1:9" ht="25.5">
      <c r="A362" s="23"/>
      <c r="B362" s="23"/>
      <c r="C362" s="23" t="s">
        <v>55</v>
      </c>
      <c r="D362" s="23"/>
      <c r="E362" s="24" t="s">
        <v>297</v>
      </c>
      <c r="F362" s="25">
        <f t="shared" si="37"/>
        <v>2066.7</v>
      </c>
      <c r="G362" s="25">
        <f t="shared" si="37"/>
        <v>1033.4</v>
      </c>
      <c r="H362" s="57">
        <f t="shared" si="33"/>
        <v>1033.2999999999997</v>
      </c>
      <c r="I362" s="59">
        <f t="shared" si="34"/>
        <v>0.5000241931581749</v>
      </c>
    </row>
    <row r="363" spans="1:9" ht="63.75">
      <c r="A363" s="23"/>
      <c r="B363" s="23"/>
      <c r="C363" s="23" t="s">
        <v>176</v>
      </c>
      <c r="D363" s="23"/>
      <c r="E363" s="24" t="s">
        <v>177</v>
      </c>
      <c r="F363" s="25">
        <f t="shared" si="37"/>
        <v>2066.7</v>
      </c>
      <c r="G363" s="25">
        <f t="shared" si="37"/>
        <v>1033.4</v>
      </c>
      <c r="H363" s="57">
        <f t="shared" si="33"/>
        <v>1033.2999999999997</v>
      </c>
      <c r="I363" s="59">
        <f t="shared" si="34"/>
        <v>0.5000241931581749</v>
      </c>
    </row>
    <row r="364" spans="1:9" ht="51">
      <c r="A364" s="23"/>
      <c r="B364" s="23"/>
      <c r="C364" s="23"/>
      <c r="D364" s="23" t="s">
        <v>65</v>
      </c>
      <c r="E364" s="24" t="s">
        <v>178</v>
      </c>
      <c r="F364" s="25">
        <f>1465.1+601.6</f>
        <v>2066.7</v>
      </c>
      <c r="G364" s="25">
        <v>1033.4</v>
      </c>
      <c r="H364" s="57">
        <f t="shared" si="33"/>
        <v>1033.2999999999997</v>
      </c>
      <c r="I364" s="59">
        <f t="shared" si="34"/>
        <v>0.5000241931581749</v>
      </c>
    </row>
    <row r="365" spans="1:9" ht="38.25">
      <c r="A365" s="23"/>
      <c r="B365" s="23" t="s">
        <v>132</v>
      </c>
      <c r="C365" s="23"/>
      <c r="D365" s="23"/>
      <c r="E365" s="24" t="s">
        <v>133</v>
      </c>
      <c r="F365" s="25">
        <f aca="true" t="shared" si="38" ref="F365:G368">F366</f>
        <v>3382.8999999999996</v>
      </c>
      <c r="G365" s="25">
        <f t="shared" si="38"/>
        <v>1462.7</v>
      </c>
      <c r="H365" s="57">
        <f t="shared" si="33"/>
        <v>1920.1999999999996</v>
      </c>
      <c r="I365" s="59">
        <f t="shared" si="34"/>
        <v>0.43238050193620864</v>
      </c>
    </row>
    <row r="366" spans="1:9" ht="25.5">
      <c r="A366" s="23"/>
      <c r="B366" s="23" t="s">
        <v>134</v>
      </c>
      <c r="C366" s="23"/>
      <c r="D366" s="23"/>
      <c r="E366" s="24" t="s">
        <v>135</v>
      </c>
      <c r="F366" s="25">
        <f t="shared" si="38"/>
        <v>3382.8999999999996</v>
      </c>
      <c r="G366" s="25">
        <f t="shared" si="38"/>
        <v>1462.7</v>
      </c>
      <c r="H366" s="57">
        <f t="shared" si="33"/>
        <v>1920.1999999999996</v>
      </c>
      <c r="I366" s="59">
        <f t="shared" si="34"/>
        <v>0.43238050193620864</v>
      </c>
    </row>
    <row r="367" spans="1:9" ht="25.5">
      <c r="A367" s="23"/>
      <c r="B367" s="23"/>
      <c r="C367" s="23" t="s">
        <v>55</v>
      </c>
      <c r="D367" s="23"/>
      <c r="E367" s="24" t="s">
        <v>297</v>
      </c>
      <c r="F367" s="25">
        <f t="shared" si="38"/>
        <v>3382.8999999999996</v>
      </c>
      <c r="G367" s="25">
        <f t="shared" si="38"/>
        <v>1462.7</v>
      </c>
      <c r="H367" s="57">
        <f t="shared" si="33"/>
        <v>1920.1999999999996</v>
      </c>
      <c r="I367" s="59">
        <f t="shared" si="34"/>
        <v>0.43238050193620864</v>
      </c>
    </row>
    <row r="368" spans="1:9" ht="38.25">
      <c r="A368" s="23"/>
      <c r="B368" s="23"/>
      <c r="C368" s="23" t="s">
        <v>156</v>
      </c>
      <c r="D368" s="23"/>
      <c r="E368" s="24" t="s">
        <v>157</v>
      </c>
      <c r="F368" s="25">
        <f t="shared" si="38"/>
        <v>3382.8999999999996</v>
      </c>
      <c r="G368" s="25">
        <f t="shared" si="38"/>
        <v>1462.7</v>
      </c>
      <c r="H368" s="57">
        <f t="shared" si="33"/>
        <v>1920.1999999999996</v>
      </c>
      <c r="I368" s="59">
        <f t="shared" si="34"/>
        <v>0.43238050193620864</v>
      </c>
    </row>
    <row r="369" spans="1:9" ht="25.5">
      <c r="A369" s="23"/>
      <c r="B369" s="23"/>
      <c r="C369" s="23"/>
      <c r="D369" s="23" t="s">
        <v>136</v>
      </c>
      <c r="E369" s="24" t="s">
        <v>158</v>
      </c>
      <c r="F369" s="25">
        <f>2667.1+715.8</f>
        <v>3382.8999999999996</v>
      </c>
      <c r="G369" s="25">
        <v>1462.7</v>
      </c>
      <c r="H369" s="57">
        <f t="shared" si="33"/>
        <v>1920.1999999999996</v>
      </c>
      <c r="I369" s="59">
        <f t="shared" si="34"/>
        <v>0.43238050193620864</v>
      </c>
    </row>
    <row r="370" spans="1:9" ht="12.75">
      <c r="A370" s="23"/>
      <c r="B370" s="23"/>
      <c r="C370" s="23"/>
      <c r="D370" s="23"/>
      <c r="E370" s="24"/>
      <c r="F370" s="25"/>
      <c r="G370" s="25"/>
      <c r="H370" s="57"/>
      <c r="I370" s="59"/>
    </row>
    <row r="371" spans="1:9" s="35" customFormat="1" ht="25.5">
      <c r="A371" s="21" t="s">
        <v>181</v>
      </c>
      <c r="B371" s="21"/>
      <c r="C371" s="21"/>
      <c r="D371" s="21"/>
      <c r="E371" s="38" t="s">
        <v>182</v>
      </c>
      <c r="F371" s="36">
        <f>F372+F392</f>
        <v>12905.300000000003</v>
      </c>
      <c r="G371" s="36">
        <f>G372+G392</f>
        <v>5688.9</v>
      </c>
      <c r="H371" s="39">
        <f t="shared" si="33"/>
        <v>7216.400000000003</v>
      </c>
      <c r="I371" s="58">
        <f t="shared" si="34"/>
        <v>0.4408188883636954</v>
      </c>
    </row>
    <row r="372" spans="1:9" ht="25.5">
      <c r="A372" s="23"/>
      <c r="B372" s="23" t="s">
        <v>38</v>
      </c>
      <c r="C372" s="23"/>
      <c r="D372" s="23"/>
      <c r="E372" s="24" t="s">
        <v>39</v>
      </c>
      <c r="F372" s="25">
        <f>F373</f>
        <v>12904.800000000003</v>
      </c>
      <c r="G372" s="25">
        <f>G373</f>
        <v>5688.4</v>
      </c>
      <c r="H372" s="57">
        <f t="shared" si="33"/>
        <v>7216.400000000003</v>
      </c>
      <c r="I372" s="59">
        <f t="shared" si="34"/>
        <v>0.4407972227388257</v>
      </c>
    </row>
    <row r="373" spans="1:9" ht="63.75">
      <c r="A373" s="23"/>
      <c r="B373" s="23" t="s">
        <v>46</v>
      </c>
      <c r="C373" s="23"/>
      <c r="D373" s="23"/>
      <c r="E373" s="24" t="s">
        <v>183</v>
      </c>
      <c r="F373" s="25">
        <f>F374</f>
        <v>12904.800000000003</v>
      </c>
      <c r="G373" s="25">
        <f>G374</f>
        <v>5688.4</v>
      </c>
      <c r="H373" s="57">
        <f t="shared" si="33"/>
        <v>7216.400000000003</v>
      </c>
      <c r="I373" s="59">
        <f t="shared" si="34"/>
        <v>0.4407972227388257</v>
      </c>
    </row>
    <row r="374" spans="1:9" ht="25.5">
      <c r="A374" s="23"/>
      <c r="B374" s="23"/>
      <c r="C374" s="23" t="s">
        <v>81</v>
      </c>
      <c r="D374" s="23"/>
      <c r="E374" s="24" t="s">
        <v>285</v>
      </c>
      <c r="F374" s="25">
        <f>F375+F379+F381+F384+F386+F388+F390</f>
        <v>12904.800000000003</v>
      </c>
      <c r="G374" s="25">
        <f>G375+G379+G381+G384+G386+G388+G390</f>
        <v>5688.4</v>
      </c>
      <c r="H374" s="57">
        <f t="shared" si="33"/>
        <v>7216.400000000003</v>
      </c>
      <c r="I374" s="59">
        <f t="shared" si="34"/>
        <v>0.4407972227388257</v>
      </c>
    </row>
    <row r="375" spans="1:9" ht="51">
      <c r="A375" s="23"/>
      <c r="B375" s="23"/>
      <c r="C375" s="23" t="s">
        <v>147</v>
      </c>
      <c r="D375" s="23"/>
      <c r="E375" s="24" t="s">
        <v>148</v>
      </c>
      <c r="F375" s="25">
        <f>SUM(F376:F378)</f>
        <v>7543.700000000002</v>
      </c>
      <c r="G375" s="25">
        <f>SUM(G376:G378)</f>
        <v>3213.7999999999997</v>
      </c>
      <c r="H375" s="57">
        <f t="shared" si="33"/>
        <v>4329.9000000000015</v>
      </c>
      <c r="I375" s="59">
        <f t="shared" si="34"/>
        <v>0.4260243647016715</v>
      </c>
    </row>
    <row r="376" spans="1:9" ht="89.25">
      <c r="A376" s="23"/>
      <c r="B376" s="23"/>
      <c r="C376" s="23"/>
      <c r="D376" s="23" t="s">
        <v>42</v>
      </c>
      <c r="E376" s="24" t="s">
        <v>149</v>
      </c>
      <c r="F376" s="25">
        <f>360.6+5655.8+186.6+565.8+36.1</f>
        <v>6804.9000000000015</v>
      </c>
      <c r="G376" s="25">
        <v>3124.2</v>
      </c>
      <c r="H376" s="57">
        <f t="shared" si="33"/>
        <v>3680.7000000000016</v>
      </c>
      <c r="I376" s="59">
        <f t="shared" si="34"/>
        <v>0.4591103469558699</v>
      </c>
    </row>
    <row r="377" spans="1:9" ht="38.25">
      <c r="A377" s="23"/>
      <c r="B377" s="23"/>
      <c r="C377" s="23"/>
      <c r="D377" s="23" t="s">
        <v>43</v>
      </c>
      <c r="E377" s="24" t="s">
        <v>150</v>
      </c>
      <c r="F377" s="25">
        <f>974.5+29.2+40-325</f>
        <v>718.7</v>
      </c>
      <c r="G377" s="25">
        <v>84.4</v>
      </c>
      <c r="H377" s="57">
        <f t="shared" si="33"/>
        <v>634.3000000000001</v>
      </c>
      <c r="I377" s="59">
        <f t="shared" si="34"/>
        <v>0.11743425629609017</v>
      </c>
    </row>
    <row r="378" spans="1:9" ht="12.75">
      <c r="A378" s="23"/>
      <c r="B378" s="23"/>
      <c r="C378" s="23"/>
      <c r="D378" s="23" t="s">
        <v>44</v>
      </c>
      <c r="E378" s="24" t="s">
        <v>45</v>
      </c>
      <c r="F378" s="25">
        <f>19.5+0.6</f>
        <v>20.1</v>
      </c>
      <c r="G378" s="25">
        <v>5.2</v>
      </c>
      <c r="H378" s="57">
        <f t="shared" si="33"/>
        <v>14.900000000000002</v>
      </c>
      <c r="I378" s="59">
        <f t="shared" si="34"/>
        <v>0.25870646766169153</v>
      </c>
    </row>
    <row r="379" spans="1:9" ht="38.25">
      <c r="A379" s="23"/>
      <c r="B379" s="23"/>
      <c r="C379" s="23" t="s">
        <v>184</v>
      </c>
      <c r="D379" s="23"/>
      <c r="E379" s="24" t="s">
        <v>185</v>
      </c>
      <c r="F379" s="25">
        <f>SUM(F380)</f>
        <v>1862.8999999999999</v>
      </c>
      <c r="G379" s="25">
        <f>SUM(G380)</f>
        <v>865.4</v>
      </c>
      <c r="H379" s="57">
        <f t="shared" si="33"/>
        <v>997.4999999999999</v>
      </c>
      <c r="I379" s="59">
        <f t="shared" si="34"/>
        <v>0.4645445273498309</v>
      </c>
    </row>
    <row r="380" spans="1:9" ht="89.25">
      <c r="A380" s="23"/>
      <c r="B380" s="23"/>
      <c r="C380" s="23"/>
      <c r="D380" s="23" t="s">
        <v>42</v>
      </c>
      <c r="E380" s="24" t="s">
        <v>149</v>
      </c>
      <c r="F380" s="25">
        <f>108.6+1703.2+51.1</f>
        <v>1862.8999999999999</v>
      </c>
      <c r="G380" s="25">
        <v>865.4</v>
      </c>
      <c r="H380" s="57">
        <f t="shared" si="33"/>
        <v>997.4999999999999</v>
      </c>
      <c r="I380" s="59">
        <f t="shared" si="34"/>
        <v>0.4645445273498309</v>
      </c>
    </row>
    <row r="381" spans="1:9" ht="38.25">
      <c r="A381" s="23"/>
      <c r="B381" s="23"/>
      <c r="C381" s="23" t="s">
        <v>186</v>
      </c>
      <c r="D381" s="23"/>
      <c r="E381" s="24" t="s">
        <v>187</v>
      </c>
      <c r="F381" s="25">
        <f>SUM(F382:F383)</f>
        <v>3016.9</v>
      </c>
      <c r="G381" s="25">
        <f>SUM(G382:G383)</f>
        <v>1397.6</v>
      </c>
      <c r="H381" s="57">
        <f t="shared" si="33"/>
        <v>1619.3000000000002</v>
      </c>
      <c r="I381" s="59">
        <f t="shared" si="34"/>
        <v>0.46325698564751894</v>
      </c>
    </row>
    <row r="382" spans="1:9" ht="89.25">
      <c r="A382" s="23"/>
      <c r="B382" s="23"/>
      <c r="C382" s="23"/>
      <c r="D382" s="23" t="s">
        <v>42</v>
      </c>
      <c r="E382" s="24" t="s">
        <v>149</v>
      </c>
      <c r="F382" s="25">
        <f>2934.1+82.8</f>
        <v>3016.9</v>
      </c>
      <c r="G382" s="25">
        <v>1397.6</v>
      </c>
      <c r="H382" s="57">
        <f t="shared" si="33"/>
        <v>1619.3000000000002</v>
      </c>
      <c r="I382" s="59">
        <f t="shared" si="34"/>
        <v>0.46325698564751894</v>
      </c>
    </row>
    <row r="383" spans="1:9" ht="38.25" hidden="1">
      <c r="A383" s="23"/>
      <c r="B383" s="23"/>
      <c r="C383" s="23"/>
      <c r="D383" s="23" t="s">
        <v>43</v>
      </c>
      <c r="E383" s="24" t="s">
        <v>150</v>
      </c>
      <c r="F383" s="25"/>
      <c r="G383" s="25"/>
      <c r="H383" s="57">
        <f t="shared" si="33"/>
        <v>0</v>
      </c>
      <c r="I383" s="59" t="e">
        <f t="shared" si="34"/>
        <v>#DIV/0!</v>
      </c>
    </row>
    <row r="384" spans="1:9" ht="51">
      <c r="A384" s="23"/>
      <c r="B384" s="23"/>
      <c r="C384" s="23" t="s">
        <v>500</v>
      </c>
      <c r="D384" s="23"/>
      <c r="E384" s="24" t="s">
        <v>501</v>
      </c>
      <c r="F384" s="25">
        <f>F385</f>
        <v>337.7</v>
      </c>
      <c r="G384" s="25">
        <f>G385</f>
        <v>142.3</v>
      </c>
      <c r="H384" s="57">
        <f t="shared" si="33"/>
        <v>195.39999999999998</v>
      </c>
      <c r="I384" s="59">
        <f t="shared" si="34"/>
        <v>0.42137992300858756</v>
      </c>
    </row>
    <row r="385" spans="1:9" ht="89.25">
      <c r="A385" s="23"/>
      <c r="B385" s="23"/>
      <c r="C385" s="23"/>
      <c r="D385" s="23" t="s">
        <v>42</v>
      </c>
      <c r="E385" s="24" t="s">
        <v>149</v>
      </c>
      <c r="F385" s="25">
        <v>337.7</v>
      </c>
      <c r="G385" s="25">
        <v>142.3</v>
      </c>
      <c r="H385" s="57">
        <f t="shared" si="33"/>
        <v>195.39999999999998</v>
      </c>
      <c r="I385" s="59">
        <f t="shared" si="34"/>
        <v>0.42137992300858756</v>
      </c>
    </row>
    <row r="386" spans="1:9" ht="51">
      <c r="A386" s="23"/>
      <c r="B386" s="23"/>
      <c r="C386" s="23" t="s">
        <v>502</v>
      </c>
      <c r="D386" s="23"/>
      <c r="E386" s="24" t="s">
        <v>503</v>
      </c>
      <c r="F386" s="25">
        <f>F387</f>
        <v>61.3</v>
      </c>
      <c r="G386" s="25">
        <f>G387</f>
        <v>30.7</v>
      </c>
      <c r="H386" s="57">
        <f t="shared" si="33"/>
        <v>30.599999999999998</v>
      </c>
      <c r="I386" s="59">
        <f t="shared" si="34"/>
        <v>0.500815660685155</v>
      </c>
    </row>
    <row r="387" spans="1:9" ht="89.25">
      <c r="A387" s="23"/>
      <c r="B387" s="23"/>
      <c r="C387" s="23"/>
      <c r="D387" s="23" t="s">
        <v>42</v>
      </c>
      <c r="E387" s="24" t="s">
        <v>149</v>
      </c>
      <c r="F387" s="25">
        <v>61.3</v>
      </c>
      <c r="G387" s="25">
        <v>30.7</v>
      </c>
      <c r="H387" s="57">
        <f t="shared" si="33"/>
        <v>30.599999999999998</v>
      </c>
      <c r="I387" s="59">
        <f t="shared" si="34"/>
        <v>0.500815660685155</v>
      </c>
    </row>
    <row r="388" spans="1:9" ht="51">
      <c r="A388" s="23"/>
      <c r="B388" s="23"/>
      <c r="C388" s="23" t="s">
        <v>504</v>
      </c>
      <c r="D388" s="23"/>
      <c r="E388" s="24" t="s">
        <v>506</v>
      </c>
      <c r="F388" s="25">
        <f>F389</f>
        <v>42.6</v>
      </c>
      <c r="G388" s="25">
        <f>G389</f>
        <v>18.8</v>
      </c>
      <c r="H388" s="57">
        <f t="shared" si="33"/>
        <v>23.8</v>
      </c>
      <c r="I388" s="59">
        <f t="shared" si="34"/>
        <v>0.4413145539906103</v>
      </c>
    </row>
    <row r="389" spans="1:9" ht="89.25">
      <c r="A389" s="23"/>
      <c r="B389" s="23"/>
      <c r="C389" s="23"/>
      <c r="D389" s="23" t="s">
        <v>42</v>
      </c>
      <c r="E389" s="24" t="s">
        <v>149</v>
      </c>
      <c r="F389" s="25">
        <v>42.6</v>
      </c>
      <c r="G389" s="25">
        <v>18.8</v>
      </c>
      <c r="H389" s="57">
        <f t="shared" si="33"/>
        <v>23.8</v>
      </c>
      <c r="I389" s="59">
        <f t="shared" si="34"/>
        <v>0.4413145539906103</v>
      </c>
    </row>
    <row r="390" spans="1:9" ht="51">
      <c r="A390" s="23"/>
      <c r="B390" s="23"/>
      <c r="C390" s="23" t="s">
        <v>505</v>
      </c>
      <c r="D390" s="23"/>
      <c r="E390" s="24" t="s">
        <v>507</v>
      </c>
      <c r="F390" s="25">
        <f>F391</f>
        <v>39.7</v>
      </c>
      <c r="G390" s="25">
        <f>G391</f>
        <v>19.8</v>
      </c>
      <c r="H390" s="57">
        <f t="shared" si="33"/>
        <v>19.900000000000002</v>
      </c>
      <c r="I390" s="59">
        <f t="shared" si="34"/>
        <v>0.49874055415617125</v>
      </c>
    </row>
    <row r="391" spans="1:9" ht="89.25">
      <c r="A391" s="23"/>
      <c r="B391" s="23"/>
      <c r="C391" s="23"/>
      <c r="D391" s="23" t="s">
        <v>42</v>
      </c>
      <c r="E391" s="24" t="s">
        <v>149</v>
      </c>
      <c r="F391" s="25">
        <v>39.7</v>
      </c>
      <c r="G391" s="25">
        <v>19.8</v>
      </c>
      <c r="H391" s="57">
        <f t="shared" si="33"/>
        <v>19.900000000000002</v>
      </c>
      <c r="I391" s="59">
        <f t="shared" si="34"/>
        <v>0.49874055415617125</v>
      </c>
    </row>
    <row r="392" spans="1:9" ht="12.75">
      <c r="A392" s="23"/>
      <c r="B392" s="23" t="s">
        <v>118</v>
      </c>
      <c r="C392" s="23"/>
      <c r="D392" s="23"/>
      <c r="E392" s="24" t="s">
        <v>119</v>
      </c>
      <c r="F392" s="25">
        <f aca="true" t="shared" si="39" ref="F392:G395">F393</f>
        <v>0.5</v>
      </c>
      <c r="G392" s="25">
        <f t="shared" si="39"/>
        <v>0.5</v>
      </c>
      <c r="H392" s="57">
        <f>F392-G392</f>
        <v>0</v>
      </c>
      <c r="I392" s="59">
        <f>G392/F392</f>
        <v>1</v>
      </c>
    </row>
    <row r="393" spans="1:9" ht="12.75">
      <c r="A393" s="23"/>
      <c r="B393" s="23" t="s">
        <v>122</v>
      </c>
      <c r="C393" s="23"/>
      <c r="D393" s="23"/>
      <c r="E393" s="24" t="s">
        <v>123</v>
      </c>
      <c r="F393" s="25">
        <f t="shared" si="39"/>
        <v>0.5</v>
      </c>
      <c r="G393" s="25">
        <f t="shared" si="39"/>
        <v>0.5</v>
      </c>
      <c r="H393" s="57">
        <f>F393-G393</f>
        <v>0</v>
      </c>
      <c r="I393" s="59">
        <f>G393/F393</f>
        <v>1</v>
      </c>
    </row>
    <row r="394" spans="1:9" ht="12.75">
      <c r="A394" s="23"/>
      <c r="B394" s="23"/>
      <c r="C394" s="23" t="s">
        <v>74</v>
      </c>
      <c r="D394" s="23"/>
      <c r="E394" s="24" t="s">
        <v>287</v>
      </c>
      <c r="F394" s="25">
        <f t="shared" si="39"/>
        <v>0.5</v>
      </c>
      <c r="G394" s="25">
        <f t="shared" si="39"/>
        <v>0.5</v>
      </c>
      <c r="H394" s="57">
        <f>F394-G394</f>
        <v>0</v>
      </c>
      <c r="I394" s="59">
        <f>G394/F394</f>
        <v>1</v>
      </c>
    </row>
    <row r="395" spans="1:9" ht="25.5">
      <c r="A395" s="23"/>
      <c r="B395" s="23"/>
      <c r="C395" s="23" t="s">
        <v>460</v>
      </c>
      <c r="D395" s="23"/>
      <c r="E395" s="24" t="s">
        <v>459</v>
      </c>
      <c r="F395" s="25">
        <f t="shared" si="39"/>
        <v>0.5</v>
      </c>
      <c r="G395" s="25">
        <f t="shared" si="39"/>
        <v>0.5</v>
      </c>
      <c r="H395" s="57">
        <f>F395-G395</f>
        <v>0</v>
      </c>
      <c r="I395" s="59">
        <f>G395/F395</f>
        <v>1</v>
      </c>
    </row>
    <row r="396" spans="1:9" ht="25.5">
      <c r="A396" s="23"/>
      <c r="B396" s="23"/>
      <c r="C396" s="23"/>
      <c r="D396" s="23" t="s">
        <v>47</v>
      </c>
      <c r="E396" s="24" t="s">
        <v>48</v>
      </c>
      <c r="F396" s="25">
        <v>0.5</v>
      </c>
      <c r="G396" s="25">
        <v>0.5</v>
      </c>
      <c r="H396" s="57">
        <f>F396-G396</f>
        <v>0</v>
      </c>
      <c r="I396" s="59">
        <f>G396/F396</f>
        <v>1</v>
      </c>
    </row>
    <row r="397" spans="1:9" ht="12.75">
      <c r="A397" s="23"/>
      <c r="B397" s="23"/>
      <c r="C397" s="23"/>
      <c r="D397" s="23"/>
      <c r="E397" s="24"/>
      <c r="F397" s="25"/>
      <c r="G397" s="25"/>
      <c r="H397" s="39"/>
      <c r="I397" s="58"/>
    </row>
    <row r="398" spans="1:9" s="35" customFormat="1" ht="38.25">
      <c r="A398" s="21" t="s">
        <v>189</v>
      </c>
      <c r="B398" s="21"/>
      <c r="C398" s="21"/>
      <c r="D398" s="21"/>
      <c r="E398" s="38" t="s">
        <v>188</v>
      </c>
      <c r="F398" s="36">
        <f>F399+F409+F495</f>
        <v>757788.4000000001</v>
      </c>
      <c r="G398" s="36">
        <f>G399+G409+G495</f>
        <v>405785</v>
      </c>
      <c r="H398" s="39">
        <f t="shared" si="33"/>
        <v>352003.40000000014</v>
      </c>
      <c r="I398" s="58">
        <f t="shared" si="34"/>
        <v>0.535485895534954</v>
      </c>
    </row>
    <row r="399" spans="1:9" s="35" customFormat="1" ht="25.5">
      <c r="A399" s="21"/>
      <c r="B399" s="23" t="s">
        <v>38</v>
      </c>
      <c r="C399" s="23"/>
      <c r="D399" s="23"/>
      <c r="E399" s="24" t="s">
        <v>39</v>
      </c>
      <c r="F399" s="25">
        <f>F400</f>
        <v>590.5</v>
      </c>
      <c r="G399" s="25">
        <f>G400</f>
        <v>2.5</v>
      </c>
      <c r="H399" s="57">
        <f t="shared" si="33"/>
        <v>588</v>
      </c>
      <c r="I399" s="59">
        <f t="shared" si="34"/>
        <v>0.004233700254022015</v>
      </c>
    </row>
    <row r="400" spans="1:9" ht="25.5">
      <c r="A400" s="23"/>
      <c r="B400" s="23" t="s">
        <v>58</v>
      </c>
      <c r="C400" s="23"/>
      <c r="D400" s="23"/>
      <c r="E400" s="24" t="s">
        <v>59</v>
      </c>
      <c r="F400" s="25">
        <f>F401</f>
        <v>590.5</v>
      </c>
      <c r="G400" s="25">
        <f>G401</f>
        <v>2.5</v>
      </c>
      <c r="H400" s="57">
        <f t="shared" si="33"/>
        <v>588</v>
      </c>
      <c r="I400" s="59">
        <f t="shared" si="34"/>
        <v>0.004233700254022015</v>
      </c>
    </row>
    <row r="401" spans="1:9" ht="25.5">
      <c r="A401" s="23"/>
      <c r="B401" s="23"/>
      <c r="C401" s="23" t="s">
        <v>55</v>
      </c>
      <c r="D401" s="23"/>
      <c r="E401" s="24" t="s">
        <v>297</v>
      </c>
      <c r="F401" s="25">
        <f>F402+F405+F407</f>
        <v>590.5</v>
      </c>
      <c r="G401" s="25">
        <f>G402+G405+G407</f>
        <v>2.5</v>
      </c>
      <c r="H401" s="57">
        <f t="shared" si="33"/>
        <v>588</v>
      </c>
      <c r="I401" s="59">
        <f t="shared" si="34"/>
        <v>0.004233700254022015</v>
      </c>
    </row>
    <row r="402" spans="1:9" ht="12.75">
      <c r="A402" s="23"/>
      <c r="B402" s="23"/>
      <c r="C402" s="23" t="s">
        <v>170</v>
      </c>
      <c r="D402" s="23"/>
      <c r="E402" s="24" t="s">
        <v>171</v>
      </c>
      <c r="F402" s="25">
        <f>F403+F404</f>
        <v>191.5</v>
      </c>
      <c r="G402" s="25">
        <f>G403+G404</f>
        <v>1.5</v>
      </c>
      <c r="H402" s="57">
        <f t="shared" si="33"/>
        <v>190</v>
      </c>
      <c r="I402" s="59">
        <f t="shared" si="34"/>
        <v>0.007832898172323759</v>
      </c>
    </row>
    <row r="403" spans="1:9" ht="38.25">
      <c r="A403" s="23"/>
      <c r="B403" s="23"/>
      <c r="C403" s="23"/>
      <c r="D403" s="23" t="s">
        <v>43</v>
      </c>
      <c r="E403" s="24" t="s">
        <v>150</v>
      </c>
      <c r="F403" s="25">
        <v>190</v>
      </c>
      <c r="G403" s="25">
        <v>0</v>
      </c>
      <c r="H403" s="57">
        <f t="shared" si="33"/>
        <v>190</v>
      </c>
      <c r="I403" s="59">
        <f t="shared" si="34"/>
        <v>0</v>
      </c>
    </row>
    <row r="404" spans="1:9" ht="51">
      <c r="A404" s="23"/>
      <c r="B404" s="23"/>
      <c r="C404" s="23"/>
      <c r="D404" s="23" t="s">
        <v>65</v>
      </c>
      <c r="E404" s="24" t="s">
        <v>178</v>
      </c>
      <c r="F404" s="25">
        <v>1.5</v>
      </c>
      <c r="G404" s="25">
        <v>1.5</v>
      </c>
      <c r="H404" s="57">
        <f t="shared" si="33"/>
        <v>0</v>
      </c>
      <c r="I404" s="59">
        <f t="shared" si="34"/>
        <v>1</v>
      </c>
    </row>
    <row r="405" spans="1:9" ht="38.25">
      <c r="A405" s="23"/>
      <c r="B405" s="23"/>
      <c r="C405" s="23" t="s">
        <v>278</v>
      </c>
      <c r="D405" s="23"/>
      <c r="E405" s="24" t="s">
        <v>279</v>
      </c>
      <c r="F405" s="25">
        <f>F406</f>
        <v>398</v>
      </c>
      <c r="G405" s="25">
        <f>G406</f>
        <v>0</v>
      </c>
      <c r="H405" s="57">
        <f>F405-G405</f>
        <v>398</v>
      </c>
      <c r="I405" s="59">
        <f>G405/F405</f>
        <v>0</v>
      </c>
    </row>
    <row r="406" spans="1:9" ht="51">
      <c r="A406" s="23"/>
      <c r="B406" s="23"/>
      <c r="C406" s="23"/>
      <c r="D406" s="23" t="s">
        <v>65</v>
      </c>
      <c r="E406" s="24" t="s">
        <v>178</v>
      </c>
      <c r="F406" s="25">
        <v>398</v>
      </c>
      <c r="G406" s="25">
        <v>0</v>
      </c>
      <c r="H406" s="57">
        <f>F406-G406</f>
        <v>398</v>
      </c>
      <c r="I406" s="59">
        <f>G406/F406</f>
        <v>0</v>
      </c>
    </row>
    <row r="407" spans="1:9" ht="63.75">
      <c r="A407" s="23"/>
      <c r="B407" s="23"/>
      <c r="C407" s="23" t="s">
        <v>471</v>
      </c>
      <c r="D407" s="23"/>
      <c r="E407" s="24" t="s">
        <v>472</v>
      </c>
      <c r="F407" s="25">
        <f>F408</f>
        <v>1</v>
      </c>
      <c r="G407" s="25">
        <f>G408</f>
        <v>1</v>
      </c>
      <c r="H407" s="57">
        <f>F407-G407</f>
        <v>0</v>
      </c>
      <c r="I407" s="59">
        <f>G407/F407</f>
        <v>1</v>
      </c>
    </row>
    <row r="408" spans="1:9" ht="51">
      <c r="A408" s="23"/>
      <c r="B408" s="23"/>
      <c r="C408" s="23"/>
      <c r="D408" s="23" t="s">
        <v>65</v>
      </c>
      <c r="E408" s="24" t="s">
        <v>178</v>
      </c>
      <c r="F408" s="25">
        <v>1</v>
      </c>
      <c r="G408" s="25">
        <v>1</v>
      </c>
      <c r="H408" s="57">
        <f>F408-G408</f>
        <v>0</v>
      </c>
      <c r="I408" s="59">
        <f>G408/F408</f>
        <v>1</v>
      </c>
    </row>
    <row r="409" spans="1:9" ht="12.75">
      <c r="A409" s="23"/>
      <c r="B409" s="23" t="s">
        <v>97</v>
      </c>
      <c r="C409" s="23"/>
      <c r="D409" s="23"/>
      <c r="E409" s="24" t="s">
        <v>98</v>
      </c>
      <c r="F409" s="25">
        <f>F410+F435+F469+F481</f>
        <v>717557.5000000001</v>
      </c>
      <c r="G409" s="25">
        <f>G410+G435+G469+G481</f>
        <v>389120.9</v>
      </c>
      <c r="H409" s="57">
        <f t="shared" si="33"/>
        <v>328436.6000000001</v>
      </c>
      <c r="I409" s="59">
        <f t="shared" si="34"/>
        <v>0.5422853220822024</v>
      </c>
    </row>
    <row r="410" spans="1:9" ht="12.75">
      <c r="A410" s="23"/>
      <c r="B410" s="23" t="s">
        <v>99</v>
      </c>
      <c r="C410" s="23"/>
      <c r="D410" s="23"/>
      <c r="E410" s="24" t="s">
        <v>100</v>
      </c>
      <c r="F410" s="25">
        <f>F411+F421+F432+F428</f>
        <v>164496.3</v>
      </c>
      <c r="G410" s="25">
        <f>G411+G421+G432+G428</f>
        <v>98280.4</v>
      </c>
      <c r="H410" s="57">
        <f aca="true" t="shared" si="40" ref="H410:H482">F410-G410</f>
        <v>66215.9</v>
      </c>
      <c r="I410" s="59">
        <f aca="true" t="shared" si="41" ref="I410:I482">G410/F410</f>
        <v>0.5974626784918566</v>
      </c>
    </row>
    <row r="411" spans="1:9" ht="38.25">
      <c r="A411" s="23"/>
      <c r="B411" s="23"/>
      <c r="C411" s="23" t="s">
        <v>55</v>
      </c>
      <c r="D411" s="50"/>
      <c r="E411" s="49" t="s">
        <v>333</v>
      </c>
      <c r="F411" s="25">
        <f>F412+F418</f>
        <v>101256.09999999999</v>
      </c>
      <c r="G411" s="25">
        <f>G412+G418</f>
        <v>63821.399999999994</v>
      </c>
      <c r="H411" s="57">
        <f t="shared" si="40"/>
        <v>37434.7</v>
      </c>
      <c r="I411" s="59">
        <f t="shared" si="41"/>
        <v>0.6302968413754826</v>
      </c>
    </row>
    <row r="412" spans="1:9" ht="51">
      <c r="A412" s="23"/>
      <c r="B412" s="23"/>
      <c r="C412" s="23" t="s">
        <v>335</v>
      </c>
      <c r="D412" s="50"/>
      <c r="E412" s="49" t="s">
        <v>334</v>
      </c>
      <c r="F412" s="25">
        <f>F413+F416</f>
        <v>99814.59999999999</v>
      </c>
      <c r="G412" s="25">
        <f>G413+G416</f>
        <v>62886.7</v>
      </c>
      <c r="H412" s="57">
        <f t="shared" si="40"/>
        <v>36927.899999999994</v>
      </c>
      <c r="I412" s="59">
        <f t="shared" si="41"/>
        <v>0.6300350850476785</v>
      </c>
    </row>
    <row r="413" spans="1:9" ht="51">
      <c r="A413" s="23"/>
      <c r="B413" s="23"/>
      <c r="C413" s="23" t="s">
        <v>332</v>
      </c>
      <c r="D413" s="23"/>
      <c r="E413" s="24" t="s">
        <v>331</v>
      </c>
      <c r="F413" s="25">
        <f>SUM(F414:F415)</f>
        <v>720.4</v>
      </c>
      <c r="G413" s="25">
        <f>SUM(G414:G415)</f>
        <v>377</v>
      </c>
      <c r="H413" s="57">
        <f t="shared" si="40"/>
        <v>343.4</v>
      </c>
      <c r="I413" s="59">
        <f t="shared" si="41"/>
        <v>0.5233203775680177</v>
      </c>
    </row>
    <row r="414" spans="1:9" ht="25.5">
      <c r="A414" s="23"/>
      <c r="B414" s="23"/>
      <c r="C414" s="23"/>
      <c r="D414" s="23" t="s">
        <v>47</v>
      </c>
      <c r="E414" s="24" t="s">
        <v>48</v>
      </c>
      <c r="F414" s="25">
        <v>617.3</v>
      </c>
      <c r="G414" s="25">
        <v>321</v>
      </c>
      <c r="H414" s="57">
        <f t="shared" si="40"/>
        <v>296.29999999999995</v>
      </c>
      <c r="I414" s="59">
        <f t="shared" si="41"/>
        <v>0.5200064798315244</v>
      </c>
    </row>
    <row r="415" spans="1:9" ht="51">
      <c r="A415" s="23"/>
      <c r="B415" s="23"/>
      <c r="C415" s="23"/>
      <c r="D415" s="23" t="s">
        <v>65</v>
      </c>
      <c r="E415" s="24" t="s">
        <v>178</v>
      </c>
      <c r="F415" s="25">
        <f>25.8+77.3</f>
        <v>103.1</v>
      </c>
      <c r="G415" s="25">
        <v>56</v>
      </c>
      <c r="H415" s="57">
        <f t="shared" si="40"/>
        <v>47.099999999999994</v>
      </c>
      <c r="I415" s="59">
        <f t="shared" si="41"/>
        <v>0.5431619786614937</v>
      </c>
    </row>
    <row r="416" spans="1:9" ht="89.25">
      <c r="A416" s="23"/>
      <c r="B416" s="23"/>
      <c r="C416" s="23" t="s">
        <v>336</v>
      </c>
      <c r="D416" s="23"/>
      <c r="E416" s="24" t="s">
        <v>337</v>
      </c>
      <c r="F416" s="25">
        <f>F417</f>
        <v>99094.2</v>
      </c>
      <c r="G416" s="25">
        <f>G417</f>
        <v>62509.7</v>
      </c>
      <c r="H416" s="57">
        <f t="shared" si="40"/>
        <v>36584.5</v>
      </c>
      <c r="I416" s="59">
        <f t="shared" si="41"/>
        <v>0.6308108849962965</v>
      </c>
    </row>
    <row r="417" spans="1:9" ht="51">
      <c r="A417" s="23"/>
      <c r="B417" s="23"/>
      <c r="C417" s="23"/>
      <c r="D417" s="23" t="s">
        <v>65</v>
      </c>
      <c r="E417" s="24" t="s">
        <v>178</v>
      </c>
      <c r="F417" s="25">
        <f>51505.7+47588.5</f>
        <v>99094.2</v>
      </c>
      <c r="G417" s="25">
        <v>62509.7</v>
      </c>
      <c r="H417" s="57">
        <f t="shared" si="40"/>
        <v>36584.5</v>
      </c>
      <c r="I417" s="59">
        <f t="shared" si="41"/>
        <v>0.6308108849962965</v>
      </c>
    </row>
    <row r="418" spans="1:9" ht="51">
      <c r="A418" s="23"/>
      <c r="B418" s="23"/>
      <c r="C418" s="23" t="s">
        <v>339</v>
      </c>
      <c r="D418" s="50"/>
      <c r="E418" s="49" t="s">
        <v>340</v>
      </c>
      <c r="F418" s="25">
        <f>F419</f>
        <v>1441.5</v>
      </c>
      <c r="G418" s="25">
        <f>G419</f>
        <v>934.7</v>
      </c>
      <c r="H418" s="57">
        <f t="shared" si="40"/>
        <v>506.79999999999995</v>
      </c>
      <c r="I418" s="59">
        <f t="shared" si="41"/>
        <v>0.6484217828650711</v>
      </c>
    </row>
    <row r="419" spans="1:9" ht="51">
      <c r="A419" s="23"/>
      <c r="B419" s="23"/>
      <c r="C419" s="23" t="s">
        <v>338</v>
      </c>
      <c r="D419" s="23"/>
      <c r="E419" s="24" t="s">
        <v>103</v>
      </c>
      <c r="F419" s="25">
        <f>F420</f>
        <v>1441.5</v>
      </c>
      <c r="G419" s="25">
        <f>G420</f>
        <v>934.7</v>
      </c>
      <c r="H419" s="57">
        <f t="shared" si="40"/>
        <v>506.79999999999995</v>
      </c>
      <c r="I419" s="59">
        <f t="shared" si="41"/>
        <v>0.6484217828650711</v>
      </c>
    </row>
    <row r="420" spans="1:9" ht="51">
      <c r="A420" s="23"/>
      <c r="B420" s="23"/>
      <c r="C420" s="23"/>
      <c r="D420" s="23" t="s">
        <v>65</v>
      </c>
      <c r="E420" s="24" t="s">
        <v>178</v>
      </c>
      <c r="F420" s="25">
        <f>843.6+597.9</f>
        <v>1441.5</v>
      </c>
      <c r="G420" s="25">
        <v>934.7</v>
      </c>
      <c r="H420" s="57">
        <f t="shared" si="40"/>
        <v>506.79999999999995</v>
      </c>
      <c r="I420" s="59">
        <f t="shared" si="41"/>
        <v>0.6484217828650711</v>
      </c>
    </row>
    <row r="421" spans="1:9" ht="12.75">
      <c r="A421" s="23"/>
      <c r="B421" s="23"/>
      <c r="C421" s="23" t="s">
        <v>66</v>
      </c>
      <c r="D421" s="23"/>
      <c r="E421" s="24" t="s">
        <v>100</v>
      </c>
      <c r="F421" s="25">
        <f>F422+F424+F426</f>
        <v>62479.700000000004</v>
      </c>
      <c r="G421" s="25">
        <f>G422+G424+G426</f>
        <v>33698.5</v>
      </c>
      <c r="H421" s="57">
        <f t="shared" si="40"/>
        <v>28781.200000000004</v>
      </c>
      <c r="I421" s="59">
        <f t="shared" si="41"/>
        <v>0.5393511812636744</v>
      </c>
    </row>
    <row r="422" spans="1:9" ht="102">
      <c r="A422" s="23"/>
      <c r="B422" s="23"/>
      <c r="C422" s="23" t="s">
        <v>190</v>
      </c>
      <c r="D422" s="23"/>
      <c r="E422" s="24" t="s">
        <v>191</v>
      </c>
      <c r="F422" s="25">
        <f>F423</f>
        <v>41031.4</v>
      </c>
      <c r="G422" s="25">
        <f>G423</f>
        <v>20972.2</v>
      </c>
      <c r="H422" s="57">
        <f t="shared" si="40"/>
        <v>20059.2</v>
      </c>
      <c r="I422" s="59">
        <f t="shared" si="41"/>
        <v>0.5111256257402867</v>
      </c>
    </row>
    <row r="423" spans="1:9" ht="51">
      <c r="A423" s="23"/>
      <c r="B423" s="23"/>
      <c r="C423" s="23"/>
      <c r="D423" s="23" t="s">
        <v>65</v>
      </c>
      <c r="E423" s="24" t="s">
        <v>178</v>
      </c>
      <c r="F423" s="25">
        <v>41031.4</v>
      </c>
      <c r="G423" s="25">
        <v>20972.2</v>
      </c>
      <c r="H423" s="57">
        <f t="shared" si="40"/>
        <v>20059.2</v>
      </c>
      <c r="I423" s="59">
        <f t="shared" si="41"/>
        <v>0.5111256257402867</v>
      </c>
    </row>
    <row r="424" spans="1:9" ht="63.75">
      <c r="A424" s="23"/>
      <c r="B424" s="23"/>
      <c r="C424" s="23" t="s">
        <v>281</v>
      </c>
      <c r="D424" s="23"/>
      <c r="E424" s="24" t="s">
        <v>282</v>
      </c>
      <c r="F424" s="25">
        <f>F425</f>
        <v>18689.5</v>
      </c>
      <c r="G424" s="25">
        <f>G425</f>
        <v>9967.5</v>
      </c>
      <c r="H424" s="57">
        <f t="shared" si="40"/>
        <v>8722</v>
      </c>
      <c r="I424" s="59">
        <f t="shared" si="41"/>
        <v>0.5333208486048316</v>
      </c>
    </row>
    <row r="425" spans="1:9" ht="25.5">
      <c r="A425" s="23"/>
      <c r="B425" s="23"/>
      <c r="C425" s="23"/>
      <c r="D425" s="23" t="s">
        <v>47</v>
      </c>
      <c r="E425" s="24" t="s">
        <v>48</v>
      </c>
      <c r="F425" s="25">
        <f>14669.2+4020.3</f>
        <v>18689.5</v>
      </c>
      <c r="G425" s="25">
        <v>9967.5</v>
      </c>
      <c r="H425" s="57">
        <f t="shared" si="40"/>
        <v>8722</v>
      </c>
      <c r="I425" s="59">
        <f t="shared" si="41"/>
        <v>0.5333208486048316</v>
      </c>
    </row>
    <row r="426" spans="1:9" ht="89.25">
      <c r="A426" s="23"/>
      <c r="B426" s="23"/>
      <c r="C426" s="26" t="s">
        <v>436</v>
      </c>
      <c r="D426" s="26"/>
      <c r="E426" s="53" t="s">
        <v>449</v>
      </c>
      <c r="F426" s="25">
        <f>F427</f>
        <v>2758.8</v>
      </c>
      <c r="G426" s="25">
        <f>G427</f>
        <v>2758.8</v>
      </c>
      <c r="H426" s="57">
        <f t="shared" si="40"/>
        <v>0</v>
      </c>
      <c r="I426" s="59">
        <f t="shared" si="41"/>
        <v>1</v>
      </c>
    </row>
    <row r="427" spans="1:9" ht="51">
      <c r="A427" s="23"/>
      <c r="B427" s="23"/>
      <c r="C427" s="26"/>
      <c r="D427" s="26" t="s">
        <v>65</v>
      </c>
      <c r="E427" s="24" t="s">
        <v>178</v>
      </c>
      <c r="F427" s="25">
        <v>2758.8</v>
      </c>
      <c r="G427" s="25">
        <v>2758.8</v>
      </c>
      <c r="H427" s="57">
        <f t="shared" si="40"/>
        <v>0</v>
      </c>
      <c r="I427" s="59">
        <f t="shared" si="41"/>
        <v>1</v>
      </c>
    </row>
    <row r="428" spans="1:9" ht="38.25">
      <c r="A428" s="23"/>
      <c r="B428" s="23"/>
      <c r="C428" s="23" t="s">
        <v>71</v>
      </c>
      <c r="D428" s="23"/>
      <c r="E428" s="49" t="s">
        <v>1057</v>
      </c>
      <c r="F428" s="25">
        <f aca="true" t="shared" si="42" ref="F428:G430">F429</f>
        <v>498</v>
      </c>
      <c r="G428" s="25">
        <f t="shared" si="42"/>
        <v>498</v>
      </c>
      <c r="H428" s="57">
        <f>F428-G428</f>
        <v>0</v>
      </c>
      <c r="I428" s="59">
        <f>G428/F428</f>
        <v>1</v>
      </c>
    </row>
    <row r="429" spans="1:9" ht="66" customHeight="1">
      <c r="A429" s="23"/>
      <c r="B429" s="23"/>
      <c r="C429" s="23" t="s">
        <v>1027</v>
      </c>
      <c r="D429" s="23"/>
      <c r="E429" s="49" t="s">
        <v>1058</v>
      </c>
      <c r="F429" s="25">
        <f t="shared" si="42"/>
        <v>498</v>
      </c>
      <c r="G429" s="25">
        <f t="shared" si="42"/>
        <v>498</v>
      </c>
      <c r="H429" s="57">
        <f>F429-G429</f>
        <v>0</v>
      </c>
      <c r="I429" s="59">
        <f>G429/F429</f>
        <v>1</v>
      </c>
    </row>
    <row r="430" spans="1:9" ht="102.75" customHeight="1">
      <c r="A430" s="23"/>
      <c r="B430" s="23"/>
      <c r="C430" s="23" t="s">
        <v>1028</v>
      </c>
      <c r="D430" s="23"/>
      <c r="E430" s="49" t="s">
        <v>1059</v>
      </c>
      <c r="F430" s="25">
        <f t="shared" si="42"/>
        <v>498</v>
      </c>
      <c r="G430" s="25">
        <f t="shared" si="42"/>
        <v>498</v>
      </c>
      <c r="H430" s="57">
        <f>F430-G430</f>
        <v>0</v>
      </c>
      <c r="I430" s="59">
        <f>G430/F430</f>
        <v>1</v>
      </c>
    </row>
    <row r="431" spans="1:9" ht="51">
      <c r="A431" s="23"/>
      <c r="B431" s="23"/>
      <c r="C431" s="23"/>
      <c r="D431" s="26" t="s">
        <v>65</v>
      </c>
      <c r="E431" s="24" t="s">
        <v>178</v>
      </c>
      <c r="F431" s="25">
        <v>498</v>
      </c>
      <c r="G431" s="25">
        <v>498</v>
      </c>
      <c r="H431" s="57">
        <f>F431-G431</f>
        <v>0</v>
      </c>
      <c r="I431" s="59">
        <f>G431/F431</f>
        <v>1</v>
      </c>
    </row>
    <row r="432" spans="1:9" ht="51.75" customHeight="1">
      <c r="A432" s="23"/>
      <c r="B432" s="23"/>
      <c r="C432" s="23" t="s">
        <v>475</v>
      </c>
      <c r="D432" s="23"/>
      <c r="E432" s="49" t="s">
        <v>478</v>
      </c>
      <c r="F432" s="25">
        <f>F433</f>
        <v>262.5</v>
      </c>
      <c r="G432" s="25">
        <f>G433</f>
        <v>262.5</v>
      </c>
      <c r="H432" s="57">
        <f t="shared" si="40"/>
        <v>0</v>
      </c>
      <c r="I432" s="59">
        <f t="shared" si="41"/>
        <v>1</v>
      </c>
    </row>
    <row r="433" spans="1:9" ht="63.75">
      <c r="A433" s="23"/>
      <c r="B433" s="23"/>
      <c r="C433" s="23" t="s">
        <v>477</v>
      </c>
      <c r="D433" s="23"/>
      <c r="E433" s="24" t="s">
        <v>476</v>
      </c>
      <c r="F433" s="25">
        <f>F434</f>
        <v>262.5</v>
      </c>
      <c r="G433" s="25">
        <f>G434</f>
        <v>262.5</v>
      </c>
      <c r="H433" s="57">
        <f t="shared" si="40"/>
        <v>0</v>
      </c>
      <c r="I433" s="59">
        <f t="shared" si="41"/>
        <v>1</v>
      </c>
    </row>
    <row r="434" spans="1:9" ht="51">
      <c r="A434" s="23"/>
      <c r="B434" s="23"/>
      <c r="C434" s="23"/>
      <c r="D434" s="26" t="s">
        <v>65</v>
      </c>
      <c r="E434" s="24" t="s">
        <v>178</v>
      </c>
      <c r="F434" s="25">
        <v>262.5</v>
      </c>
      <c r="G434" s="25">
        <v>262.5</v>
      </c>
      <c r="H434" s="57">
        <f t="shared" si="40"/>
        <v>0</v>
      </c>
      <c r="I434" s="59">
        <f t="shared" si="41"/>
        <v>1</v>
      </c>
    </row>
    <row r="435" spans="1:9" ht="12.75">
      <c r="A435" s="23"/>
      <c r="B435" s="23" t="s">
        <v>101</v>
      </c>
      <c r="C435" s="23"/>
      <c r="D435" s="23"/>
      <c r="E435" s="24" t="s">
        <v>102</v>
      </c>
      <c r="F435" s="25">
        <f>F436+F449+F456+F459+F466+F462</f>
        <v>525857.8</v>
      </c>
      <c r="G435" s="25">
        <f>G436+G449+G456+G459+G466+G462</f>
        <v>279129.1</v>
      </c>
      <c r="H435" s="57">
        <f t="shared" si="40"/>
        <v>246728.70000000007</v>
      </c>
      <c r="I435" s="59">
        <f t="shared" si="41"/>
        <v>0.5308071877986785</v>
      </c>
    </row>
    <row r="436" spans="1:9" ht="38.25">
      <c r="A436" s="23"/>
      <c r="B436" s="23"/>
      <c r="C436" s="23" t="s">
        <v>55</v>
      </c>
      <c r="D436" s="50"/>
      <c r="E436" s="49" t="s">
        <v>333</v>
      </c>
      <c r="F436" s="25">
        <f>F437+F446</f>
        <v>415123.30000000005</v>
      </c>
      <c r="G436" s="25">
        <f>G437+G446</f>
        <v>225963.19999999998</v>
      </c>
      <c r="H436" s="57">
        <f t="shared" si="40"/>
        <v>189160.10000000006</v>
      </c>
      <c r="I436" s="59">
        <f t="shared" si="41"/>
        <v>0.5443279141402083</v>
      </c>
    </row>
    <row r="437" spans="1:9" ht="51">
      <c r="A437" s="23"/>
      <c r="B437" s="23"/>
      <c r="C437" s="23" t="s">
        <v>342</v>
      </c>
      <c r="D437" s="50"/>
      <c r="E437" s="49" t="s">
        <v>343</v>
      </c>
      <c r="F437" s="25">
        <f>F438+F440+F444+F442</f>
        <v>405912.00000000006</v>
      </c>
      <c r="G437" s="25">
        <f>G438+G440+G444+G442</f>
        <v>220527.8</v>
      </c>
      <c r="H437" s="57">
        <f t="shared" si="40"/>
        <v>185384.20000000007</v>
      </c>
      <c r="I437" s="59">
        <f t="shared" si="41"/>
        <v>0.5432896785510158</v>
      </c>
    </row>
    <row r="438" spans="1:9" ht="104.25" customHeight="1">
      <c r="A438" s="23"/>
      <c r="B438" s="23"/>
      <c r="C438" s="23" t="s">
        <v>341</v>
      </c>
      <c r="D438" s="23"/>
      <c r="E438" s="24" t="s">
        <v>247</v>
      </c>
      <c r="F438" s="25">
        <f>F439</f>
        <v>370195</v>
      </c>
      <c r="G438" s="25">
        <f>G439</f>
        <v>200225.8</v>
      </c>
      <c r="H438" s="57">
        <f t="shared" si="40"/>
        <v>169969.2</v>
      </c>
      <c r="I438" s="59">
        <f t="shared" si="41"/>
        <v>0.5408657599373303</v>
      </c>
    </row>
    <row r="439" spans="1:9" ht="51">
      <c r="A439" s="23"/>
      <c r="B439" s="23"/>
      <c r="C439" s="23"/>
      <c r="D439" s="23" t="s">
        <v>65</v>
      </c>
      <c r="E439" s="24" t="s">
        <v>178</v>
      </c>
      <c r="F439" s="25">
        <f>209660.2+160534.8</f>
        <v>370195</v>
      </c>
      <c r="G439" s="25">
        <v>200225.8</v>
      </c>
      <c r="H439" s="57">
        <f t="shared" si="40"/>
        <v>169969.2</v>
      </c>
      <c r="I439" s="59">
        <f t="shared" si="41"/>
        <v>0.5408657599373303</v>
      </c>
    </row>
    <row r="440" spans="1:9" ht="191.25">
      <c r="A440" s="23"/>
      <c r="B440" s="23"/>
      <c r="C440" s="23" t="s">
        <v>344</v>
      </c>
      <c r="D440" s="23"/>
      <c r="E440" s="24" t="s">
        <v>248</v>
      </c>
      <c r="F440" s="25">
        <f>F441</f>
        <v>26054.7</v>
      </c>
      <c r="G440" s="25">
        <f>G441</f>
        <v>14968.7</v>
      </c>
      <c r="H440" s="57">
        <f t="shared" si="40"/>
        <v>11086</v>
      </c>
      <c r="I440" s="59">
        <f t="shared" si="41"/>
        <v>0.5745105489604563</v>
      </c>
    </row>
    <row r="441" spans="1:9" ht="51">
      <c r="A441" s="23"/>
      <c r="B441" s="23"/>
      <c r="C441" s="23"/>
      <c r="D441" s="23" t="s">
        <v>65</v>
      </c>
      <c r="E441" s="24" t="s">
        <v>178</v>
      </c>
      <c r="F441" s="25">
        <v>26054.7</v>
      </c>
      <c r="G441" s="25">
        <v>14968.7</v>
      </c>
      <c r="H441" s="57">
        <f t="shared" si="40"/>
        <v>11086</v>
      </c>
      <c r="I441" s="59">
        <f t="shared" si="41"/>
        <v>0.5745105489604563</v>
      </c>
    </row>
    <row r="442" spans="1:9" ht="38.25">
      <c r="A442" s="23"/>
      <c r="B442" s="23"/>
      <c r="C442" s="23" t="s">
        <v>353</v>
      </c>
      <c r="D442" s="23"/>
      <c r="E442" s="24" t="s">
        <v>144</v>
      </c>
      <c r="F442" s="25">
        <f>F443</f>
        <v>19.4</v>
      </c>
      <c r="G442" s="25">
        <f>G443</f>
        <v>9.3</v>
      </c>
      <c r="H442" s="57">
        <f t="shared" si="40"/>
        <v>10.099999999999998</v>
      </c>
      <c r="I442" s="59">
        <f t="shared" si="41"/>
        <v>0.47938144329896915</v>
      </c>
    </row>
    <row r="443" spans="1:9" ht="51">
      <c r="A443" s="23"/>
      <c r="B443" s="23"/>
      <c r="C443" s="23"/>
      <c r="D443" s="23" t="s">
        <v>65</v>
      </c>
      <c r="E443" s="24" t="s">
        <v>178</v>
      </c>
      <c r="F443" s="25">
        <f>8+11.4</f>
        <v>19.4</v>
      </c>
      <c r="G443" s="25">
        <v>9.3</v>
      </c>
      <c r="H443" s="57">
        <f t="shared" si="40"/>
        <v>10.099999999999998</v>
      </c>
      <c r="I443" s="59">
        <f t="shared" si="41"/>
        <v>0.47938144329896915</v>
      </c>
    </row>
    <row r="444" spans="1:9" ht="63.75">
      <c r="A444" s="23"/>
      <c r="B444" s="23"/>
      <c r="C444" s="23" t="s">
        <v>345</v>
      </c>
      <c r="D444" s="23"/>
      <c r="E444" s="24" t="s">
        <v>346</v>
      </c>
      <c r="F444" s="25">
        <f>F445</f>
        <v>9642.900000000001</v>
      </c>
      <c r="G444" s="25">
        <f>G445</f>
        <v>5324</v>
      </c>
      <c r="H444" s="57">
        <f t="shared" si="40"/>
        <v>4318.9000000000015</v>
      </c>
      <c r="I444" s="59">
        <f t="shared" si="41"/>
        <v>0.5521160646693422</v>
      </c>
    </row>
    <row r="445" spans="1:9" ht="51">
      <c r="A445" s="23"/>
      <c r="B445" s="23"/>
      <c r="C445" s="23"/>
      <c r="D445" s="23" t="s">
        <v>65</v>
      </c>
      <c r="E445" s="24" t="s">
        <v>178</v>
      </c>
      <c r="F445" s="25">
        <f>4854.8+4788.1</f>
        <v>9642.900000000001</v>
      </c>
      <c r="G445" s="25">
        <v>5324</v>
      </c>
      <c r="H445" s="57">
        <f t="shared" si="40"/>
        <v>4318.9000000000015</v>
      </c>
      <c r="I445" s="59">
        <f t="shared" si="41"/>
        <v>0.5521160646693422</v>
      </c>
    </row>
    <row r="446" spans="1:9" ht="51">
      <c r="A446" s="23"/>
      <c r="B446" s="23"/>
      <c r="C446" s="23" t="s">
        <v>339</v>
      </c>
      <c r="D446" s="50"/>
      <c r="E446" s="49" t="s">
        <v>340</v>
      </c>
      <c r="F446" s="25">
        <f>F447</f>
        <v>9211.3</v>
      </c>
      <c r="G446" s="25">
        <f>G447</f>
        <v>5435.4</v>
      </c>
      <c r="H446" s="57">
        <f t="shared" si="40"/>
        <v>3775.8999999999996</v>
      </c>
      <c r="I446" s="59">
        <f t="shared" si="41"/>
        <v>0.5900795761727443</v>
      </c>
    </row>
    <row r="447" spans="1:9" ht="51">
      <c r="A447" s="23"/>
      <c r="B447" s="23"/>
      <c r="C447" s="23" t="s">
        <v>338</v>
      </c>
      <c r="D447" s="23"/>
      <c r="E447" s="24" t="s">
        <v>103</v>
      </c>
      <c r="F447" s="25">
        <f>F448</f>
        <v>9211.3</v>
      </c>
      <c r="G447" s="25">
        <f>G448</f>
        <v>5435.4</v>
      </c>
      <c r="H447" s="57">
        <f t="shared" si="40"/>
        <v>3775.8999999999996</v>
      </c>
      <c r="I447" s="59">
        <f t="shared" si="41"/>
        <v>0.5900795761727443</v>
      </c>
    </row>
    <row r="448" spans="1:9" ht="51">
      <c r="A448" s="23"/>
      <c r="B448" s="23"/>
      <c r="C448" s="23"/>
      <c r="D448" s="23" t="s">
        <v>65</v>
      </c>
      <c r="E448" s="24" t="s">
        <v>178</v>
      </c>
      <c r="F448" s="25">
        <f>4355.1+4856.2</f>
        <v>9211.3</v>
      </c>
      <c r="G448" s="25">
        <v>5435.4</v>
      </c>
      <c r="H448" s="57">
        <f t="shared" si="40"/>
        <v>3775.8999999999996</v>
      </c>
      <c r="I448" s="59">
        <f t="shared" si="41"/>
        <v>0.5900795761727443</v>
      </c>
    </row>
    <row r="449" spans="1:9" ht="12.75">
      <c r="A449" s="23"/>
      <c r="B449" s="23"/>
      <c r="C449" s="23" t="s">
        <v>67</v>
      </c>
      <c r="D449" s="23"/>
      <c r="E449" s="24" t="s">
        <v>102</v>
      </c>
      <c r="F449" s="25">
        <f>F450+F452+F454</f>
        <v>98091.79999999999</v>
      </c>
      <c r="G449" s="25">
        <f>G450+G452+G454</f>
        <v>45641.299999999996</v>
      </c>
      <c r="H449" s="57">
        <f t="shared" si="40"/>
        <v>52450.49999999999</v>
      </c>
      <c r="I449" s="59">
        <f t="shared" si="41"/>
        <v>0.4652916961458552</v>
      </c>
    </row>
    <row r="450" spans="1:9" ht="105" customHeight="1">
      <c r="A450" s="23"/>
      <c r="B450" s="23"/>
      <c r="C450" s="23" t="s">
        <v>192</v>
      </c>
      <c r="D450" s="23"/>
      <c r="E450" s="24" t="s">
        <v>193</v>
      </c>
      <c r="F450" s="25">
        <f>F451</f>
        <v>86921.2</v>
      </c>
      <c r="G450" s="25">
        <f>G451</f>
        <v>42261.6</v>
      </c>
      <c r="H450" s="57">
        <f t="shared" si="40"/>
        <v>44659.6</v>
      </c>
      <c r="I450" s="59">
        <f t="shared" si="41"/>
        <v>0.48620589683529447</v>
      </c>
    </row>
    <row r="451" spans="1:9" ht="51">
      <c r="A451" s="23"/>
      <c r="B451" s="23"/>
      <c r="C451" s="23"/>
      <c r="D451" s="23" t="s">
        <v>65</v>
      </c>
      <c r="E451" s="24" t="s">
        <v>178</v>
      </c>
      <c r="F451" s="25">
        <v>86921.2</v>
      </c>
      <c r="G451" s="25">
        <v>42261.6</v>
      </c>
      <c r="H451" s="57">
        <f t="shared" si="40"/>
        <v>44659.6</v>
      </c>
      <c r="I451" s="59">
        <f t="shared" si="41"/>
        <v>0.48620589683529447</v>
      </c>
    </row>
    <row r="452" spans="1:9" ht="102">
      <c r="A452" s="23"/>
      <c r="B452" s="23"/>
      <c r="C452" s="23" t="s">
        <v>197</v>
      </c>
      <c r="D452" s="23"/>
      <c r="E452" s="24" t="s">
        <v>280</v>
      </c>
      <c r="F452" s="25">
        <f>F453</f>
        <v>798.7</v>
      </c>
      <c r="G452" s="25">
        <f>G453</f>
        <v>264.7</v>
      </c>
      <c r="H452" s="57">
        <f t="shared" si="40"/>
        <v>534</v>
      </c>
      <c r="I452" s="59">
        <f t="shared" si="41"/>
        <v>0.3314135470138975</v>
      </c>
    </row>
    <row r="453" spans="1:9" ht="25.5">
      <c r="A453" s="23"/>
      <c r="B453" s="23"/>
      <c r="C453" s="23"/>
      <c r="D453" s="23" t="s">
        <v>47</v>
      </c>
      <c r="E453" s="24" t="s">
        <v>48</v>
      </c>
      <c r="F453" s="25">
        <v>798.7</v>
      </c>
      <c r="G453" s="25">
        <v>264.7</v>
      </c>
      <c r="H453" s="57">
        <f t="shared" si="40"/>
        <v>534</v>
      </c>
      <c r="I453" s="59">
        <f t="shared" si="41"/>
        <v>0.3314135470138975</v>
      </c>
    </row>
    <row r="454" spans="1:9" ht="89.25">
      <c r="A454" s="23"/>
      <c r="B454" s="23"/>
      <c r="C454" s="26" t="s">
        <v>437</v>
      </c>
      <c r="D454" s="26"/>
      <c r="E454" s="53" t="s">
        <v>450</v>
      </c>
      <c r="F454" s="25">
        <f>F455</f>
        <v>10371.9</v>
      </c>
      <c r="G454" s="25">
        <f>G455</f>
        <v>3115</v>
      </c>
      <c r="H454" s="57">
        <f t="shared" si="40"/>
        <v>7256.9</v>
      </c>
      <c r="I454" s="59">
        <f t="shared" si="41"/>
        <v>0.30033070122156985</v>
      </c>
    </row>
    <row r="455" spans="1:9" ht="51">
      <c r="A455" s="23"/>
      <c r="B455" s="23"/>
      <c r="C455" s="26"/>
      <c r="D455" s="26" t="s">
        <v>65</v>
      </c>
      <c r="E455" s="24" t="s">
        <v>178</v>
      </c>
      <c r="F455" s="25">
        <v>10371.9</v>
      </c>
      <c r="G455" s="25">
        <v>3115</v>
      </c>
      <c r="H455" s="57">
        <f t="shared" si="40"/>
        <v>7256.9</v>
      </c>
      <c r="I455" s="59">
        <f t="shared" si="41"/>
        <v>0.30033070122156985</v>
      </c>
    </row>
    <row r="456" spans="1:9" ht="12.75">
      <c r="A456" s="23"/>
      <c r="B456" s="23"/>
      <c r="C456" s="23" t="s">
        <v>68</v>
      </c>
      <c r="D456" s="23"/>
      <c r="E456" s="24" t="s">
        <v>347</v>
      </c>
      <c r="F456" s="25">
        <f>F457</f>
        <v>10787.2</v>
      </c>
      <c r="G456" s="25">
        <f>G457</f>
        <v>5732.4</v>
      </c>
      <c r="H456" s="57">
        <f t="shared" si="40"/>
        <v>5054.800000000001</v>
      </c>
      <c r="I456" s="59">
        <f t="shared" si="41"/>
        <v>0.5314075941857015</v>
      </c>
    </row>
    <row r="457" spans="1:9" ht="76.5">
      <c r="A457" s="23"/>
      <c r="B457" s="23"/>
      <c r="C457" s="23" t="s">
        <v>194</v>
      </c>
      <c r="D457" s="23"/>
      <c r="E457" s="24" t="s">
        <v>195</v>
      </c>
      <c r="F457" s="25">
        <f>F458</f>
        <v>10787.2</v>
      </c>
      <c r="G457" s="25">
        <f>G458</f>
        <v>5732.4</v>
      </c>
      <c r="H457" s="57">
        <f t="shared" si="40"/>
        <v>5054.800000000001</v>
      </c>
      <c r="I457" s="59">
        <f t="shared" si="41"/>
        <v>0.5314075941857015</v>
      </c>
    </row>
    <row r="458" spans="1:9" ht="51">
      <c r="A458" s="23"/>
      <c r="B458" s="23"/>
      <c r="C458" s="23"/>
      <c r="D458" s="23" t="s">
        <v>65</v>
      </c>
      <c r="E458" s="24" t="s">
        <v>178</v>
      </c>
      <c r="F458" s="25">
        <v>10787.2</v>
      </c>
      <c r="G458" s="25">
        <v>5732.4</v>
      </c>
      <c r="H458" s="57">
        <f t="shared" si="40"/>
        <v>5054.800000000001</v>
      </c>
      <c r="I458" s="59">
        <f t="shared" si="41"/>
        <v>0.5314075941857015</v>
      </c>
    </row>
    <row r="459" spans="1:9" ht="25.5">
      <c r="A459" s="23"/>
      <c r="B459" s="23"/>
      <c r="C459" s="23" t="s">
        <v>71</v>
      </c>
      <c r="D459" s="23"/>
      <c r="E459" s="24" t="s">
        <v>110</v>
      </c>
      <c r="F459" s="25">
        <f>F460</f>
        <v>104.4</v>
      </c>
      <c r="G459" s="25">
        <f>G460</f>
        <v>41.1</v>
      </c>
      <c r="H459" s="57">
        <f t="shared" si="40"/>
        <v>63.300000000000004</v>
      </c>
      <c r="I459" s="59">
        <f t="shared" si="41"/>
        <v>0.3936781609195402</v>
      </c>
    </row>
    <row r="460" spans="1:9" ht="63.75">
      <c r="A460" s="23"/>
      <c r="B460" s="23"/>
      <c r="C460" s="23" t="s">
        <v>198</v>
      </c>
      <c r="D460" s="23"/>
      <c r="E460" s="24" t="s">
        <v>348</v>
      </c>
      <c r="F460" s="25">
        <f>F461</f>
        <v>104.4</v>
      </c>
      <c r="G460" s="25">
        <f>G461</f>
        <v>41.1</v>
      </c>
      <c r="H460" s="57">
        <f t="shared" si="40"/>
        <v>63.300000000000004</v>
      </c>
      <c r="I460" s="59">
        <f t="shared" si="41"/>
        <v>0.3936781609195402</v>
      </c>
    </row>
    <row r="461" spans="1:9" ht="51">
      <c r="A461" s="23"/>
      <c r="B461" s="23"/>
      <c r="C461" s="23"/>
      <c r="D461" s="23" t="s">
        <v>65</v>
      </c>
      <c r="E461" s="24" t="s">
        <v>178</v>
      </c>
      <c r="F461" s="25">
        <v>104.4</v>
      </c>
      <c r="G461" s="25">
        <v>41.1</v>
      </c>
      <c r="H461" s="57">
        <f t="shared" si="40"/>
        <v>63.300000000000004</v>
      </c>
      <c r="I461" s="59">
        <f t="shared" si="41"/>
        <v>0.3936781609195402</v>
      </c>
    </row>
    <row r="462" spans="1:9" ht="38.25">
      <c r="A462" s="23"/>
      <c r="B462" s="23"/>
      <c r="C462" s="23" t="s">
        <v>71</v>
      </c>
      <c r="D462" s="23"/>
      <c r="E462" s="49" t="s">
        <v>1057</v>
      </c>
      <c r="F462" s="25">
        <f aca="true" t="shared" si="43" ref="F462:G464">F463</f>
        <v>109</v>
      </c>
      <c r="G462" s="25">
        <f t="shared" si="43"/>
        <v>109</v>
      </c>
      <c r="H462" s="57">
        <f>F462-G462</f>
        <v>0</v>
      </c>
      <c r="I462" s="59">
        <f>G462/F462</f>
        <v>1</v>
      </c>
    </row>
    <row r="463" spans="1:9" ht="66.75" customHeight="1">
      <c r="A463" s="23"/>
      <c r="B463" s="23"/>
      <c r="C463" s="23" t="s">
        <v>1027</v>
      </c>
      <c r="D463" s="23"/>
      <c r="E463" s="49" t="s">
        <v>1058</v>
      </c>
      <c r="F463" s="25">
        <f t="shared" si="43"/>
        <v>109</v>
      </c>
      <c r="G463" s="25">
        <f t="shared" si="43"/>
        <v>109</v>
      </c>
      <c r="H463" s="57">
        <f>F463-G463</f>
        <v>0</v>
      </c>
      <c r="I463" s="59">
        <f>G463/F463</f>
        <v>1</v>
      </c>
    </row>
    <row r="464" spans="1:9" ht="102" customHeight="1">
      <c r="A464" s="23"/>
      <c r="B464" s="23"/>
      <c r="C464" s="23" t="s">
        <v>1028</v>
      </c>
      <c r="D464" s="23"/>
      <c r="E464" s="49" t="s">
        <v>1059</v>
      </c>
      <c r="F464" s="25">
        <f t="shared" si="43"/>
        <v>109</v>
      </c>
      <c r="G464" s="25">
        <f t="shared" si="43"/>
        <v>109</v>
      </c>
      <c r="H464" s="57">
        <f>F464-G464</f>
        <v>0</v>
      </c>
      <c r="I464" s="59">
        <f>G464/F464</f>
        <v>1</v>
      </c>
    </row>
    <row r="465" spans="1:9" ht="51">
      <c r="A465" s="23"/>
      <c r="B465" s="23"/>
      <c r="C465" s="23"/>
      <c r="D465" s="23" t="s">
        <v>65</v>
      </c>
      <c r="E465" s="24" t="s">
        <v>178</v>
      </c>
      <c r="F465" s="25">
        <v>109</v>
      </c>
      <c r="G465" s="25">
        <v>109</v>
      </c>
      <c r="H465" s="57">
        <f>F465-G465</f>
        <v>0</v>
      </c>
      <c r="I465" s="59">
        <f>G465/F465</f>
        <v>1</v>
      </c>
    </row>
    <row r="466" spans="1:9" ht="53.25" customHeight="1">
      <c r="A466" s="23"/>
      <c r="B466" s="23"/>
      <c r="C466" s="23" t="s">
        <v>475</v>
      </c>
      <c r="D466" s="23"/>
      <c r="E466" s="49" t="s">
        <v>478</v>
      </c>
      <c r="F466" s="25">
        <f>F467</f>
        <v>1642.1</v>
      </c>
      <c r="G466" s="25">
        <f>G467</f>
        <v>1642.1</v>
      </c>
      <c r="H466" s="57">
        <f t="shared" si="40"/>
        <v>0</v>
      </c>
      <c r="I466" s="59">
        <f t="shared" si="41"/>
        <v>1</v>
      </c>
    </row>
    <row r="467" spans="1:9" ht="63.75">
      <c r="A467" s="23"/>
      <c r="B467" s="23"/>
      <c r="C467" s="23" t="s">
        <v>477</v>
      </c>
      <c r="D467" s="23"/>
      <c r="E467" s="24" t="s">
        <v>476</v>
      </c>
      <c r="F467" s="25">
        <f>F468</f>
        <v>1642.1</v>
      </c>
      <c r="G467" s="25">
        <f>G468</f>
        <v>1642.1</v>
      </c>
      <c r="H467" s="57">
        <f t="shared" si="40"/>
        <v>0</v>
      </c>
      <c r="I467" s="59">
        <f t="shared" si="41"/>
        <v>1</v>
      </c>
    </row>
    <row r="468" spans="1:9" ht="51">
      <c r="A468" s="23"/>
      <c r="B468" s="23"/>
      <c r="C468" s="23"/>
      <c r="D468" s="26" t="s">
        <v>65</v>
      </c>
      <c r="E468" s="24" t="s">
        <v>178</v>
      </c>
      <c r="F468" s="25">
        <v>1642.1</v>
      </c>
      <c r="G468" s="25">
        <v>1642.1</v>
      </c>
      <c r="H468" s="57">
        <f t="shared" si="40"/>
        <v>0</v>
      </c>
      <c r="I468" s="59">
        <f t="shared" si="41"/>
        <v>1</v>
      </c>
    </row>
    <row r="469" spans="1:9" ht="25.5">
      <c r="A469" s="23"/>
      <c r="B469" s="23" t="s">
        <v>105</v>
      </c>
      <c r="C469" s="23"/>
      <c r="D469" s="23"/>
      <c r="E469" s="24" t="s">
        <v>106</v>
      </c>
      <c r="F469" s="25">
        <f>F470+F477</f>
        <v>12982.1</v>
      </c>
      <c r="G469" s="25">
        <f>G470+G477</f>
        <v>4661.200000000001</v>
      </c>
      <c r="H469" s="57">
        <f t="shared" si="40"/>
        <v>8320.9</v>
      </c>
      <c r="I469" s="59">
        <f t="shared" si="41"/>
        <v>0.3590482279446315</v>
      </c>
    </row>
    <row r="470" spans="1:9" ht="38.25">
      <c r="A470" s="23"/>
      <c r="B470" s="23"/>
      <c r="C470" s="23" t="s">
        <v>62</v>
      </c>
      <c r="D470" s="50"/>
      <c r="E470" s="49" t="s">
        <v>307</v>
      </c>
      <c r="F470" s="25">
        <f>F471</f>
        <v>10044.6</v>
      </c>
      <c r="G470" s="25">
        <f>G471</f>
        <v>3526.2000000000003</v>
      </c>
      <c r="H470" s="57">
        <f t="shared" si="40"/>
        <v>6518.4</v>
      </c>
      <c r="I470" s="59">
        <f t="shared" si="41"/>
        <v>0.35105429783167075</v>
      </c>
    </row>
    <row r="471" spans="1:9" ht="63.75">
      <c r="A471" s="23"/>
      <c r="B471" s="23"/>
      <c r="C471" s="23" t="s">
        <v>351</v>
      </c>
      <c r="D471" s="50"/>
      <c r="E471" s="49" t="s">
        <v>352</v>
      </c>
      <c r="F471" s="25">
        <f>F472</f>
        <v>10044.6</v>
      </c>
      <c r="G471" s="25">
        <f>G472</f>
        <v>3526.2000000000003</v>
      </c>
      <c r="H471" s="57">
        <f t="shared" si="40"/>
        <v>6518.4</v>
      </c>
      <c r="I471" s="59">
        <f t="shared" si="41"/>
        <v>0.35105429783167075</v>
      </c>
    </row>
    <row r="472" spans="1:9" ht="25.5">
      <c r="A472" s="23"/>
      <c r="B472" s="23"/>
      <c r="C472" s="23" t="s">
        <v>350</v>
      </c>
      <c r="D472" s="23"/>
      <c r="E472" s="24" t="s">
        <v>108</v>
      </c>
      <c r="F472" s="25">
        <f>SUM(F473:F476)</f>
        <v>10044.6</v>
      </c>
      <c r="G472" s="25">
        <f>SUM(G473:G476)</f>
        <v>3526.2000000000003</v>
      </c>
      <c r="H472" s="57">
        <f t="shared" si="40"/>
        <v>6518.4</v>
      </c>
      <c r="I472" s="59">
        <f t="shared" si="41"/>
        <v>0.35105429783167075</v>
      </c>
    </row>
    <row r="473" spans="1:9" ht="38.25">
      <c r="A473" s="23"/>
      <c r="B473" s="23"/>
      <c r="C473" s="23"/>
      <c r="D473" s="23" t="s">
        <v>43</v>
      </c>
      <c r="E473" s="24" t="s">
        <v>150</v>
      </c>
      <c r="F473" s="25">
        <v>4324.2</v>
      </c>
      <c r="G473" s="25">
        <v>33</v>
      </c>
      <c r="H473" s="57">
        <f t="shared" si="40"/>
        <v>4291.2</v>
      </c>
      <c r="I473" s="59">
        <f t="shared" si="41"/>
        <v>0.007631469404745387</v>
      </c>
    </row>
    <row r="474" spans="1:9" ht="25.5">
      <c r="A474" s="23"/>
      <c r="B474" s="23"/>
      <c r="C474" s="23"/>
      <c r="D474" s="23" t="s">
        <v>47</v>
      </c>
      <c r="E474" s="24" t="s">
        <v>48</v>
      </c>
      <c r="F474" s="25">
        <v>1256.4</v>
      </c>
      <c r="G474" s="25">
        <v>26</v>
      </c>
      <c r="H474" s="57">
        <f t="shared" si="40"/>
        <v>1230.4</v>
      </c>
      <c r="I474" s="59">
        <f t="shared" si="41"/>
        <v>0.020694046482012098</v>
      </c>
    </row>
    <row r="475" spans="1:9" ht="51">
      <c r="A475" s="23"/>
      <c r="B475" s="23"/>
      <c r="C475" s="23"/>
      <c r="D475" s="23" t="s">
        <v>65</v>
      </c>
      <c r="E475" s="24" t="s">
        <v>178</v>
      </c>
      <c r="F475" s="25">
        <v>1376.3</v>
      </c>
      <c r="G475" s="25">
        <v>1125.9</v>
      </c>
      <c r="H475" s="57">
        <f t="shared" si="40"/>
        <v>250.39999999999986</v>
      </c>
      <c r="I475" s="59">
        <f t="shared" si="41"/>
        <v>0.818062922327981</v>
      </c>
    </row>
    <row r="476" spans="1:9" ht="12.75">
      <c r="A476" s="23"/>
      <c r="B476" s="23"/>
      <c r="C476" s="23"/>
      <c r="D476" s="23" t="s">
        <v>44</v>
      </c>
      <c r="E476" s="24" t="s">
        <v>45</v>
      </c>
      <c r="F476" s="25">
        <v>3087.7</v>
      </c>
      <c r="G476" s="25">
        <v>2341.3</v>
      </c>
      <c r="H476" s="57">
        <f t="shared" si="40"/>
        <v>746.3999999999996</v>
      </c>
      <c r="I476" s="59">
        <f t="shared" si="41"/>
        <v>0.7582666709848755</v>
      </c>
    </row>
    <row r="477" spans="1:9" ht="12.75">
      <c r="A477" s="23"/>
      <c r="B477" s="23"/>
      <c r="C477" s="23" t="s">
        <v>70</v>
      </c>
      <c r="D477" s="23"/>
      <c r="E477" s="24" t="s">
        <v>349</v>
      </c>
      <c r="F477" s="25">
        <f>F478</f>
        <v>2937.5</v>
      </c>
      <c r="G477" s="25">
        <f>G478</f>
        <v>1135</v>
      </c>
      <c r="H477" s="57">
        <f t="shared" si="40"/>
        <v>1802.5</v>
      </c>
      <c r="I477" s="59">
        <f t="shared" si="41"/>
        <v>0.38638297872340427</v>
      </c>
    </row>
    <row r="478" spans="1:9" ht="25.5">
      <c r="A478" s="23"/>
      <c r="B478" s="23"/>
      <c r="C478" s="23" t="s">
        <v>196</v>
      </c>
      <c r="D478" s="23"/>
      <c r="E478" s="24" t="s">
        <v>107</v>
      </c>
      <c r="F478" s="25">
        <f>F480+F479</f>
        <v>2937.5</v>
      </c>
      <c r="G478" s="25">
        <f>G480+G479</f>
        <v>1135</v>
      </c>
      <c r="H478" s="57">
        <f t="shared" si="40"/>
        <v>1802.5</v>
      </c>
      <c r="I478" s="59">
        <f t="shared" si="41"/>
        <v>0.38638297872340427</v>
      </c>
    </row>
    <row r="479" spans="1:9" ht="38.25">
      <c r="A479" s="23"/>
      <c r="B479" s="23"/>
      <c r="C479" s="23"/>
      <c r="D479" s="23" t="s">
        <v>43</v>
      </c>
      <c r="E479" s="24" t="s">
        <v>150</v>
      </c>
      <c r="F479" s="25">
        <v>245.2</v>
      </c>
      <c r="G479" s="25">
        <v>0</v>
      </c>
      <c r="H479" s="57">
        <f>F479-G479</f>
        <v>245.2</v>
      </c>
      <c r="I479" s="59">
        <f>G479/F479</f>
        <v>0</v>
      </c>
    </row>
    <row r="480" spans="1:9" ht="51">
      <c r="A480" s="23"/>
      <c r="B480" s="23"/>
      <c r="C480" s="23"/>
      <c r="D480" s="23" t="s">
        <v>65</v>
      </c>
      <c r="E480" s="24" t="s">
        <v>178</v>
      </c>
      <c r="F480" s="25">
        <v>2692.3</v>
      </c>
      <c r="G480" s="25">
        <v>1135</v>
      </c>
      <c r="H480" s="57">
        <f t="shared" si="40"/>
        <v>1557.3000000000002</v>
      </c>
      <c r="I480" s="59">
        <f t="shared" si="41"/>
        <v>0.42157263306466586</v>
      </c>
    </row>
    <row r="481" spans="1:9" ht="25.5">
      <c r="A481" s="23"/>
      <c r="B481" s="23" t="s">
        <v>109</v>
      </c>
      <c r="C481" s="23"/>
      <c r="D481" s="23"/>
      <c r="E481" s="24" t="s">
        <v>110</v>
      </c>
      <c r="F481" s="25">
        <f>F490+F482+F487</f>
        <v>14221.300000000001</v>
      </c>
      <c r="G481" s="25">
        <f>G490+G482+G487</f>
        <v>7050.200000000001</v>
      </c>
      <c r="H481" s="57">
        <f t="shared" si="40"/>
        <v>7171.1</v>
      </c>
      <c r="I481" s="59">
        <f t="shared" si="41"/>
        <v>0.4957493337458601</v>
      </c>
    </row>
    <row r="482" spans="1:9" ht="25.5">
      <c r="A482" s="23"/>
      <c r="B482" s="23"/>
      <c r="C482" s="23" t="s">
        <v>81</v>
      </c>
      <c r="D482" s="23"/>
      <c r="E482" s="24" t="s">
        <v>285</v>
      </c>
      <c r="F482" s="25">
        <f>F483</f>
        <v>3067.2999999999997</v>
      </c>
      <c r="G482" s="25">
        <f>G483</f>
        <v>1221.5</v>
      </c>
      <c r="H482" s="57">
        <f t="shared" si="40"/>
        <v>1845.7999999999997</v>
      </c>
      <c r="I482" s="59">
        <f t="shared" si="41"/>
        <v>0.39823297362501225</v>
      </c>
    </row>
    <row r="483" spans="1:9" ht="51">
      <c r="A483" s="23"/>
      <c r="B483" s="23"/>
      <c r="C483" s="23" t="s">
        <v>147</v>
      </c>
      <c r="D483" s="23"/>
      <c r="E483" s="24" t="s">
        <v>148</v>
      </c>
      <c r="F483" s="25">
        <f>SUM(F484:F486)</f>
        <v>3067.2999999999997</v>
      </c>
      <c r="G483" s="25">
        <f>SUM(G484:G486)</f>
        <v>1221.5</v>
      </c>
      <c r="H483" s="57">
        <f aca="true" t="shared" si="44" ref="H483:H558">F483-G483</f>
        <v>1845.7999999999997</v>
      </c>
      <c r="I483" s="59">
        <f aca="true" t="shared" si="45" ref="I483:I558">G483/F483</f>
        <v>0.39823297362501225</v>
      </c>
    </row>
    <row r="484" spans="1:9" ht="89.25">
      <c r="A484" s="23"/>
      <c r="B484" s="23"/>
      <c r="C484" s="23"/>
      <c r="D484" s="23" t="s">
        <v>42</v>
      </c>
      <c r="E484" s="24" t="s">
        <v>149</v>
      </c>
      <c r="F484" s="25">
        <f>173.6+2722.6+81.7</f>
        <v>2977.8999999999996</v>
      </c>
      <c r="G484" s="25">
        <v>1168.7</v>
      </c>
      <c r="H484" s="57">
        <f t="shared" si="44"/>
        <v>1809.1999999999996</v>
      </c>
      <c r="I484" s="59">
        <f t="shared" si="45"/>
        <v>0.39245777225561645</v>
      </c>
    </row>
    <row r="485" spans="1:9" ht="38.25">
      <c r="A485" s="23"/>
      <c r="B485" s="23"/>
      <c r="C485" s="23"/>
      <c r="D485" s="23" t="s">
        <v>43</v>
      </c>
      <c r="E485" s="24" t="s">
        <v>150</v>
      </c>
      <c r="F485" s="25">
        <f>86.2+2.6</f>
        <v>88.8</v>
      </c>
      <c r="G485" s="25">
        <v>52.7</v>
      </c>
      <c r="H485" s="57">
        <f t="shared" si="44"/>
        <v>36.099999999999994</v>
      </c>
      <c r="I485" s="59">
        <f t="shared" si="45"/>
        <v>0.5934684684684686</v>
      </c>
    </row>
    <row r="486" spans="1:9" ht="12.75">
      <c r="A486" s="23"/>
      <c r="B486" s="23"/>
      <c r="C486" s="23"/>
      <c r="D486" s="23" t="s">
        <v>44</v>
      </c>
      <c r="E486" s="24" t="s">
        <v>45</v>
      </c>
      <c r="F486" s="25">
        <v>0.6</v>
      </c>
      <c r="G486" s="25">
        <v>0.1</v>
      </c>
      <c r="H486" s="57">
        <f t="shared" si="44"/>
        <v>0.5</v>
      </c>
      <c r="I486" s="59">
        <f t="shared" si="45"/>
        <v>0.16666666666666669</v>
      </c>
    </row>
    <row r="487" spans="1:9" ht="25.5">
      <c r="A487" s="23"/>
      <c r="B487" s="23"/>
      <c r="C487" s="23" t="s">
        <v>55</v>
      </c>
      <c r="D487" s="23"/>
      <c r="E487" s="24" t="s">
        <v>297</v>
      </c>
      <c r="F487" s="25">
        <f>F488</f>
        <v>28.6</v>
      </c>
      <c r="G487" s="25">
        <f>G488</f>
        <v>28.6</v>
      </c>
      <c r="H487" s="57">
        <f>F487-G487</f>
        <v>0</v>
      </c>
      <c r="I487" s="59">
        <f>G487/F487</f>
        <v>1</v>
      </c>
    </row>
    <row r="488" spans="1:9" ht="25.5">
      <c r="A488" s="23"/>
      <c r="B488" s="23"/>
      <c r="C488" s="23" t="s">
        <v>1037</v>
      </c>
      <c r="D488" s="23"/>
      <c r="E488" s="24" t="s">
        <v>1067</v>
      </c>
      <c r="F488" s="25">
        <f>F489</f>
        <v>28.6</v>
      </c>
      <c r="G488" s="25">
        <f>G489</f>
        <v>28.6</v>
      </c>
      <c r="H488" s="57">
        <f>F488-G488</f>
        <v>0</v>
      </c>
      <c r="I488" s="59">
        <f>G488/F488</f>
        <v>1</v>
      </c>
    </row>
    <row r="489" spans="1:9" ht="51">
      <c r="A489" s="23"/>
      <c r="B489" s="23"/>
      <c r="C489" s="23"/>
      <c r="D489" s="23" t="s">
        <v>65</v>
      </c>
      <c r="E489" s="24" t="s">
        <v>178</v>
      </c>
      <c r="F489" s="25">
        <v>28.6</v>
      </c>
      <c r="G489" s="25">
        <v>28.6</v>
      </c>
      <c r="H489" s="57">
        <f>F489-G489</f>
        <v>0</v>
      </c>
      <c r="I489" s="59">
        <f>G489/F489</f>
        <v>1</v>
      </c>
    </row>
    <row r="490" spans="1:9" ht="25.5">
      <c r="A490" s="23"/>
      <c r="B490" s="23"/>
      <c r="C490" s="23" t="s">
        <v>71</v>
      </c>
      <c r="D490" s="23"/>
      <c r="E490" s="24" t="s">
        <v>110</v>
      </c>
      <c r="F490" s="25">
        <f>F493+F491</f>
        <v>11125.400000000001</v>
      </c>
      <c r="G490" s="25">
        <f>G493+G491</f>
        <v>5800.1</v>
      </c>
      <c r="H490" s="57">
        <f t="shared" si="44"/>
        <v>5325.300000000001</v>
      </c>
      <c r="I490" s="59">
        <f t="shared" si="45"/>
        <v>0.5213385586136229</v>
      </c>
    </row>
    <row r="491" spans="1:9" ht="25.5">
      <c r="A491" s="23"/>
      <c r="B491" s="23"/>
      <c r="C491" s="23" t="s">
        <v>200</v>
      </c>
      <c r="D491" s="23"/>
      <c r="E491" s="24" t="s">
        <v>201</v>
      </c>
      <c r="F491" s="25">
        <f>F492</f>
        <v>11058.2</v>
      </c>
      <c r="G491" s="25">
        <f>G492</f>
        <v>5773.6</v>
      </c>
      <c r="H491" s="57">
        <f t="shared" si="44"/>
        <v>5284.6</v>
      </c>
      <c r="I491" s="59">
        <f t="shared" si="45"/>
        <v>0.5221102891971569</v>
      </c>
    </row>
    <row r="492" spans="1:9" ht="51">
      <c r="A492" s="23"/>
      <c r="B492" s="23"/>
      <c r="C492" s="23"/>
      <c r="D492" s="23" t="s">
        <v>65</v>
      </c>
      <c r="E492" s="24" t="s">
        <v>178</v>
      </c>
      <c r="F492" s="25">
        <v>11058.2</v>
      </c>
      <c r="G492" s="25">
        <v>5773.6</v>
      </c>
      <c r="H492" s="57">
        <f t="shared" si="44"/>
        <v>5284.6</v>
      </c>
      <c r="I492" s="59">
        <f t="shared" si="45"/>
        <v>0.5221102891971569</v>
      </c>
    </row>
    <row r="493" spans="1:9" ht="63.75">
      <c r="A493" s="23"/>
      <c r="B493" s="23"/>
      <c r="C493" s="23" t="s">
        <v>198</v>
      </c>
      <c r="D493" s="23"/>
      <c r="E493" s="24" t="s">
        <v>348</v>
      </c>
      <c r="F493" s="25">
        <f>F494</f>
        <v>67.2</v>
      </c>
      <c r="G493" s="25">
        <f>G494</f>
        <v>26.5</v>
      </c>
      <c r="H493" s="57">
        <f t="shared" si="44"/>
        <v>40.7</v>
      </c>
      <c r="I493" s="59">
        <f t="shared" si="45"/>
        <v>0.3943452380952381</v>
      </c>
    </row>
    <row r="494" spans="1:9" ht="51">
      <c r="A494" s="23"/>
      <c r="B494" s="23"/>
      <c r="C494" s="23"/>
      <c r="D494" s="23" t="s">
        <v>65</v>
      </c>
      <c r="E494" s="24" t="s">
        <v>178</v>
      </c>
      <c r="F494" s="25">
        <v>67.2</v>
      </c>
      <c r="G494" s="25">
        <v>26.5</v>
      </c>
      <c r="H494" s="57">
        <f t="shared" si="44"/>
        <v>40.7</v>
      </c>
      <c r="I494" s="59">
        <f t="shared" si="45"/>
        <v>0.3943452380952381</v>
      </c>
    </row>
    <row r="495" spans="1:9" ht="12.75">
      <c r="A495" s="23"/>
      <c r="B495" s="23" t="s">
        <v>118</v>
      </c>
      <c r="C495" s="23"/>
      <c r="D495" s="23"/>
      <c r="E495" s="24" t="s">
        <v>119</v>
      </c>
      <c r="F495" s="25">
        <f>F496+F500+F530+F535</f>
        <v>39640.399999999994</v>
      </c>
      <c r="G495" s="25">
        <f>G496+G500+G530+G535</f>
        <v>16661.6</v>
      </c>
      <c r="H495" s="57">
        <f t="shared" si="44"/>
        <v>22978.799999999996</v>
      </c>
      <c r="I495" s="59">
        <f t="shared" si="45"/>
        <v>0.42031866479652075</v>
      </c>
    </row>
    <row r="496" spans="1:9" ht="12.75">
      <c r="A496" s="23"/>
      <c r="B496" s="23" t="s">
        <v>120</v>
      </c>
      <c r="C496" s="23"/>
      <c r="D496" s="23"/>
      <c r="E496" s="24" t="s">
        <v>121</v>
      </c>
      <c r="F496" s="25">
        <f aca="true" t="shared" si="46" ref="F496:G498">F497</f>
        <v>119.7</v>
      </c>
      <c r="G496" s="25">
        <f t="shared" si="46"/>
        <v>58.1</v>
      </c>
      <c r="H496" s="57">
        <f t="shared" si="44"/>
        <v>61.6</v>
      </c>
      <c r="I496" s="59">
        <f t="shared" si="45"/>
        <v>0.4853801169590643</v>
      </c>
    </row>
    <row r="497" spans="1:9" ht="12.75">
      <c r="A497" s="23"/>
      <c r="B497" s="23"/>
      <c r="C497" s="23" t="s">
        <v>74</v>
      </c>
      <c r="D497" s="23"/>
      <c r="E497" s="24" t="s">
        <v>287</v>
      </c>
      <c r="F497" s="25">
        <f t="shared" si="46"/>
        <v>119.7</v>
      </c>
      <c r="G497" s="25">
        <f t="shared" si="46"/>
        <v>58.1</v>
      </c>
      <c r="H497" s="57">
        <f t="shared" si="44"/>
        <v>61.6</v>
      </c>
      <c r="I497" s="59">
        <f t="shared" si="45"/>
        <v>0.4853801169590643</v>
      </c>
    </row>
    <row r="498" spans="1:9" ht="89.25">
      <c r="A498" s="23"/>
      <c r="B498" s="23"/>
      <c r="C498" s="23" t="s">
        <v>151</v>
      </c>
      <c r="D498" s="23"/>
      <c r="E498" s="24" t="s">
        <v>152</v>
      </c>
      <c r="F498" s="25">
        <f t="shared" si="46"/>
        <v>119.7</v>
      </c>
      <c r="G498" s="25">
        <f t="shared" si="46"/>
        <v>58.1</v>
      </c>
      <c r="H498" s="57">
        <f t="shared" si="44"/>
        <v>61.6</v>
      </c>
      <c r="I498" s="59">
        <f t="shared" si="45"/>
        <v>0.4853801169590643</v>
      </c>
    </row>
    <row r="499" spans="1:9" ht="25.5">
      <c r="A499" s="23"/>
      <c r="B499" s="23"/>
      <c r="C499" s="23"/>
      <c r="D499" s="23" t="s">
        <v>47</v>
      </c>
      <c r="E499" s="24" t="s">
        <v>48</v>
      </c>
      <c r="F499" s="25">
        <v>119.7</v>
      </c>
      <c r="G499" s="25">
        <v>58.1</v>
      </c>
      <c r="H499" s="57">
        <f t="shared" si="44"/>
        <v>61.6</v>
      </c>
      <c r="I499" s="59">
        <f t="shared" si="45"/>
        <v>0.4853801169590643</v>
      </c>
    </row>
    <row r="500" spans="1:9" ht="12.75">
      <c r="A500" s="23"/>
      <c r="B500" s="23" t="s">
        <v>122</v>
      </c>
      <c r="C500" s="23"/>
      <c r="D500" s="23"/>
      <c r="E500" s="24" t="s">
        <v>123</v>
      </c>
      <c r="F500" s="25">
        <f>F501+F510+F517+F524</f>
        <v>24698.399999999998</v>
      </c>
      <c r="G500" s="25">
        <f>G501+G510+G517+G524</f>
        <v>10244</v>
      </c>
      <c r="H500" s="57">
        <f t="shared" si="44"/>
        <v>14454.399999999998</v>
      </c>
      <c r="I500" s="59">
        <f t="shared" si="45"/>
        <v>0.414763709390082</v>
      </c>
    </row>
    <row r="501" spans="1:9" ht="38.25">
      <c r="A501" s="23"/>
      <c r="B501" s="23"/>
      <c r="C501" s="23" t="s">
        <v>55</v>
      </c>
      <c r="D501" s="50"/>
      <c r="E501" s="49" t="s">
        <v>333</v>
      </c>
      <c r="F501" s="25">
        <f>F502+F505</f>
        <v>2184.6000000000004</v>
      </c>
      <c r="G501" s="25">
        <f>G502+G505</f>
        <v>450.8</v>
      </c>
      <c r="H501" s="57">
        <f t="shared" si="44"/>
        <v>1733.8000000000004</v>
      </c>
      <c r="I501" s="59">
        <f t="shared" si="45"/>
        <v>0.20635356587018217</v>
      </c>
    </row>
    <row r="502" spans="1:9" ht="51">
      <c r="A502" s="23"/>
      <c r="B502" s="23"/>
      <c r="C502" s="23" t="s">
        <v>342</v>
      </c>
      <c r="D502" s="50"/>
      <c r="E502" s="49" t="s">
        <v>343</v>
      </c>
      <c r="F502" s="25">
        <f>F503</f>
        <v>1292.9</v>
      </c>
      <c r="G502" s="25">
        <f>G503</f>
        <v>450.8</v>
      </c>
      <c r="H502" s="57">
        <f t="shared" si="44"/>
        <v>842.1000000000001</v>
      </c>
      <c r="I502" s="59">
        <f t="shared" si="45"/>
        <v>0.3486735246345425</v>
      </c>
    </row>
    <row r="503" spans="1:9" ht="38.25">
      <c r="A503" s="23"/>
      <c r="B503" s="23"/>
      <c r="C503" s="23" t="s">
        <v>353</v>
      </c>
      <c r="D503" s="23"/>
      <c r="E503" s="24" t="s">
        <v>144</v>
      </c>
      <c r="F503" s="25">
        <f>F504</f>
        <v>1292.9</v>
      </c>
      <c r="G503" s="25">
        <f>G504</f>
        <v>450.8</v>
      </c>
      <c r="H503" s="57">
        <f t="shared" si="44"/>
        <v>842.1000000000001</v>
      </c>
      <c r="I503" s="59">
        <f t="shared" si="45"/>
        <v>0.3486735246345425</v>
      </c>
    </row>
    <row r="504" spans="1:9" ht="25.5">
      <c r="A504" s="23"/>
      <c r="B504" s="23"/>
      <c r="C504" s="23"/>
      <c r="D504" s="23" t="s">
        <v>47</v>
      </c>
      <c r="E504" s="24" t="s">
        <v>48</v>
      </c>
      <c r="F504" s="25">
        <v>1292.9</v>
      </c>
      <c r="G504" s="25">
        <v>450.8</v>
      </c>
      <c r="H504" s="57">
        <f t="shared" si="44"/>
        <v>842.1000000000001</v>
      </c>
      <c r="I504" s="59">
        <f t="shared" si="45"/>
        <v>0.3486735246345425</v>
      </c>
    </row>
    <row r="505" spans="1:9" ht="51">
      <c r="A505" s="23"/>
      <c r="B505" s="23"/>
      <c r="C505" s="23" t="s">
        <v>339</v>
      </c>
      <c r="D505" s="50"/>
      <c r="E505" s="49" t="s">
        <v>340</v>
      </c>
      <c r="F505" s="25">
        <f>F506+F508</f>
        <v>891.7</v>
      </c>
      <c r="G505" s="25">
        <f>G506+G508</f>
        <v>0</v>
      </c>
      <c r="H505" s="57">
        <f t="shared" si="44"/>
        <v>891.7</v>
      </c>
      <c r="I505" s="59">
        <f t="shared" si="45"/>
        <v>0</v>
      </c>
    </row>
    <row r="506" spans="1:9" ht="51">
      <c r="A506" s="23"/>
      <c r="B506" s="23"/>
      <c r="C506" s="23" t="s">
        <v>338</v>
      </c>
      <c r="D506" s="23"/>
      <c r="E506" s="24" t="s">
        <v>103</v>
      </c>
      <c r="F506" s="25">
        <f>F507</f>
        <v>245</v>
      </c>
      <c r="G506" s="25">
        <f>G507</f>
        <v>0</v>
      </c>
      <c r="H506" s="57">
        <f t="shared" si="44"/>
        <v>245</v>
      </c>
      <c r="I506" s="59">
        <f t="shared" si="45"/>
        <v>0</v>
      </c>
    </row>
    <row r="507" spans="1:9" ht="25.5">
      <c r="A507" s="23"/>
      <c r="B507" s="23"/>
      <c r="C507" s="23"/>
      <c r="D507" s="23" t="s">
        <v>47</v>
      </c>
      <c r="E507" s="24" t="s">
        <v>48</v>
      </c>
      <c r="F507" s="25">
        <v>245</v>
      </c>
      <c r="G507" s="25">
        <v>0</v>
      </c>
      <c r="H507" s="57">
        <f t="shared" si="44"/>
        <v>245</v>
      </c>
      <c r="I507" s="59">
        <f t="shared" si="45"/>
        <v>0</v>
      </c>
    </row>
    <row r="508" spans="1:9" ht="25.5">
      <c r="A508" s="23"/>
      <c r="B508" s="23"/>
      <c r="C508" s="23" t="s">
        <v>1038</v>
      </c>
      <c r="D508" s="23"/>
      <c r="E508" s="24" t="s">
        <v>1068</v>
      </c>
      <c r="F508" s="25">
        <f>F509</f>
        <v>646.7</v>
      </c>
      <c r="G508" s="25">
        <f>G509</f>
        <v>0</v>
      </c>
      <c r="H508" s="57">
        <f>F508-G508</f>
        <v>646.7</v>
      </c>
      <c r="I508" s="59">
        <f>G508/F508</f>
        <v>0</v>
      </c>
    </row>
    <row r="509" spans="1:9" ht="25.5">
      <c r="A509" s="23"/>
      <c r="B509" s="23"/>
      <c r="C509" s="23"/>
      <c r="D509" s="23" t="s">
        <v>47</v>
      </c>
      <c r="E509" s="24" t="s">
        <v>48</v>
      </c>
      <c r="F509" s="25">
        <v>646.7</v>
      </c>
      <c r="G509" s="25">
        <v>0</v>
      </c>
      <c r="H509" s="57">
        <f>F509-G509</f>
        <v>646.7</v>
      </c>
      <c r="I509" s="59">
        <f>G509/F509</f>
        <v>0</v>
      </c>
    </row>
    <row r="510" spans="1:9" ht="38.25">
      <c r="A510" s="23"/>
      <c r="B510" s="23"/>
      <c r="C510" s="23" t="s">
        <v>60</v>
      </c>
      <c r="D510" s="23"/>
      <c r="E510" s="49" t="s">
        <v>301</v>
      </c>
      <c r="F510" s="25">
        <f>F511</f>
        <v>7415.299999999999</v>
      </c>
      <c r="G510" s="25">
        <f>G511</f>
        <v>3364.2</v>
      </c>
      <c r="H510" s="57">
        <f t="shared" si="44"/>
        <v>4051.0999999999995</v>
      </c>
      <c r="I510" s="59">
        <f t="shared" si="45"/>
        <v>0.45368360012406783</v>
      </c>
    </row>
    <row r="511" spans="1:9" ht="89.25">
      <c r="A511" s="23"/>
      <c r="B511" s="23"/>
      <c r="C511" s="23" t="s">
        <v>300</v>
      </c>
      <c r="D511" s="23"/>
      <c r="E511" s="49" t="s">
        <v>302</v>
      </c>
      <c r="F511" s="25">
        <f>F514+F512</f>
        <v>7415.299999999999</v>
      </c>
      <c r="G511" s="25">
        <f>G514+G512</f>
        <v>3364.2</v>
      </c>
      <c r="H511" s="57">
        <f t="shared" si="44"/>
        <v>4051.0999999999995</v>
      </c>
      <c r="I511" s="59">
        <f t="shared" si="45"/>
        <v>0.45368360012406783</v>
      </c>
    </row>
    <row r="512" spans="1:9" ht="63.75">
      <c r="A512" s="23"/>
      <c r="B512" s="23"/>
      <c r="C512" s="23" t="s">
        <v>298</v>
      </c>
      <c r="D512" s="23"/>
      <c r="E512" s="24" t="s">
        <v>299</v>
      </c>
      <c r="F512" s="25">
        <f>F513</f>
        <v>535.5</v>
      </c>
      <c r="G512" s="25">
        <f>G513</f>
        <v>10.7</v>
      </c>
      <c r="H512" s="57">
        <f t="shared" si="44"/>
        <v>524.8</v>
      </c>
      <c r="I512" s="59">
        <f t="shared" si="45"/>
        <v>0.019981325863678803</v>
      </c>
    </row>
    <row r="513" spans="1:9" ht="51">
      <c r="A513" s="23"/>
      <c r="B513" s="23"/>
      <c r="C513" s="23"/>
      <c r="D513" s="23" t="s">
        <v>65</v>
      </c>
      <c r="E513" s="24" t="s">
        <v>178</v>
      </c>
      <c r="F513" s="25">
        <v>535.5</v>
      </c>
      <c r="G513" s="25">
        <v>10.7</v>
      </c>
      <c r="H513" s="57">
        <f t="shared" si="44"/>
        <v>524.8</v>
      </c>
      <c r="I513" s="59">
        <f t="shared" si="45"/>
        <v>0.019981325863678803</v>
      </c>
    </row>
    <row r="514" spans="1:9" ht="127.5">
      <c r="A514" s="23"/>
      <c r="B514" s="23"/>
      <c r="C514" s="23" t="s">
        <v>363</v>
      </c>
      <c r="D514" s="23"/>
      <c r="E514" s="24" t="s">
        <v>246</v>
      </c>
      <c r="F514" s="25">
        <f>F515+F516</f>
        <v>6879.799999999999</v>
      </c>
      <c r="G514" s="25">
        <f>G515+G516</f>
        <v>3353.5</v>
      </c>
      <c r="H514" s="57">
        <f t="shared" si="44"/>
        <v>3526.2999999999993</v>
      </c>
      <c r="I514" s="59">
        <f t="shared" si="45"/>
        <v>0.48744149539230797</v>
      </c>
    </row>
    <row r="515" spans="1:9" ht="25.5">
      <c r="A515" s="23"/>
      <c r="B515" s="23"/>
      <c r="C515" s="23"/>
      <c r="D515" s="23" t="s">
        <v>47</v>
      </c>
      <c r="E515" s="24" t="s">
        <v>48</v>
      </c>
      <c r="F515" s="25">
        <v>1911.6</v>
      </c>
      <c r="G515" s="25">
        <v>869.5</v>
      </c>
      <c r="H515" s="57">
        <f t="shared" si="44"/>
        <v>1042.1</v>
      </c>
      <c r="I515" s="59">
        <f t="shared" si="45"/>
        <v>0.45485457208621055</v>
      </c>
    </row>
    <row r="516" spans="1:9" ht="51">
      <c r="A516" s="23"/>
      <c r="B516" s="23"/>
      <c r="C516" s="23"/>
      <c r="D516" s="23" t="s">
        <v>65</v>
      </c>
      <c r="E516" s="24" t="s">
        <v>178</v>
      </c>
      <c r="F516" s="25">
        <v>4968.2</v>
      </c>
      <c r="G516" s="25">
        <v>2484</v>
      </c>
      <c r="H516" s="57">
        <f t="shared" si="44"/>
        <v>2484.2</v>
      </c>
      <c r="I516" s="59">
        <f t="shared" si="45"/>
        <v>0.4999798719858299</v>
      </c>
    </row>
    <row r="517" spans="1:9" ht="38.25">
      <c r="A517" s="23"/>
      <c r="B517" s="23"/>
      <c r="C517" s="23" t="s">
        <v>62</v>
      </c>
      <c r="D517" s="50"/>
      <c r="E517" s="49" t="s">
        <v>307</v>
      </c>
      <c r="F517" s="25">
        <f>F518</f>
        <v>14816.8</v>
      </c>
      <c r="G517" s="25">
        <f>G518</f>
        <v>6409.700000000001</v>
      </c>
      <c r="H517" s="57">
        <f t="shared" si="44"/>
        <v>8407.099999999999</v>
      </c>
      <c r="I517" s="59">
        <f t="shared" si="45"/>
        <v>0.4325967820312079</v>
      </c>
    </row>
    <row r="518" spans="1:9" ht="63.75">
      <c r="A518" s="23"/>
      <c r="B518" s="23"/>
      <c r="C518" s="23" t="s">
        <v>356</v>
      </c>
      <c r="D518" s="50"/>
      <c r="E518" s="49" t="s">
        <v>357</v>
      </c>
      <c r="F518" s="25">
        <f>F519+F522</f>
        <v>14816.8</v>
      </c>
      <c r="G518" s="25">
        <f>G519+G522</f>
        <v>6409.700000000001</v>
      </c>
      <c r="H518" s="57">
        <f t="shared" si="44"/>
        <v>8407.099999999999</v>
      </c>
      <c r="I518" s="59">
        <f t="shared" si="45"/>
        <v>0.4325967820312079</v>
      </c>
    </row>
    <row r="519" spans="1:9" ht="38.25">
      <c r="A519" s="23"/>
      <c r="B519" s="23"/>
      <c r="C519" s="23" t="s">
        <v>354</v>
      </c>
      <c r="D519" s="23"/>
      <c r="E519" s="24" t="s">
        <v>124</v>
      </c>
      <c r="F519" s="25">
        <f>SUM(F520:F521)</f>
        <v>6322.699999999999</v>
      </c>
      <c r="G519" s="25">
        <f>SUM(G520:G521)</f>
        <v>2360.8</v>
      </c>
      <c r="H519" s="57">
        <f t="shared" si="44"/>
        <v>3961.8999999999987</v>
      </c>
      <c r="I519" s="59">
        <f t="shared" si="45"/>
        <v>0.37338478814430553</v>
      </c>
    </row>
    <row r="520" spans="1:9" ht="25.5">
      <c r="A520" s="23"/>
      <c r="B520" s="23"/>
      <c r="C520" s="23"/>
      <c r="D520" s="23" t="s">
        <v>47</v>
      </c>
      <c r="E520" s="24" t="s">
        <v>48</v>
      </c>
      <c r="F520" s="25">
        <v>1369.9</v>
      </c>
      <c r="G520" s="25">
        <v>0</v>
      </c>
      <c r="H520" s="57">
        <f t="shared" si="44"/>
        <v>1369.9</v>
      </c>
      <c r="I520" s="59">
        <f t="shared" si="45"/>
        <v>0</v>
      </c>
    </row>
    <row r="521" spans="1:9" ht="51">
      <c r="A521" s="23"/>
      <c r="B521" s="23"/>
      <c r="C521" s="23"/>
      <c r="D521" s="23" t="s">
        <v>65</v>
      </c>
      <c r="E521" s="24" t="s">
        <v>178</v>
      </c>
      <c r="F521" s="25">
        <f>2874.1+2078.7</f>
        <v>4952.799999999999</v>
      </c>
      <c r="G521" s="25">
        <v>2360.8</v>
      </c>
      <c r="H521" s="57">
        <f t="shared" si="44"/>
        <v>2591.999999999999</v>
      </c>
      <c r="I521" s="59">
        <f t="shared" si="45"/>
        <v>0.47665966725892434</v>
      </c>
    </row>
    <row r="522" spans="1:9" ht="38.25">
      <c r="A522" s="23"/>
      <c r="B522" s="23"/>
      <c r="C522" s="23" t="s">
        <v>355</v>
      </c>
      <c r="D522" s="23"/>
      <c r="E522" s="24" t="s">
        <v>125</v>
      </c>
      <c r="F522" s="25">
        <f>F523</f>
        <v>8494.1</v>
      </c>
      <c r="G522" s="25">
        <f>G523</f>
        <v>4048.9</v>
      </c>
      <c r="H522" s="57">
        <f t="shared" si="44"/>
        <v>4445.200000000001</v>
      </c>
      <c r="I522" s="59">
        <f t="shared" si="45"/>
        <v>0.47667204294745763</v>
      </c>
    </row>
    <row r="523" spans="1:9" ht="51">
      <c r="A523" s="23"/>
      <c r="B523" s="23"/>
      <c r="C523" s="23"/>
      <c r="D523" s="23" t="s">
        <v>65</v>
      </c>
      <c r="E523" s="24" t="s">
        <v>178</v>
      </c>
      <c r="F523" s="25">
        <f>4080.1+4414</f>
        <v>8494.1</v>
      </c>
      <c r="G523" s="25">
        <v>4048.9</v>
      </c>
      <c r="H523" s="57">
        <f t="shared" si="44"/>
        <v>4445.200000000001</v>
      </c>
      <c r="I523" s="59">
        <f t="shared" si="45"/>
        <v>0.47667204294745763</v>
      </c>
    </row>
    <row r="524" spans="1:9" ht="12.75">
      <c r="A524" s="23"/>
      <c r="B524" s="23"/>
      <c r="C524" s="23" t="s">
        <v>74</v>
      </c>
      <c r="D524" s="23"/>
      <c r="E524" s="24" t="s">
        <v>287</v>
      </c>
      <c r="F524" s="25">
        <f>F525+F527</f>
        <v>281.7</v>
      </c>
      <c r="G524" s="25">
        <f>G525+G527</f>
        <v>19.3</v>
      </c>
      <c r="H524" s="57">
        <f t="shared" si="44"/>
        <v>262.4</v>
      </c>
      <c r="I524" s="59">
        <f t="shared" si="45"/>
        <v>0.06851260205892794</v>
      </c>
    </row>
    <row r="525" spans="1:9" ht="89.25">
      <c r="A525" s="23"/>
      <c r="B525" s="23"/>
      <c r="C525" s="23" t="s">
        <v>238</v>
      </c>
      <c r="D525" s="23"/>
      <c r="E525" s="24" t="s">
        <v>239</v>
      </c>
      <c r="F525" s="25">
        <f>F526</f>
        <v>267.7</v>
      </c>
      <c r="G525" s="25">
        <f>G526</f>
        <v>5.3</v>
      </c>
      <c r="H525" s="57">
        <f t="shared" si="44"/>
        <v>262.4</v>
      </c>
      <c r="I525" s="59">
        <f t="shared" si="45"/>
        <v>0.01979828165857303</v>
      </c>
    </row>
    <row r="526" spans="1:9" ht="51">
      <c r="A526" s="23"/>
      <c r="B526" s="23"/>
      <c r="C526" s="23"/>
      <c r="D526" s="23" t="s">
        <v>65</v>
      </c>
      <c r="E526" s="24" t="s">
        <v>178</v>
      </c>
      <c r="F526" s="25">
        <v>267.7</v>
      </c>
      <c r="G526" s="25">
        <v>5.3</v>
      </c>
      <c r="H526" s="57">
        <f t="shared" si="44"/>
        <v>262.4</v>
      </c>
      <c r="I526" s="59">
        <f t="shared" si="45"/>
        <v>0.01979828165857303</v>
      </c>
    </row>
    <row r="527" spans="1:9" ht="25.5">
      <c r="A527" s="23"/>
      <c r="B527" s="23"/>
      <c r="C527" s="23" t="s">
        <v>460</v>
      </c>
      <c r="D527" s="23"/>
      <c r="E527" s="24" t="s">
        <v>459</v>
      </c>
      <c r="F527" s="25">
        <f>F529+F528</f>
        <v>14</v>
      </c>
      <c r="G527" s="25">
        <f>G529+G528</f>
        <v>14</v>
      </c>
      <c r="H527" s="57">
        <f t="shared" si="44"/>
        <v>0</v>
      </c>
      <c r="I527" s="59">
        <f t="shared" si="45"/>
        <v>1</v>
      </c>
    </row>
    <row r="528" spans="1:9" ht="25.5">
      <c r="A528" s="23"/>
      <c r="B528" s="23"/>
      <c r="C528" s="23"/>
      <c r="D528" s="23" t="s">
        <v>47</v>
      </c>
      <c r="E528" s="24" t="s">
        <v>48</v>
      </c>
      <c r="F528" s="25">
        <v>4</v>
      </c>
      <c r="G528" s="25">
        <v>4</v>
      </c>
      <c r="H528" s="57">
        <f>F528-G528</f>
        <v>0</v>
      </c>
      <c r="I528" s="59">
        <f>G528/F528</f>
        <v>1</v>
      </c>
    </row>
    <row r="529" spans="1:9" ht="51">
      <c r="A529" s="23"/>
      <c r="B529" s="23"/>
      <c r="C529" s="23"/>
      <c r="D529" s="23" t="s">
        <v>65</v>
      </c>
      <c r="E529" s="24" t="s">
        <v>178</v>
      </c>
      <c r="F529" s="25">
        <v>10</v>
      </c>
      <c r="G529" s="25">
        <v>10</v>
      </c>
      <c r="H529" s="57">
        <f t="shared" si="44"/>
        <v>0</v>
      </c>
      <c r="I529" s="59">
        <f t="shared" si="45"/>
        <v>1</v>
      </c>
    </row>
    <row r="530" spans="1:9" ht="12.75">
      <c r="A530" s="23"/>
      <c r="B530" s="23" t="s">
        <v>126</v>
      </c>
      <c r="C530" s="23"/>
      <c r="D530" s="23"/>
      <c r="E530" s="24" t="s">
        <v>127</v>
      </c>
      <c r="F530" s="25">
        <f aca="true" t="shared" si="47" ref="F530:G533">F531</f>
        <v>13622.3</v>
      </c>
      <c r="G530" s="25">
        <f t="shared" si="47"/>
        <v>5759.5</v>
      </c>
      <c r="H530" s="57">
        <f t="shared" si="44"/>
        <v>7862.799999999999</v>
      </c>
      <c r="I530" s="59">
        <f t="shared" si="45"/>
        <v>0.4227993804276811</v>
      </c>
    </row>
    <row r="531" spans="1:9" ht="38.25">
      <c r="A531" s="23"/>
      <c r="B531" s="23"/>
      <c r="C531" s="23" t="s">
        <v>62</v>
      </c>
      <c r="D531" s="50"/>
      <c r="E531" s="49" t="s">
        <v>307</v>
      </c>
      <c r="F531" s="25">
        <f t="shared" si="47"/>
        <v>13622.3</v>
      </c>
      <c r="G531" s="25">
        <f t="shared" si="47"/>
        <v>5759.5</v>
      </c>
      <c r="H531" s="57">
        <f t="shared" si="44"/>
        <v>7862.799999999999</v>
      </c>
      <c r="I531" s="59">
        <f t="shared" si="45"/>
        <v>0.4227993804276811</v>
      </c>
    </row>
    <row r="532" spans="1:9" ht="63.75">
      <c r="A532" s="23"/>
      <c r="B532" s="23"/>
      <c r="C532" s="23" t="s">
        <v>356</v>
      </c>
      <c r="D532" s="50"/>
      <c r="E532" s="49" t="s">
        <v>357</v>
      </c>
      <c r="F532" s="25">
        <f t="shared" si="47"/>
        <v>13622.3</v>
      </c>
      <c r="G532" s="25">
        <f t="shared" si="47"/>
        <v>5759.5</v>
      </c>
      <c r="H532" s="57">
        <f t="shared" si="44"/>
        <v>7862.799999999999</v>
      </c>
      <c r="I532" s="59">
        <f t="shared" si="45"/>
        <v>0.4227993804276811</v>
      </c>
    </row>
    <row r="533" spans="1:9" ht="102">
      <c r="A533" s="23"/>
      <c r="B533" s="23"/>
      <c r="C533" s="23" t="s">
        <v>358</v>
      </c>
      <c r="D533" s="23"/>
      <c r="E533" s="24" t="s">
        <v>359</v>
      </c>
      <c r="F533" s="25">
        <f t="shared" si="47"/>
        <v>13622.3</v>
      </c>
      <c r="G533" s="25">
        <f t="shared" si="47"/>
        <v>5759.5</v>
      </c>
      <c r="H533" s="57">
        <f t="shared" si="44"/>
        <v>7862.799999999999</v>
      </c>
      <c r="I533" s="59">
        <f t="shared" si="45"/>
        <v>0.4227993804276811</v>
      </c>
    </row>
    <row r="534" spans="1:9" ht="25.5">
      <c r="A534" s="23"/>
      <c r="B534" s="23"/>
      <c r="C534" s="23"/>
      <c r="D534" s="23" t="s">
        <v>47</v>
      </c>
      <c r="E534" s="24" t="s">
        <v>48</v>
      </c>
      <c r="F534" s="25">
        <v>13622.3</v>
      </c>
      <c r="G534" s="25">
        <v>5759.5</v>
      </c>
      <c r="H534" s="57">
        <f t="shared" si="44"/>
        <v>7862.799999999999</v>
      </c>
      <c r="I534" s="59">
        <f t="shared" si="45"/>
        <v>0.4227993804276811</v>
      </c>
    </row>
    <row r="535" spans="1:9" ht="25.5">
      <c r="A535" s="23"/>
      <c r="B535" s="23" t="s">
        <v>369</v>
      </c>
      <c r="C535" s="23"/>
      <c r="D535" s="23"/>
      <c r="E535" s="49" t="s">
        <v>370</v>
      </c>
      <c r="F535" s="25">
        <f aca="true" t="shared" si="48" ref="F535:G538">F536</f>
        <v>1200</v>
      </c>
      <c r="G535" s="25">
        <f t="shared" si="48"/>
        <v>600</v>
      </c>
      <c r="H535" s="57">
        <f t="shared" si="44"/>
        <v>600</v>
      </c>
      <c r="I535" s="59">
        <f t="shared" si="45"/>
        <v>0.5</v>
      </c>
    </row>
    <row r="536" spans="1:9" ht="51">
      <c r="A536" s="23"/>
      <c r="B536" s="23"/>
      <c r="C536" s="23" t="s">
        <v>315</v>
      </c>
      <c r="D536" s="23"/>
      <c r="E536" s="49" t="s">
        <v>317</v>
      </c>
      <c r="F536" s="25">
        <f t="shared" si="48"/>
        <v>1200</v>
      </c>
      <c r="G536" s="25">
        <f t="shared" si="48"/>
        <v>600</v>
      </c>
      <c r="H536" s="57">
        <f t="shared" si="44"/>
        <v>600</v>
      </c>
      <c r="I536" s="59">
        <f t="shared" si="45"/>
        <v>0.5</v>
      </c>
    </row>
    <row r="537" spans="1:9" ht="114.75">
      <c r="A537" s="23"/>
      <c r="B537" s="23"/>
      <c r="C537" s="23" t="s">
        <v>371</v>
      </c>
      <c r="D537" s="23"/>
      <c r="E537" s="49" t="s">
        <v>372</v>
      </c>
      <c r="F537" s="25">
        <f t="shared" si="48"/>
        <v>1200</v>
      </c>
      <c r="G537" s="25">
        <f t="shared" si="48"/>
        <v>600</v>
      </c>
      <c r="H537" s="57">
        <f t="shared" si="44"/>
        <v>600</v>
      </c>
      <c r="I537" s="59">
        <f t="shared" si="45"/>
        <v>0.5</v>
      </c>
    </row>
    <row r="538" spans="1:9" ht="66.75" customHeight="1">
      <c r="A538" s="23"/>
      <c r="B538" s="23"/>
      <c r="C538" s="23" t="s">
        <v>373</v>
      </c>
      <c r="D538" s="23"/>
      <c r="E538" s="49" t="s">
        <v>374</v>
      </c>
      <c r="F538" s="25">
        <f t="shared" si="48"/>
        <v>1200</v>
      </c>
      <c r="G538" s="25">
        <f t="shared" si="48"/>
        <v>600</v>
      </c>
      <c r="H538" s="57">
        <f t="shared" si="44"/>
        <v>600</v>
      </c>
      <c r="I538" s="59">
        <f t="shared" si="45"/>
        <v>0.5</v>
      </c>
    </row>
    <row r="539" spans="1:9" ht="51">
      <c r="A539" s="23"/>
      <c r="B539" s="23"/>
      <c r="C539" s="23"/>
      <c r="D539" s="23" t="s">
        <v>65</v>
      </c>
      <c r="E539" s="24" t="s">
        <v>178</v>
      </c>
      <c r="F539" s="25">
        <f>850+350</f>
        <v>1200</v>
      </c>
      <c r="G539" s="25">
        <v>600</v>
      </c>
      <c r="H539" s="57">
        <f t="shared" si="44"/>
        <v>600</v>
      </c>
      <c r="I539" s="59">
        <f t="shared" si="45"/>
        <v>0.5</v>
      </c>
    </row>
    <row r="540" spans="1:9" ht="12.75">
      <c r="A540" s="23"/>
      <c r="B540" s="23"/>
      <c r="C540" s="23"/>
      <c r="D540" s="23"/>
      <c r="E540" s="24"/>
      <c r="F540" s="25"/>
      <c r="G540" s="25"/>
      <c r="H540" s="39"/>
      <c r="I540" s="58"/>
    </row>
    <row r="541" spans="1:9" s="35" customFormat="1" ht="51">
      <c r="A541" s="21" t="s">
        <v>202</v>
      </c>
      <c r="B541" s="21"/>
      <c r="C541" s="21"/>
      <c r="D541" s="21"/>
      <c r="E541" s="38" t="s">
        <v>203</v>
      </c>
      <c r="F541" s="36">
        <f>F553+F592+F622+F648+F542</f>
        <v>169454.5</v>
      </c>
      <c r="G541" s="36">
        <f>G553+G592+G622+G648+G542</f>
        <v>82791.2</v>
      </c>
      <c r="H541" s="39">
        <f t="shared" si="44"/>
        <v>86663.3</v>
      </c>
      <c r="I541" s="58">
        <f t="shared" si="45"/>
        <v>0.48857480916706253</v>
      </c>
    </row>
    <row r="542" spans="1:9" s="35" customFormat="1" ht="25.5">
      <c r="A542" s="21"/>
      <c r="B542" s="23" t="s">
        <v>38</v>
      </c>
      <c r="C542" s="23"/>
      <c r="D542" s="23"/>
      <c r="E542" s="24" t="s">
        <v>39</v>
      </c>
      <c r="F542" s="25">
        <f>F543</f>
        <v>502.1</v>
      </c>
      <c r="G542" s="25">
        <f>G543</f>
        <v>6.5</v>
      </c>
      <c r="H542" s="57">
        <f t="shared" si="44"/>
        <v>495.6</v>
      </c>
      <c r="I542" s="59">
        <f t="shared" si="45"/>
        <v>0.012945628360884285</v>
      </c>
    </row>
    <row r="543" spans="1:9" s="35" customFormat="1" ht="25.5">
      <c r="A543" s="21"/>
      <c r="B543" s="23" t="s">
        <v>58</v>
      </c>
      <c r="C543" s="23"/>
      <c r="D543" s="23"/>
      <c r="E543" s="24" t="s">
        <v>59</v>
      </c>
      <c r="F543" s="25">
        <f>F544</f>
        <v>502.1</v>
      </c>
      <c r="G543" s="25">
        <f>G544</f>
        <v>6.5</v>
      </c>
      <c r="H543" s="57">
        <f t="shared" si="44"/>
        <v>495.6</v>
      </c>
      <c r="I543" s="59">
        <f t="shared" si="45"/>
        <v>0.012945628360884285</v>
      </c>
    </row>
    <row r="544" spans="1:9" s="35" customFormat="1" ht="25.5">
      <c r="A544" s="21"/>
      <c r="B544" s="23"/>
      <c r="C544" s="23" t="s">
        <v>55</v>
      </c>
      <c r="D544" s="23"/>
      <c r="E544" s="24" t="s">
        <v>297</v>
      </c>
      <c r="F544" s="25">
        <f>F545+F548+F550</f>
        <v>502.1</v>
      </c>
      <c r="G544" s="25">
        <f>G545+G548+G550</f>
        <v>6.5</v>
      </c>
      <c r="H544" s="57">
        <f t="shared" si="44"/>
        <v>495.6</v>
      </c>
      <c r="I544" s="59">
        <f t="shared" si="45"/>
        <v>0.012945628360884285</v>
      </c>
    </row>
    <row r="545" spans="1:9" s="35" customFormat="1" ht="12.75">
      <c r="A545" s="21"/>
      <c r="B545" s="23"/>
      <c r="C545" s="23" t="s">
        <v>170</v>
      </c>
      <c r="D545" s="23"/>
      <c r="E545" s="24" t="s">
        <v>171</v>
      </c>
      <c r="F545" s="25">
        <f>F546+F547</f>
        <v>90.5</v>
      </c>
      <c r="G545" s="25">
        <f>G546+G547</f>
        <v>0.5</v>
      </c>
      <c r="H545" s="57">
        <f t="shared" si="44"/>
        <v>90</v>
      </c>
      <c r="I545" s="59">
        <f t="shared" si="45"/>
        <v>0.0055248618784530384</v>
      </c>
    </row>
    <row r="546" spans="1:9" s="35" customFormat="1" ht="38.25">
      <c r="A546" s="21"/>
      <c r="B546" s="23"/>
      <c r="C546" s="23"/>
      <c r="D546" s="23" t="s">
        <v>43</v>
      </c>
      <c r="E546" s="24" t="s">
        <v>150</v>
      </c>
      <c r="F546" s="25">
        <v>90</v>
      </c>
      <c r="G546" s="25">
        <v>0</v>
      </c>
      <c r="H546" s="57">
        <f t="shared" si="44"/>
        <v>90</v>
      </c>
      <c r="I546" s="59">
        <f t="shared" si="45"/>
        <v>0</v>
      </c>
    </row>
    <row r="547" spans="1:9" s="35" customFormat="1" ht="51">
      <c r="A547" s="21"/>
      <c r="B547" s="23"/>
      <c r="C547" s="23"/>
      <c r="D547" s="23" t="s">
        <v>65</v>
      </c>
      <c r="E547" s="24" t="s">
        <v>178</v>
      </c>
      <c r="F547" s="25">
        <v>0.5</v>
      </c>
      <c r="G547" s="25">
        <v>0.5</v>
      </c>
      <c r="H547" s="57">
        <f t="shared" si="44"/>
        <v>0</v>
      </c>
      <c r="I547" s="59">
        <f t="shared" si="45"/>
        <v>1</v>
      </c>
    </row>
    <row r="548" spans="1:9" s="35" customFormat="1" ht="38.25">
      <c r="A548" s="21"/>
      <c r="B548" s="23"/>
      <c r="C548" s="23" t="s">
        <v>278</v>
      </c>
      <c r="D548" s="23"/>
      <c r="E548" s="24" t="s">
        <v>279</v>
      </c>
      <c r="F548" s="25">
        <f>F549</f>
        <v>405.6</v>
      </c>
      <c r="G548" s="25">
        <f>G549</f>
        <v>0</v>
      </c>
      <c r="H548" s="57">
        <f>F548-G548</f>
        <v>405.6</v>
      </c>
      <c r="I548" s="59">
        <f>G548/F548</f>
        <v>0</v>
      </c>
    </row>
    <row r="549" spans="1:9" s="35" customFormat="1" ht="51">
      <c r="A549" s="21"/>
      <c r="B549" s="23"/>
      <c r="C549" s="23"/>
      <c r="D549" s="23" t="s">
        <v>65</v>
      </c>
      <c r="E549" s="24" t="s">
        <v>178</v>
      </c>
      <c r="F549" s="25">
        <v>405.6</v>
      </c>
      <c r="G549" s="25">
        <v>0</v>
      </c>
      <c r="H549" s="57">
        <f>F549-G549</f>
        <v>405.6</v>
      </c>
      <c r="I549" s="59">
        <f>G549/F549</f>
        <v>0</v>
      </c>
    </row>
    <row r="550" spans="1:9" s="35" customFormat="1" ht="63.75">
      <c r="A550" s="21"/>
      <c r="B550" s="23"/>
      <c r="C550" s="23" t="s">
        <v>471</v>
      </c>
      <c r="D550" s="23"/>
      <c r="E550" s="24" t="s">
        <v>472</v>
      </c>
      <c r="F550" s="25">
        <f>F551+F552</f>
        <v>6</v>
      </c>
      <c r="G550" s="25">
        <f>G551+G552</f>
        <v>6</v>
      </c>
      <c r="H550" s="57">
        <f>F550-G550</f>
        <v>0</v>
      </c>
      <c r="I550" s="59">
        <f>G550/F550</f>
        <v>1</v>
      </c>
    </row>
    <row r="551" spans="1:9" s="35" customFormat="1" ht="25.5">
      <c r="A551" s="21"/>
      <c r="B551" s="23"/>
      <c r="C551" s="23"/>
      <c r="D551" s="23" t="s">
        <v>47</v>
      </c>
      <c r="E551" s="24" t="s">
        <v>48</v>
      </c>
      <c r="F551" s="25">
        <v>4</v>
      </c>
      <c r="G551" s="25">
        <v>4</v>
      </c>
      <c r="H551" s="57">
        <f>F551-G551</f>
        <v>0</v>
      </c>
      <c r="I551" s="59">
        <f>G551/F551</f>
        <v>1</v>
      </c>
    </row>
    <row r="552" spans="1:9" s="35" customFormat="1" ht="51">
      <c r="A552" s="21"/>
      <c r="B552" s="23"/>
      <c r="C552" s="23"/>
      <c r="D552" s="23" t="s">
        <v>65</v>
      </c>
      <c r="E552" s="24" t="s">
        <v>178</v>
      </c>
      <c r="F552" s="25">
        <v>2</v>
      </c>
      <c r="G552" s="25">
        <v>2</v>
      </c>
      <c r="H552" s="57">
        <f>F552-G552</f>
        <v>0</v>
      </c>
      <c r="I552" s="59">
        <f>G552/F552</f>
        <v>1</v>
      </c>
    </row>
    <row r="553" spans="1:9" ht="12.75">
      <c r="A553" s="23"/>
      <c r="B553" s="23" t="s">
        <v>97</v>
      </c>
      <c r="C553" s="23"/>
      <c r="D553" s="23"/>
      <c r="E553" s="24" t="s">
        <v>98</v>
      </c>
      <c r="F553" s="25">
        <f>F554+F586+F575</f>
        <v>110490.20000000001</v>
      </c>
      <c r="G553" s="25">
        <f>G554+G586+G575</f>
        <v>55715.899999999994</v>
      </c>
      <c r="H553" s="57">
        <f t="shared" si="44"/>
        <v>54774.30000000002</v>
      </c>
      <c r="I553" s="59">
        <f t="shared" si="45"/>
        <v>0.504261011383815</v>
      </c>
    </row>
    <row r="554" spans="1:9" ht="12.75">
      <c r="A554" s="23"/>
      <c r="B554" s="23" t="s">
        <v>101</v>
      </c>
      <c r="C554" s="23"/>
      <c r="D554" s="23"/>
      <c r="E554" s="24" t="s">
        <v>102</v>
      </c>
      <c r="F554" s="25">
        <f>F559+F568+F555+F572</f>
        <v>105038.40000000001</v>
      </c>
      <c r="G554" s="25">
        <f>G559+G568+G555+G572</f>
        <v>52596.899999999994</v>
      </c>
      <c r="H554" s="57">
        <f t="shared" si="44"/>
        <v>52441.500000000015</v>
      </c>
      <c r="I554" s="59">
        <f t="shared" si="45"/>
        <v>0.500739729470365</v>
      </c>
    </row>
    <row r="555" spans="1:9" ht="38.25">
      <c r="A555" s="23"/>
      <c r="B555" s="23"/>
      <c r="C555" s="23" t="s">
        <v>63</v>
      </c>
      <c r="D555" s="23"/>
      <c r="E555" s="49" t="s">
        <v>312</v>
      </c>
      <c r="F555" s="25">
        <f aca="true" t="shared" si="49" ref="F555:G557">F556</f>
        <v>536.9</v>
      </c>
      <c r="G555" s="25">
        <f t="shared" si="49"/>
        <v>536.9</v>
      </c>
      <c r="H555" s="57">
        <f t="shared" si="44"/>
        <v>0</v>
      </c>
      <c r="I555" s="59">
        <f t="shared" si="45"/>
        <v>1</v>
      </c>
    </row>
    <row r="556" spans="1:9" ht="63.75">
      <c r="A556" s="23"/>
      <c r="B556" s="23"/>
      <c r="C556" s="23" t="s">
        <v>508</v>
      </c>
      <c r="D556" s="23"/>
      <c r="E556" s="49" t="s">
        <v>511</v>
      </c>
      <c r="F556" s="25">
        <f t="shared" si="49"/>
        <v>536.9</v>
      </c>
      <c r="G556" s="25">
        <f t="shared" si="49"/>
        <v>536.9</v>
      </c>
      <c r="H556" s="57">
        <f t="shared" si="44"/>
        <v>0</v>
      </c>
      <c r="I556" s="59">
        <f t="shared" si="45"/>
        <v>1</v>
      </c>
    </row>
    <row r="557" spans="1:9" ht="89.25">
      <c r="A557" s="23"/>
      <c r="B557" s="23"/>
      <c r="C557" s="23" t="s">
        <v>509</v>
      </c>
      <c r="D557" s="23"/>
      <c r="E557" s="49" t="s">
        <v>510</v>
      </c>
      <c r="F557" s="25">
        <f t="shared" si="49"/>
        <v>536.9</v>
      </c>
      <c r="G557" s="25">
        <f t="shared" si="49"/>
        <v>536.9</v>
      </c>
      <c r="H557" s="57">
        <f t="shared" si="44"/>
        <v>0</v>
      </c>
      <c r="I557" s="59">
        <f t="shared" si="45"/>
        <v>1</v>
      </c>
    </row>
    <row r="558" spans="1:9" ht="51">
      <c r="A558" s="23"/>
      <c r="B558" s="23"/>
      <c r="C558" s="23"/>
      <c r="D558" s="23" t="s">
        <v>65</v>
      </c>
      <c r="E558" s="24" t="s">
        <v>178</v>
      </c>
      <c r="F558" s="25">
        <v>536.9</v>
      </c>
      <c r="G558" s="25">
        <v>536.9</v>
      </c>
      <c r="H558" s="57">
        <f t="shared" si="44"/>
        <v>0</v>
      </c>
      <c r="I558" s="59">
        <f t="shared" si="45"/>
        <v>1</v>
      </c>
    </row>
    <row r="559" spans="1:9" ht="12.75">
      <c r="A559" s="23"/>
      <c r="B559" s="23"/>
      <c r="C559" s="23" t="s">
        <v>68</v>
      </c>
      <c r="D559" s="23"/>
      <c r="E559" s="24" t="s">
        <v>347</v>
      </c>
      <c r="F559" s="25">
        <f>F564+F560+F562+F566</f>
        <v>99215.20000000001</v>
      </c>
      <c r="G559" s="25">
        <f>G564+G560+G562+G566</f>
        <v>48177.99999999999</v>
      </c>
      <c r="H559" s="57">
        <f aca="true" t="shared" si="50" ref="H559:H643">F559-G559</f>
        <v>51037.20000000002</v>
      </c>
      <c r="I559" s="59">
        <f aca="true" t="shared" si="51" ref="I559:I643">G559/F559</f>
        <v>0.4855909175207023</v>
      </c>
    </row>
    <row r="560" spans="1:9" ht="76.5">
      <c r="A560" s="23"/>
      <c r="B560" s="23"/>
      <c r="C560" s="23" t="s">
        <v>194</v>
      </c>
      <c r="D560" s="23"/>
      <c r="E560" s="24" t="s">
        <v>195</v>
      </c>
      <c r="F560" s="25">
        <f>F561</f>
        <v>11967.9</v>
      </c>
      <c r="G560" s="25">
        <f>G561</f>
        <v>5395.1</v>
      </c>
      <c r="H560" s="57">
        <f t="shared" si="50"/>
        <v>6572.799999999999</v>
      </c>
      <c r="I560" s="59">
        <f t="shared" si="51"/>
        <v>0.4507975501132196</v>
      </c>
    </row>
    <row r="561" spans="1:9" ht="51">
      <c r="A561" s="23"/>
      <c r="B561" s="23"/>
      <c r="C561" s="23"/>
      <c r="D561" s="23" t="s">
        <v>65</v>
      </c>
      <c r="E561" s="24" t="s">
        <v>178</v>
      </c>
      <c r="F561" s="25">
        <v>11967.9</v>
      </c>
      <c r="G561" s="25">
        <v>5395.1</v>
      </c>
      <c r="H561" s="57">
        <f t="shared" si="50"/>
        <v>6572.799999999999</v>
      </c>
      <c r="I561" s="59">
        <f t="shared" si="51"/>
        <v>0.4507975501132196</v>
      </c>
    </row>
    <row r="562" spans="1:9" ht="62.25" customHeight="1">
      <c r="A562" s="23"/>
      <c r="B562" s="23"/>
      <c r="C562" s="23" t="s">
        <v>204</v>
      </c>
      <c r="D562" s="23"/>
      <c r="E562" s="24" t="s">
        <v>207</v>
      </c>
      <c r="F562" s="25">
        <f>F563</f>
        <v>34037.1</v>
      </c>
      <c r="G562" s="25">
        <f>G563</f>
        <v>18151.7</v>
      </c>
      <c r="H562" s="57">
        <f t="shared" si="50"/>
        <v>15885.399999999998</v>
      </c>
      <c r="I562" s="59">
        <f t="shared" si="51"/>
        <v>0.5332916141504418</v>
      </c>
    </row>
    <row r="563" spans="1:9" ht="51">
      <c r="A563" s="23"/>
      <c r="B563" s="23"/>
      <c r="C563" s="23"/>
      <c r="D563" s="23" t="s">
        <v>65</v>
      </c>
      <c r="E563" s="24" t="s">
        <v>178</v>
      </c>
      <c r="F563" s="25">
        <v>34037.1</v>
      </c>
      <c r="G563" s="25">
        <v>18151.7</v>
      </c>
      <c r="H563" s="57">
        <f t="shared" si="50"/>
        <v>15885.399999999998</v>
      </c>
      <c r="I563" s="59">
        <f t="shared" si="51"/>
        <v>0.5332916141504418</v>
      </c>
    </row>
    <row r="564" spans="1:9" ht="76.5">
      <c r="A564" s="23"/>
      <c r="B564" s="23"/>
      <c r="C564" s="23" t="s">
        <v>205</v>
      </c>
      <c r="D564" s="23"/>
      <c r="E564" s="24" t="s">
        <v>206</v>
      </c>
      <c r="F564" s="25">
        <f>F565</f>
        <v>52980.1</v>
      </c>
      <c r="G564" s="25">
        <f>G565</f>
        <v>24401.1</v>
      </c>
      <c r="H564" s="57">
        <f t="shared" si="50"/>
        <v>28579</v>
      </c>
      <c r="I564" s="59">
        <f t="shared" si="51"/>
        <v>0.4605710445997648</v>
      </c>
    </row>
    <row r="565" spans="1:9" ht="51">
      <c r="A565" s="23"/>
      <c r="B565" s="23"/>
      <c r="C565" s="23"/>
      <c r="D565" s="23" t="s">
        <v>65</v>
      </c>
      <c r="E565" s="24" t="s">
        <v>178</v>
      </c>
      <c r="F565" s="25">
        <v>52980.1</v>
      </c>
      <c r="G565" s="25">
        <v>24401.1</v>
      </c>
      <c r="H565" s="57">
        <f t="shared" si="50"/>
        <v>28579</v>
      </c>
      <c r="I565" s="59">
        <f t="shared" si="51"/>
        <v>0.4605710445997648</v>
      </c>
    </row>
    <row r="566" spans="1:9" ht="102">
      <c r="A566" s="23"/>
      <c r="B566" s="23"/>
      <c r="C566" s="23" t="s">
        <v>208</v>
      </c>
      <c r="D566" s="23"/>
      <c r="E566" s="24" t="s">
        <v>209</v>
      </c>
      <c r="F566" s="25">
        <f>F567</f>
        <v>230.1</v>
      </c>
      <c r="G566" s="25">
        <f>G567</f>
        <v>230.1</v>
      </c>
      <c r="H566" s="57">
        <f t="shared" si="50"/>
        <v>0</v>
      </c>
      <c r="I566" s="59">
        <f t="shared" si="51"/>
        <v>1</v>
      </c>
    </row>
    <row r="567" spans="1:9" ht="51">
      <c r="A567" s="23"/>
      <c r="B567" s="23"/>
      <c r="C567" s="23"/>
      <c r="D567" s="23" t="s">
        <v>65</v>
      </c>
      <c r="E567" s="24" t="s">
        <v>178</v>
      </c>
      <c r="F567" s="25">
        <v>230.1</v>
      </c>
      <c r="G567" s="25">
        <v>230.1</v>
      </c>
      <c r="H567" s="57">
        <f t="shared" si="50"/>
        <v>0</v>
      </c>
      <c r="I567" s="59">
        <f t="shared" si="51"/>
        <v>1</v>
      </c>
    </row>
    <row r="568" spans="1:9" ht="25.5">
      <c r="A568" s="23"/>
      <c r="B568" s="23"/>
      <c r="C568" s="23" t="s">
        <v>71</v>
      </c>
      <c r="D568" s="23"/>
      <c r="E568" s="24" t="s">
        <v>110</v>
      </c>
      <c r="F568" s="25">
        <f>F569</f>
        <v>1393.2000000000003</v>
      </c>
      <c r="G568" s="25">
        <f>G569</f>
        <v>609.8</v>
      </c>
      <c r="H568" s="57">
        <f t="shared" si="50"/>
        <v>783.4000000000003</v>
      </c>
      <c r="I568" s="59">
        <f t="shared" si="51"/>
        <v>0.4376973873097903</v>
      </c>
    </row>
    <row r="569" spans="1:9" ht="63.75">
      <c r="A569" s="23"/>
      <c r="B569" s="23"/>
      <c r="C569" s="23" t="s">
        <v>198</v>
      </c>
      <c r="D569" s="23"/>
      <c r="E569" s="24" t="s">
        <v>348</v>
      </c>
      <c r="F569" s="25">
        <f>SUM(F570:F571)</f>
        <v>1393.2000000000003</v>
      </c>
      <c r="G569" s="25">
        <f>SUM(G570:G571)</f>
        <v>609.8</v>
      </c>
      <c r="H569" s="57">
        <f t="shared" si="50"/>
        <v>783.4000000000003</v>
      </c>
      <c r="I569" s="59">
        <f t="shared" si="51"/>
        <v>0.4376973873097903</v>
      </c>
    </row>
    <row r="570" spans="1:9" ht="25.5">
      <c r="A570" s="23"/>
      <c r="B570" s="23"/>
      <c r="C570" s="23"/>
      <c r="D570" s="23" t="s">
        <v>47</v>
      </c>
      <c r="E570" s="24" t="s">
        <v>48</v>
      </c>
      <c r="F570" s="25">
        <v>80.4</v>
      </c>
      <c r="G570" s="25">
        <v>18.4</v>
      </c>
      <c r="H570" s="57">
        <f t="shared" si="50"/>
        <v>62.00000000000001</v>
      </c>
      <c r="I570" s="59">
        <f t="shared" si="51"/>
        <v>0.22885572139303478</v>
      </c>
    </row>
    <row r="571" spans="1:9" ht="51">
      <c r="A571" s="23"/>
      <c r="B571" s="23"/>
      <c r="C571" s="23"/>
      <c r="D571" s="23" t="s">
        <v>65</v>
      </c>
      <c r="E571" s="24" t="s">
        <v>178</v>
      </c>
      <c r="F571" s="25">
        <f>381.1+931.7</f>
        <v>1312.8000000000002</v>
      </c>
      <c r="G571" s="25">
        <v>591.4</v>
      </c>
      <c r="H571" s="57">
        <f t="shared" si="50"/>
        <v>721.4000000000002</v>
      </c>
      <c r="I571" s="59">
        <f t="shared" si="51"/>
        <v>0.45048750761730644</v>
      </c>
    </row>
    <row r="572" spans="1:9" ht="55.5" customHeight="1">
      <c r="A572" s="23"/>
      <c r="B572" s="23"/>
      <c r="C572" s="23" t="s">
        <v>475</v>
      </c>
      <c r="D572" s="23"/>
      <c r="E572" s="49" t="s">
        <v>478</v>
      </c>
      <c r="F572" s="25">
        <f>F573</f>
        <v>3893.1</v>
      </c>
      <c r="G572" s="25">
        <f>G573</f>
        <v>3272.2</v>
      </c>
      <c r="H572" s="57">
        <f t="shared" si="50"/>
        <v>620.9000000000001</v>
      </c>
      <c r="I572" s="59">
        <f t="shared" si="51"/>
        <v>0.8405127019598777</v>
      </c>
    </row>
    <row r="573" spans="1:9" ht="63.75">
      <c r="A573" s="23"/>
      <c r="B573" s="23"/>
      <c r="C573" s="23" t="s">
        <v>477</v>
      </c>
      <c r="D573" s="23"/>
      <c r="E573" s="24" t="s">
        <v>476</v>
      </c>
      <c r="F573" s="25">
        <f>F574</f>
        <v>3893.1</v>
      </c>
      <c r="G573" s="25">
        <f>G574</f>
        <v>3272.2</v>
      </c>
      <c r="H573" s="57">
        <f t="shared" si="50"/>
        <v>620.9000000000001</v>
      </c>
      <c r="I573" s="59">
        <f t="shared" si="51"/>
        <v>0.8405127019598777</v>
      </c>
    </row>
    <row r="574" spans="1:9" ht="51">
      <c r="A574" s="23"/>
      <c r="B574" s="23"/>
      <c r="C574" s="23"/>
      <c r="D574" s="26" t="s">
        <v>65</v>
      </c>
      <c r="E574" s="24" t="s">
        <v>178</v>
      </c>
      <c r="F574" s="25">
        <v>3893.1</v>
      </c>
      <c r="G574" s="25">
        <v>3272.2</v>
      </c>
      <c r="H574" s="57">
        <f t="shared" si="50"/>
        <v>620.9000000000001</v>
      </c>
      <c r="I574" s="59">
        <f t="shared" si="51"/>
        <v>0.8405127019598777</v>
      </c>
    </row>
    <row r="575" spans="1:9" ht="25.5">
      <c r="A575" s="23"/>
      <c r="B575" s="23" t="s">
        <v>105</v>
      </c>
      <c r="C575" s="23"/>
      <c r="D575" s="23"/>
      <c r="E575" s="24" t="s">
        <v>106</v>
      </c>
      <c r="F575" s="25">
        <f>F580+F576+F583</f>
        <v>2808.5</v>
      </c>
      <c r="G575" s="25">
        <f>G580+G576+G583</f>
        <v>1733</v>
      </c>
      <c r="H575" s="57">
        <f t="shared" si="50"/>
        <v>1075.5</v>
      </c>
      <c r="I575" s="59">
        <f t="shared" si="51"/>
        <v>0.6170553676339683</v>
      </c>
    </row>
    <row r="576" spans="1:9" ht="38.25">
      <c r="A576" s="23"/>
      <c r="B576" s="23"/>
      <c r="C576" s="23" t="s">
        <v>62</v>
      </c>
      <c r="D576" s="50"/>
      <c r="E576" s="49" t="s">
        <v>307</v>
      </c>
      <c r="F576" s="25">
        <f aca="true" t="shared" si="52" ref="F576:G578">F577</f>
        <v>520.3</v>
      </c>
      <c r="G576" s="25">
        <f t="shared" si="52"/>
        <v>520.3</v>
      </c>
      <c r="H576" s="57">
        <f>F576-G576</f>
        <v>0</v>
      </c>
      <c r="I576" s="59">
        <f>G576/F576</f>
        <v>1</v>
      </c>
    </row>
    <row r="577" spans="1:9" ht="63.75">
      <c r="A577" s="23"/>
      <c r="B577" s="23"/>
      <c r="C577" s="23" t="s">
        <v>351</v>
      </c>
      <c r="D577" s="50"/>
      <c r="E577" s="49" t="s">
        <v>352</v>
      </c>
      <c r="F577" s="25">
        <f t="shared" si="52"/>
        <v>520.3</v>
      </c>
      <c r="G577" s="25">
        <f t="shared" si="52"/>
        <v>520.3</v>
      </c>
      <c r="H577" s="57">
        <f>F577-G577</f>
        <v>0</v>
      </c>
      <c r="I577" s="59">
        <f>G577/F577</f>
        <v>1</v>
      </c>
    </row>
    <row r="578" spans="1:9" ht="25.5">
      <c r="A578" s="23"/>
      <c r="B578" s="23"/>
      <c r="C578" s="23" t="s">
        <v>350</v>
      </c>
      <c r="D578" s="23"/>
      <c r="E578" s="24" t="s">
        <v>108</v>
      </c>
      <c r="F578" s="25">
        <f t="shared" si="52"/>
        <v>520.3</v>
      </c>
      <c r="G578" s="25">
        <f t="shared" si="52"/>
        <v>520.3</v>
      </c>
      <c r="H578" s="57">
        <f>F578-G578</f>
        <v>0</v>
      </c>
      <c r="I578" s="59">
        <f>G578/F578</f>
        <v>1</v>
      </c>
    </row>
    <row r="579" spans="1:9" ht="51">
      <c r="A579" s="23"/>
      <c r="B579" s="23"/>
      <c r="C579" s="23"/>
      <c r="D579" s="26" t="s">
        <v>65</v>
      </c>
      <c r="E579" s="24" t="s">
        <v>178</v>
      </c>
      <c r="F579" s="25">
        <v>520.3</v>
      </c>
      <c r="G579" s="25">
        <v>520.3</v>
      </c>
      <c r="H579" s="57">
        <f>F579-G579</f>
        <v>0</v>
      </c>
      <c r="I579" s="59">
        <f>G579/F579</f>
        <v>1</v>
      </c>
    </row>
    <row r="580" spans="1:9" ht="25.5">
      <c r="A580" s="23"/>
      <c r="B580" s="23"/>
      <c r="C580" s="23" t="s">
        <v>69</v>
      </c>
      <c r="D580" s="23"/>
      <c r="E580" s="24" t="s">
        <v>360</v>
      </c>
      <c r="F580" s="25">
        <f>F581</f>
        <v>1683.7</v>
      </c>
      <c r="G580" s="25">
        <f>G581</f>
        <v>780.3</v>
      </c>
      <c r="H580" s="57">
        <f t="shared" si="50"/>
        <v>903.4000000000001</v>
      </c>
      <c r="I580" s="59">
        <f t="shared" si="51"/>
        <v>0.4634436063431727</v>
      </c>
    </row>
    <row r="581" spans="1:9" ht="38.25">
      <c r="A581" s="23"/>
      <c r="B581" s="23"/>
      <c r="C581" s="23" t="s">
        <v>217</v>
      </c>
      <c r="D581" s="23"/>
      <c r="E581" s="24" t="s">
        <v>218</v>
      </c>
      <c r="F581" s="25">
        <f>F582</f>
        <v>1683.7</v>
      </c>
      <c r="G581" s="25">
        <f>G582</f>
        <v>780.3</v>
      </c>
      <c r="H581" s="57">
        <f t="shared" si="50"/>
        <v>903.4000000000001</v>
      </c>
      <c r="I581" s="59">
        <f t="shared" si="51"/>
        <v>0.4634436063431727</v>
      </c>
    </row>
    <row r="582" spans="1:9" ht="51">
      <c r="A582" s="23"/>
      <c r="B582" s="23"/>
      <c r="C582" s="23"/>
      <c r="D582" s="23" t="s">
        <v>65</v>
      </c>
      <c r="E582" s="24" t="s">
        <v>178</v>
      </c>
      <c r="F582" s="25">
        <f>80.5+1632.8-49.6+20</f>
        <v>1683.7</v>
      </c>
      <c r="G582" s="25">
        <v>780.3</v>
      </c>
      <c r="H582" s="57">
        <f t="shared" si="50"/>
        <v>903.4000000000001</v>
      </c>
      <c r="I582" s="59">
        <f t="shared" si="51"/>
        <v>0.4634436063431727</v>
      </c>
    </row>
    <row r="583" spans="1:9" ht="12.75">
      <c r="A583" s="23"/>
      <c r="B583" s="23"/>
      <c r="C583" s="23" t="s">
        <v>70</v>
      </c>
      <c r="D583" s="23"/>
      <c r="E583" s="24" t="s">
        <v>349</v>
      </c>
      <c r="F583" s="25">
        <f>F584</f>
        <v>604.5</v>
      </c>
      <c r="G583" s="25">
        <f>G584</f>
        <v>432.4</v>
      </c>
      <c r="H583" s="57">
        <f>F583-G583</f>
        <v>172.10000000000002</v>
      </c>
      <c r="I583" s="59">
        <f>G583/F583</f>
        <v>0.7153019023986765</v>
      </c>
    </row>
    <row r="584" spans="1:9" ht="25.5">
      <c r="A584" s="23"/>
      <c r="B584" s="23"/>
      <c r="C584" s="23" t="s">
        <v>196</v>
      </c>
      <c r="D584" s="23"/>
      <c r="E584" s="24" t="s">
        <v>107</v>
      </c>
      <c r="F584" s="25">
        <f>F585</f>
        <v>604.5</v>
      </c>
      <c r="G584" s="25">
        <f>G585</f>
        <v>432.4</v>
      </c>
      <c r="H584" s="57">
        <f>F584-G584</f>
        <v>172.10000000000002</v>
      </c>
      <c r="I584" s="59">
        <f>G584/F584</f>
        <v>0.7153019023986765</v>
      </c>
    </row>
    <row r="585" spans="1:9" ht="51">
      <c r="A585" s="23"/>
      <c r="B585" s="23"/>
      <c r="C585" s="23"/>
      <c r="D585" s="23" t="s">
        <v>65</v>
      </c>
      <c r="E585" s="24" t="s">
        <v>178</v>
      </c>
      <c r="F585" s="25">
        <v>604.5</v>
      </c>
      <c r="G585" s="25">
        <v>432.4</v>
      </c>
      <c r="H585" s="57">
        <f>F585-G585</f>
        <v>172.10000000000002</v>
      </c>
      <c r="I585" s="59">
        <f>G585/F585</f>
        <v>0.7153019023986765</v>
      </c>
    </row>
    <row r="586" spans="1:9" ht="25.5">
      <c r="A586" s="23"/>
      <c r="B586" s="23" t="s">
        <v>109</v>
      </c>
      <c r="C586" s="23"/>
      <c r="D586" s="23"/>
      <c r="E586" s="24" t="s">
        <v>110</v>
      </c>
      <c r="F586" s="25">
        <f>F587</f>
        <v>2643.2999999999997</v>
      </c>
      <c r="G586" s="25">
        <f>G587</f>
        <v>1385.9999999999998</v>
      </c>
      <c r="H586" s="57">
        <f t="shared" si="50"/>
        <v>1257.3</v>
      </c>
      <c r="I586" s="59">
        <f t="shared" si="51"/>
        <v>0.5243445692883895</v>
      </c>
    </row>
    <row r="587" spans="1:9" ht="25.5">
      <c r="A587" s="23"/>
      <c r="B587" s="23"/>
      <c r="C587" s="23" t="s">
        <v>81</v>
      </c>
      <c r="D587" s="23"/>
      <c r="E587" s="24" t="s">
        <v>285</v>
      </c>
      <c r="F587" s="25">
        <f>F588</f>
        <v>2643.2999999999997</v>
      </c>
      <c r="G587" s="25">
        <f>G588</f>
        <v>1385.9999999999998</v>
      </c>
      <c r="H587" s="57">
        <f t="shared" si="50"/>
        <v>1257.3</v>
      </c>
      <c r="I587" s="59">
        <f t="shared" si="51"/>
        <v>0.5243445692883895</v>
      </c>
    </row>
    <row r="588" spans="1:9" ht="51">
      <c r="A588" s="23"/>
      <c r="B588" s="23"/>
      <c r="C588" s="23" t="s">
        <v>147</v>
      </c>
      <c r="D588" s="23"/>
      <c r="E588" s="24" t="s">
        <v>148</v>
      </c>
      <c r="F588" s="25">
        <f>SUM(F589:F591)</f>
        <v>2643.2999999999997</v>
      </c>
      <c r="G588" s="25">
        <f>SUM(G589:G591)</f>
        <v>1385.9999999999998</v>
      </c>
      <c r="H588" s="57">
        <f t="shared" si="50"/>
        <v>1257.3</v>
      </c>
      <c r="I588" s="59">
        <f t="shared" si="51"/>
        <v>0.5243445692883895</v>
      </c>
    </row>
    <row r="589" spans="1:9" ht="89.25">
      <c r="A589" s="23"/>
      <c r="B589" s="23"/>
      <c r="C589" s="23"/>
      <c r="D589" s="23" t="s">
        <v>42</v>
      </c>
      <c r="E589" s="24" t="s">
        <v>149</v>
      </c>
      <c r="F589" s="25">
        <f>143+2243.5+70.7+113.4+7.2</f>
        <v>2577.7999999999997</v>
      </c>
      <c r="G589" s="25">
        <v>1343.6</v>
      </c>
      <c r="H589" s="57">
        <f t="shared" si="50"/>
        <v>1234.1999999999998</v>
      </c>
      <c r="I589" s="59">
        <f t="shared" si="51"/>
        <v>0.5212196446582357</v>
      </c>
    </row>
    <row r="590" spans="1:9" ht="38.25">
      <c r="A590" s="23"/>
      <c r="B590" s="23"/>
      <c r="C590" s="23"/>
      <c r="D590" s="23" t="s">
        <v>43</v>
      </c>
      <c r="E590" s="24" t="s">
        <v>150</v>
      </c>
      <c r="F590" s="25">
        <f>63.3+1.9</f>
        <v>65.2</v>
      </c>
      <c r="G590" s="25">
        <v>42.3</v>
      </c>
      <c r="H590" s="57">
        <f t="shared" si="50"/>
        <v>22.900000000000006</v>
      </c>
      <c r="I590" s="59">
        <f t="shared" si="51"/>
        <v>0.6487730061349692</v>
      </c>
    </row>
    <row r="591" spans="1:9" ht="12.75">
      <c r="A591" s="23"/>
      <c r="B591" s="23"/>
      <c r="C591" s="23"/>
      <c r="D591" s="23" t="s">
        <v>44</v>
      </c>
      <c r="E591" s="24" t="s">
        <v>45</v>
      </c>
      <c r="F591" s="25">
        <v>0.3</v>
      </c>
      <c r="G591" s="25">
        <v>0.1</v>
      </c>
      <c r="H591" s="57">
        <f t="shared" si="50"/>
        <v>0.19999999999999998</v>
      </c>
      <c r="I591" s="59">
        <f t="shared" si="51"/>
        <v>0.33333333333333337</v>
      </c>
    </row>
    <row r="592" spans="1:9" ht="12.75">
      <c r="A592" s="23"/>
      <c r="B592" s="23" t="s">
        <v>111</v>
      </c>
      <c r="C592" s="23"/>
      <c r="D592" s="23"/>
      <c r="E592" s="24" t="s">
        <v>210</v>
      </c>
      <c r="F592" s="25">
        <f>F593</f>
        <v>37927.3</v>
      </c>
      <c r="G592" s="25">
        <f>G593</f>
        <v>21602</v>
      </c>
      <c r="H592" s="57">
        <f t="shared" si="50"/>
        <v>16325.300000000003</v>
      </c>
      <c r="I592" s="59">
        <f t="shared" si="51"/>
        <v>0.5695633488278891</v>
      </c>
    </row>
    <row r="593" spans="1:9" ht="12.75">
      <c r="A593" s="23"/>
      <c r="B593" s="23" t="s">
        <v>112</v>
      </c>
      <c r="C593" s="23"/>
      <c r="D593" s="23"/>
      <c r="E593" s="24" t="s">
        <v>113</v>
      </c>
      <c r="F593" s="25">
        <f>F603+F616+F619+F594</f>
        <v>37927.3</v>
      </c>
      <c r="G593" s="25">
        <f>G603+G616+G619+G594</f>
        <v>21602</v>
      </c>
      <c r="H593" s="57">
        <f t="shared" si="50"/>
        <v>16325.300000000003</v>
      </c>
      <c r="I593" s="59">
        <f t="shared" si="51"/>
        <v>0.5695633488278891</v>
      </c>
    </row>
    <row r="594" spans="1:9" ht="38.25">
      <c r="A594" s="23"/>
      <c r="B594" s="23"/>
      <c r="C594" s="23" t="s">
        <v>63</v>
      </c>
      <c r="D594" s="23"/>
      <c r="E594" s="49" t="s">
        <v>312</v>
      </c>
      <c r="F594" s="25">
        <f>F595+F600</f>
        <v>360.6</v>
      </c>
      <c r="G594" s="25">
        <f>G595+G600</f>
        <v>260.6</v>
      </c>
      <c r="H594" s="57">
        <f aca="true" t="shared" si="53" ref="H594:H602">F594-G594</f>
        <v>100</v>
      </c>
      <c r="I594" s="59">
        <f aca="true" t="shared" si="54" ref="I594:I602">G594/F594</f>
        <v>0.7226844148641154</v>
      </c>
    </row>
    <row r="595" spans="1:9" ht="63.75">
      <c r="A595" s="23"/>
      <c r="B595" s="23"/>
      <c r="C595" s="23" t="s">
        <v>1022</v>
      </c>
      <c r="D595" s="23"/>
      <c r="E595" s="49" t="s">
        <v>1052</v>
      </c>
      <c r="F595" s="25">
        <f>F596+F598</f>
        <v>150</v>
      </c>
      <c r="G595" s="25">
        <f>G596+G598</f>
        <v>50</v>
      </c>
      <c r="H595" s="57">
        <f t="shared" si="53"/>
        <v>100</v>
      </c>
      <c r="I595" s="59">
        <f t="shared" si="54"/>
        <v>0.3333333333333333</v>
      </c>
    </row>
    <row r="596" spans="1:9" ht="51">
      <c r="A596" s="23"/>
      <c r="B596" s="23"/>
      <c r="C596" s="23" t="s">
        <v>1023</v>
      </c>
      <c r="D596" s="23"/>
      <c r="E596" s="243" t="s">
        <v>1054</v>
      </c>
      <c r="F596" s="25">
        <f>F597</f>
        <v>100</v>
      </c>
      <c r="G596" s="25">
        <f>G597</f>
        <v>0</v>
      </c>
      <c r="H596" s="57">
        <f t="shared" si="53"/>
        <v>100</v>
      </c>
      <c r="I596" s="59">
        <f t="shared" si="54"/>
        <v>0</v>
      </c>
    </row>
    <row r="597" spans="1:9" ht="51">
      <c r="A597" s="23"/>
      <c r="B597" s="23"/>
      <c r="C597" s="23"/>
      <c r="D597" s="23" t="s">
        <v>65</v>
      </c>
      <c r="E597" s="24" t="s">
        <v>178</v>
      </c>
      <c r="F597" s="25">
        <v>100</v>
      </c>
      <c r="G597" s="25">
        <v>0</v>
      </c>
      <c r="H597" s="57">
        <f t="shared" si="53"/>
        <v>100</v>
      </c>
      <c r="I597" s="59">
        <f t="shared" si="54"/>
        <v>0</v>
      </c>
    </row>
    <row r="598" spans="1:9" ht="51">
      <c r="A598" s="23"/>
      <c r="B598" s="23"/>
      <c r="C598" s="23" t="s">
        <v>1024</v>
      </c>
      <c r="D598" s="23"/>
      <c r="E598" s="243" t="s">
        <v>1055</v>
      </c>
      <c r="F598" s="25">
        <f>F599</f>
        <v>50</v>
      </c>
      <c r="G598" s="25">
        <f>G599</f>
        <v>50</v>
      </c>
      <c r="H598" s="57">
        <f t="shared" si="53"/>
        <v>0</v>
      </c>
      <c r="I598" s="59">
        <f t="shared" si="54"/>
        <v>1</v>
      </c>
    </row>
    <row r="599" spans="1:9" ht="51">
      <c r="A599" s="23"/>
      <c r="B599" s="23"/>
      <c r="C599" s="23"/>
      <c r="D599" s="23" t="s">
        <v>65</v>
      </c>
      <c r="E599" s="24" t="s">
        <v>178</v>
      </c>
      <c r="F599" s="25">
        <v>50</v>
      </c>
      <c r="G599" s="25">
        <v>50</v>
      </c>
      <c r="H599" s="57">
        <f t="shared" si="53"/>
        <v>0</v>
      </c>
      <c r="I599" s="59">
        <f t="shared" si="54"/>
        <v>1</v>
      </c>
    </row>
    <row r="600" spans="1:9" ht="89.25">
      <c r="A600" s="23"/>
      <c r="B600" s="23"/>
      <c r="C600" s="23" t="s">
        <v>1025</v>
      </c>
      <c r="D600" s="23"/>
      <c r="E600" s="49" t="s">
        <v>1053</v>
      </c>
      <c r="F600" s="25">
        <f>F601</f>
        <v>210.6</v>
      </c>
      <c r="G600" s="25">
        <f>G601</f>
        <v>210.6</v>
      </c>
      <c r="H600" s="57">
        <f t="shared" si="53"/>
        <v>0</v>
      </c>
      <c r="I600" s="59">
        <f t="shared" si="54"/>
        <v>1</v>
      </c>
    </row>
    <row r="601" spans="1:9" ht="63.75">
      <c r="A601" s="23"/>
      <c r="B601" s="23"/>
      <c r="C601" s="23" t="s">
        <v>1026</v>
      </c>
      <c r="D601" s="23"/>
      <c r="E601" s="49" t="s">
        <v>1056</v>
      </c>
      <c r="F601" s="25">
        <f>F602</f>
        <v>210.6</v>
      </c>
      <c r="G601" s="25">
        <f>G602</f>
        <v>210.6</v>
      </c>
      <c r="H601" s="57">
        <f t="shared" si="53"/>
        <v>0</v>
      </c>
      <c r="I601" s="59">
        <f t="shared" si="54"/>
        <v>1</v>
      </c>
    </row>
    <row r="602" spans="1:9" ht="51">
      <c r="A602" s="23"/>
      <c r="B602" s="23"/>
      <c r="C602" s="23"/>
      <c r="D602" s="23" t="s">
        <v>65</v>
      </c>
      <c r="E602" s="24" t="s">
        <v>178</v>
      </c>
      <c r="F602" s="25">
        <v>210.6</v>
      </c>
      <c r="G602" s="25">
        <v>210.6</v>
      </c>
      <c r="H602" s="57">
        <f t="shared" si="53"/>
        <v>0</v>
      </c>
      <c r="I602" s="59">
        <f t="shared" si="54"/>
        <v>1</v>
      </c>
    </row>
    <row r="603" spans="1:9" ht="12.75">
      <c r="A603" s="23"/>
      <c r="B603" s="23"/>
      <c r="C603" s="23" t="s">
        <v>72</v>
      </c>
      <c r="D603" s="23"/>
      <c r="E603" s="24" t="s">
        <v>361</v>
      </c>
      <c r="F603" s="25">
        <f>F604+F606+F608+F610+F612+F614</f>
        <v>20590.4</v>
      </c>
      <c r="G603" s="25">
        <f>G604+G606+G608+G610+G612+G614</f>
        <v>9452.4</v>
      </c>
      <c r="H603" s="57">
        <f t="shared" si="50"/>
        <v>11138.000000000002</v>
      </c>
      <c r="I603" s="59">
        <f t="shared" si="51"/>
        <v>0.4590683036754992</v>
      </c>
    </row>
    <row r="604" spans="1:9" ht="89.25">
      <c r="A604" s="23"/>
      <c r="B604" s="23"/>
      <c r="C604" s="23" t="s">
        <v>211</v>
      </c>
      <c r="D604" s="23"/>
      <c r="E604" s="27" t="s">
        <v>212</v>
      </c>
      <c r="F604" s="25">
        <f>F605</f>
        <v>13409.7</v>
      </c>
      <c r="G604" s="25">
        <f>G605</f>
        <v>6644.4</v>
      </c>
      <c r="H604" s="57">
        <f t="shared" si="50"/>
        <v>6765.300000000001</v>
      </c>
      <c r="I604" s="59">
        <f t="shared" si="51"/>
        <v>0.49549206917380695</v>
      </c>
    </row>
    <row r="605" spans="1:9" ht="51">
      <c r="A605" s="23"/>
      <c r="B605" s="23"/>
      <c r="C605" s="23"/>
      <c r="D605" s="23" t="s">
        <v>65</v>
      </c>
      <c r="E605" s="24" t="s">
        <v>178</v>
      </c>
      <c r="F605" s="25">
        <v>13409.7</v>
      </c>
      <c r="G605" s="25">
        <v>6644.4</v>
      </c>
      <c r="H605" s="57">
        <f t="shared" si="50"/>
        <v>6765.300000000001</v>
      </c>
      <c r="I605" s="59">
        <f t="shared" si="51"/>
        <v>0.49549206917380695</v>
      </c>
    </row>
    <row r="606" spans="1:9" ht="76.5">
      <c r="A606" s="23"/>
      <c r="B606" s="23"/>
      <c r="C606" s="23" t="s">
        <v>213</v>
      </c>
      <c r="D606" s="23"/>
      <c r="E606" s="24" t="s">
        <v>214</v>
      </c>
      <c r="F606" s="25">
        <f>F607</f>
        <v>164.7</v>
      </c>
      <c r="G606" s="25">
        <f>G607</f>
        <v>113.7</v>
      </c>
      <c r="H606" s="57">
        <f t="shared" si="50"/>
        <v>50.999999999999986</v>
      </c>
      <c r="I606" s="59">
        <f t="shared" si="51"/>
        <v>0.6903460837887068</v>
      </c>
    </row>
    <row r="607" spans="1:9" ht="51">
      <c r="A607" s="23"/>
      <c r="B607" s="23"/>
      <c r="C607" s="23"/>
      <c r="D607" s="23" t="s">
        <v>65</v>
      </c>
      <c r="E607" s="24" t="s">
        <v>178</v>
      </c>
      <c r="F607" s="25">
        <v>164.7</v>
      </c>
      <c r="G607" s="25">
        <v>113.7</v>
      </c>
      <c r="H607" s="57">
        <f t="shared" si="50"/>
        <v>50.999999999999986</v>
      </c>
      <c r="I607" s="59">
        <f t="shared" si="51"/>
        <v>0.6903460837887068</v>
      </c>
    </row>
    <row r="608" spans="1:9" ht="89.25">
      <c r="A608" s="23"/>
      <c r="B608" s="23"/>
      <c r="C608" s="23" t="s">
        <v>512</v>
      </c>
      <c r="D608" s="23"/>
      <c r="E608" s="24" t="s">
        <v>513</v>
      </c>
      <c r="F608" s="25">
        <f>F609</f>
        <v>3861.9</v>
      </c>
      <c r="G608" s="25">
        <f>G609</f>
        <v>1510.4</v>
      </c>
      <c r="H608" s="57">
        <f t="shared" si="50"/>
        <v>2351.5</v>
      </c>
      <c r="I608" s="59">
        <f t="shared" si="51"/>
        <v>0.39110282503430954</v>
      </c>
    </row>
    <row r="609" spans="1:9" ht="51">
      <c r="A609" s="23"/>
      <c r="B609" s="23"/>
      <c r="C609" s="23"/>
      <c r="D609" s="23" t="s">
        <v>65</v>
      </c>
      <c r="E609" s="24" t="s">
        <v>178</v>
      </c>
      <c r="F609" s="25">
        <v>3861.9</v>
      </c>
      <c r="G609" s="25">
        <v>1510.4</v>
      </c>
      <c r="H609" s="57">
        <f t="shared" si="50"/>
        <v>2351.5</v>
      </c>
      <c r="I609" s="59">
        <f t="shared" si="51"/>
        <v>0.39110282503430954</v>
      </c>
    </row>
    <row r="610" spans="1:9" ht="76.5">
      <c r="A610" s="23"/>
      <c r="B610" s="23"/>
      <c r="C610" s="23" t="s">
        <v>514</v>
      </c>
      <c r="D610" s="23"/>
      <c r="E610" s="24" t="s">
        <v>515</v>
      </c>
      <c r="F610" s="25">
        <f>F611</f>
        <v>1589.9</v>
      </c>
      <c r="G610" s="25">
        <f>G611</f>
        <v>598.9</v>
      </c>
      <c r="H610" s="57">
        <f t="shared" si="50"/>
        <v>991.0000000000001</v>
      </c>
      <c r="I610" s="59">
        <f t="shared" si="51"/>
        <v>0.3766903578841436</v>
      </c>
    </row>
    <row r="611" spans="1:9" ht="51">
      <c r="A611" s="23"/>
      <c r="B611" s="23"/>
      <c r="C611" s="23"/>
      <c r="D611" s="23" t="s">
        <v>65</v>
      </c>
      <c r="E611" s="24" t="s">
        <v>178</v>
      </c>
      <c r="F611" s="25">
        <v>1589.9</v>
      </c>
      <c r="G611" s="25">
        <v>598.9</v>
      </c>
      <c r="H611" s="57">
        <f t="shared" si="50"/>
        <v>991.0000000000001</v>
      </c>
      <c r="I611" s="59">
        <f t="shared" si="51"/>
        <v>0.3766903578841436</v>
      </c>
    </row>
    <row r="612" spans="1:9" ht="76.5">
      <c r="A612" s="23"/>
      <c r="B612" s="23"/>
      <c r="C612" s="23" t="s">
        <v>516</v>
      </c>
      <c r="D612" s="23"/>
      <c r="E612" s="24" t="s">
        <v>517</v>
      </c>
      <c r="F612" s="25">
        <f>F613</f>
        <v>1011.1</v>
      </c>
      <c r="G612" s="25">
        <f>G613</f>
        <v>371.8</v>
      </c>
      <c r="H612" s="57">
        <f t="shared" si="50"/>
        <v>639.3</v>
      </c>
      <c r="I612" s="59">
        <f t="shared" si="51"/>
        <v>0.3677183265750173</v>
      </c>
    </row>
    <row r="613" spans="1:9" ht="51">
      <c r="A613" s="23"/>
      <c r="B613" s="23"/>
      <c r="C613" s="23"/>
      <c r="D613" s="23" t="s">
        <v>65</v>
      </c>
      <c r="E613" s="24" t="s">
        <v>178</v>
      </c>
      <c r="F613" s="25">
        <v>1011.1</v>
      </c>
      <c r="G613" s="25">
        <v>371.8</v>
      </c>
      <c r="H613" s="57">
        <f t="shared" si="50"/>
        <v>639.3</v>
      </c>
      <c r="I613" s="59">
        <f t="shared" si="51"/>
        <v>0.3677183265750173</v>
      </c>
    </row>
    <row r="614" spans="1:9" ht="76.5">
      <c r="A614" s="23"/>
      <c r="B614" s="23"/>
      <c r="C614" s="23" t="s">
        <v>518</v>
      </c>
      <c r="D614" s="23"/>
      <c r="E614" s="24" t="s">
        <v>519</v>
      </c>
      <c r="F614" s="25">
        <f>F615</f>
        <v>553.1</v>
      </c>
      <c r="G614" s="25">
        <f>G615</f>
        <v>213.2</v>
      </c>
      <c r="H614" s="57">
        <f t="shared" si="50"/>
        <v>339.90000000000003</v>
      </c>
      <c r="I614" s="59">
        <f t="shared" si="51"/>
        <v>0.38546374977400105</v>
      </c>
    </row>
    <row r="615" spans="1:9" ht="51">
      <c r="A615" s="23"/>
      <c r="B615" s="23"/>
      <c r="C615" s="23"/>
      <c r="D615" s="23" t="s">
        <v>65</v>
      </c>
      <c r="E615" s="24" t="s">
        <v>178</v>
      </c>
      <c r="F615" s="25">
        <v>553.1</v>
      </c>
      <c r="G615" s="25">
        <v>213.2</v>
      </c>
      <c r="H615" s="57">
        <f t="shared" si="50"/>
        <v>339.90000000000003</v>
      </c>
      <c r="I615" s="59">
        <f t="shared" si="51"/>
        <v>0.38546374977400105</v>
      </c>
    </row>
    <row r="616" spans="1:9" ht="12.75">
      <c r="A616" s="23"/>
      <c r="B616" s="23"/>
      <c r="C616" s="23" t="s">
        <v>73</v>
      </c>
      <c r="D616" s="23"/>
      <c r="E616" s="24" t="s">
        <v>362</v>
      </c>
      <c r="F616" s="25">
        <f>F617</f>
        <v>10523</v>
      </c>
      <c r="G616" s="25">
        <f>G617</f>
        <v>5532.5</v>
      </c>
      <c r="H616" s="57">
        <f t="shared" si="50"/>
        <v>4990.5</v>
      </c>
      <c r="I616" s="59">
        <f t="shared" si="51"/>
        <v>0.5257531122303526</v>
      </c>
    </row>
    <row r="617" spans="1:9" ht="51">
      <c r="A617" s="23"/>
      <c r="B617" s="23"/>
      <c r="C617" s="23" t="s">
        <v>215</v>
      </c>
      <c r="D617" s="23"/>
      <c r="E617" s="24" t="s">
        <v>216</v>
      </c>
      <c r="F617" s="25">
        <f>F618</f>
        <v>10523</v>
      </c>
      <c r="G617" s="25">
        <f>G618</f>
        <v>5532.5</v>
      </c>
      <c r="H617" s="57">
        <f t="shared" si="50"/>
        <v>4990.5</v>
      </c>
      <c r="I617" s="59">
        <f t="shared" si="51"/>
        <v>0.5257531122303526</v>
      </c>
    </row>
    <row r="618" spans="1:9" ht="51">
      <c r="A618" s="23"/>
      <c r="B618" s="23"/>
      <c r="C618" s="23"/>
      <c r="D618" s="23" t="s">
        <v>65</v>
      </c>
      <c r="E618" s="24" t="s">
        <v>178</v>
      </c>
      <c r="F618" s="25">
        <v>10523</v>
      </c>
      <c r="G618" s="25">
        <v>5532.5</v>
      </c>
      <c r="H618" s="57">
        <f t="shared" si="50"/>
        <v>4990.5</v>
      </c>
      <c r="I618" s="59">
        <f t="shared" si="51"/>
        <v>0.5257531122303526</v>
      </c>
    </row>
    <row r="619" spans="1:9" ht="63.75">
      <c r="A619" s="23"/>
      <c r="B619" s="23"/>
      <c r="C619" s="23" t="s">
        <v>475</v>
      </c>
      <c r="D619" s="23"/>
      <c r="E619" s="49" t="s">
        <v>478</v>
      </c>
      <c r="F619" s="25">
        <f>F620</f>
        <v>6453.3</v>
      </c>
      <c r="G619" s="25">
        <f>G620</f>
        <v>6356.5</v>
      </c>
      <c r="H619" s="57">
        <f>F619-G619</f>
        <v>96.80000000000018</v>
      </c>
      <c r="I619" s="59">
        <f>G619/F619</f>
        <v>0.9849999225202609</v>
      </c>
    </row>
    <row r="620" spans="1:9" ht="63.75">
      <c r="A620" s="23"/>
      <c r="B620" s="23"/>
      <c r="C620" s="23" t="s">
        <v>477</v>
      </c>
      <c r="D620" s="23"/>
      <c r="E620" s="24" t="s">
        <v>476</v>
      </c>
      <c r="F620" s="25">
        <f>F621</f>
        <v>6453.3</v>
      </c>
      <c r="G620" s="25">
        <f>G621</f>
        <v>6356.5</v>
      </c>
      <c r="H620" s="57">
        <f>F620-G620</f>
        <v>96.80000000000018</v>
      </c>
      <c r="I620" s="59">
        <f>G620/F620</f>
        <v>0.9849999225202609</v>
      </c>
    </row>
    <row r="621" spans="1:9" ht="51">
      <c r="A621" s="23"/>
      <c r="B621" s="23"/>
      <c r="C621" s="23"/>
      <c r="D621" s="26" t="s">
        <v>65</v>
      </c>
      <c r="E621" s="24" t="s">
        <v>178</v>
      </c>
      <c r="F621" s="25">
        <v>6453.3</v>
      </c>
      <c r="G621" s="25">
        <v>6356.5</v>
      </c>
      <c r="H621" s="57">
        <f>F621-G621</f>
        <v>96.80000000000018</v>
      </c>
      <c r="I621" s="59">
        <f>G621/F621</f>
        <v>0.9849999225202609</v>
      </c>
    </row>
    <row r="622" spans="1:9" ht="12.75">
      <c r="A622" s="23"/>
      <c r="B622" s="23" t="s">
        <v>118</v>
      </c>
      <c r="C622" s="23"/>
      <c r="D622" s="23"/>
      <c r="E622" s="24" t="s">
        <v>119</v>
      </c>
      <c r="F622" s="25">
        <f>F623+F627+F642</f>
        <v>2405.2999999999997</v>
      </c>
      <c r="G622" s="25">
        <f>G623+G627+G642</f>
        <v>804.3</v>
      </c>
      <c r="H622" s="57">
        <f t="shared" si="50"/>
        <v>1600.9999999999998</v>
      </c>
      <c r="I622" s="59">
        <f t="shared" si="51"/>
        <v>0.33438656300669356</v>
      </c>
    </row>
    <row r="623" spans="1:9" ht="12.75">
      <c r="A623" s="23"/>
      <c r="B623" s="23" t="s">
        <v>120</v>
      </c>
      <c r="C623" s="23"/>
      <c r="D623" s="23"/>
      <c r="E623" s="24" t="s">
        <v>121</v>
      </c>
      <c r="F623" s="25">
        <f aca="true" t="shared" si="55" ref="F623:G625">F624</f>
        <v>164</v>
      </c>
      <c r="G623" s="25">
        <f t="shared" si="55"/>
        <v>77.8</v>
      </c>
      <c r="H623" s="57">
        <f t="shared" si="50"/>
        <v>86.2</v>
      </c>
      <c r="I623" s="59">
        <f t="shared" si="51"/>
        <v>0.474390243902439</v>
      </c>
    </row>
    <row r="624" spans="1:9" ht="12.75">
      <c r="A624" s="23"/>
      <c r="B624" s="23"/>
      <c r="C624" s="23" t="s">
        <v>74</v>
      </c>
      <c r="D624" s="23"/>
      <c r="E624" s="24" t="s">
        <v>287</v>
      </c>
      <c r="F624" s="25">
        <f t="shared" si="55"/>
        <v>164</v>
      </c>
      <c r="G624" s="25">
        <f t="shared" si="55"/>
        <v>77.8</v>
      </c>
      <c r="H624" s="57">
        <f t="shared" si="50"/>
        <v>86.2</v>
      </c>
      <c r="I624" s="59">
        <f t="shared" si="51"/>
        <v>0.474390243902439</v>
      </c>
    </row>
    <row r="625" spans="1:9" ht="89.25">
      <c r="A625" s="23"/>
      <c r="B625" s="23"/>
      <c r="C625" s="23" t="s">
        <v>151</v>
      </c>
      <c r="D625" s="23"/>
      <c r="E625" s="24" t="s">
        <v>152</v>
      </c>
      <c r="F625" s="25">
        <f t="shared" si="55"/>
        <v>164</v>
      </c>
      <c r="G625" s="25">
        <f t="shared" si="55"/>
        <v>77.8</v>
      </c>
      <c r="H625" s="57">
        <f t="shared" si="50"/>
        <v>86.2</v>
      </c>
      <c r="I625" s="59">
        <f t="shared" si="51"/>
        <v>0.474390243902439</v>
      </c>
    </row>
    <row r="626" spans="1:9" ht="25.5">
      <c r="A626" s="23"/>
      <c r="B626" s="23"/>
      <c r="C626" s="23"/>
      <c r="D626" s="23" t="s">
        <v>47</v>
      </c>
      <c r="E626" s="24" t="s">
        <v>48</v>
      </c>
      <c r="F626" s="25">
        <v>164</v>
      </c>
      <c r="G626" s="25">
        <v>77.8</v>
      </c>
      <c r="H626" s="57">
        <f t="shared" si="50"/>
        <v>86.2</v>
      </c>
      <c r="I626" s="59">
        <f t="shared" si="51"/>
        <v>0.474390243902439</v>
      </c>
    </row>
    <row r="627" spans="1:9" ht="12.75">
      <c r="A627" s="23"/>
      <c r="B627" s="23" t="s">
        <v>122</v>
      </c>
      <c r="C627" s="23"/>
      <c r="D627" s="23"/>
      <c r="E627" s="24" t="s">
        <v>123</v>
      </c>
      <c r="F627" s="25">
        <f>F628+F637</f>
        <v>941.2999999999998</v>
      </c>
      <c r="G627" s="25">
        <f>G628+G637</f>
        <v>399.3</v>
      </c>
      <c r="H627" s="57">
        <f t="shared" si="50"/>
        <v>541.9999999999998</v>
      </c>
      <c r="I627" s="59">
        <f t="shared" si="51"/>
        <v>0.42420057367470526</v>
      </c>
    </row>
    <row r="628" spans="1:9" ht="38.25">
      <c r="A628" s="23"/>
      <c r="B628" s="23"/>
      <c r="C628" s="23" t="s">
        <v>60</v>
      </c>
      <c r="D628" s="23"/>
      <c r="E628" s="49" t="s">
        <v>301</v>
      </c>
      <c r="F628" s="25">
        <f>F629</f>
        <v>870.8999999999999</v>
      </c>
      <c r="G628" s="25">
        <f>G629</f>
        <v>377.1</v>
      </c>
      <c r="H628" s="57">
        <f t="shared" si="50"/>
        <v>493.79999999999984</v>
      </c>
      <c r="I628" s="59">
        <f t="shared" si="51"/>
        <v>0.43300034447123675</v>
      </c>
    </row>
    <row r="629" spans="1:9" ht="89.25">
      <c r="A629" s="23"/>
      <c r="B629" s="23"/>
      <c r="C629" s="23" t="s">
        <v>300</v>
      </c>
      <c r="D629" s="23"/>
      <c r="E629" s="49" t="s">
        <v>302</v>
      </c>
      <c r="F629" s="25">
        <f>F632+F630+F635</f>
        <v>870.8999999999999</v>
      </c>
      <c r="G629" s="25">
        <f>G632+G630+G635</f>
        <v>377.1</v>
      </c>
      <c r="H629" s="57">
        <f t="shared" si="50"/>
        <v>493.79999999999984</v>
      </c>
      <c r="I629" s="59">
        <f t="shared" si="51"/>
        <v>0.43300034447123675</v>
      </c>
    </row>
    <row r="630" spans="1:9" ht="63.75">
      <c r="A630" s="23"/>
      <c r="B630" s="23"/>
      <c r="C630" s="23" t="s">
        <v>298</v>
      </c>
      <c r="D630" s="23"/>
      <c r="E630" s="24" t="s">
        <v>299</v>
      </c>
      <c r="F630" s="25">
        <f>F631</f>
        <v>137.7</v>
      </c>
      <c r="G630" s="25">
        <f>G631</f>
        <v>41.3</v>
      </c>
      <c r="H630" s="57">
        <f t="shared" si="50"/>
        <v>96.39999999999999</v>
      </c>
      <c r="I630" s="59">
        <f t="shared" si="51"/>
        <v>0.2999273783587509</v>
      </c>
    </row>
    <row r="631" spans="1:9" ht="51">
      <c r="A631" s="23"/>
      <c r="B631" s="23"/>
      <c r="C631" s="23"/>
      <c r="D631" s="23" t="s">
        <v>65</v>
      </c>
      <c r="E631" s="24" t="s">
        <v>178</v>
      </c>
      <c r="F631" s="25">
        <v>137.7</v>
      </c>
      <c r="G631" s="25">
        <v>41.3</v>
      </c>
      <c r="H631" s="57">
        <f t="shared" si="50"/>
        <v>96.39999999999999</v>
      </c>
      <c r="I631" s="59">
        <f t="shared" si="51"/>
        <v>0.2999273783587509</v>
      </c>
    </row>
    <row r="632" spans="1:9" ht="127.5">
      <c r="A632" s="23"/>
      <c r="B632" s="23"/>
      <c r="C632" s="23" t="s">
        <v>363</v>
      </c>
      <c r="D632" s="23"/>
      <c r="E632" s="24" t="s">
        <v>246</v>
      </c>
      <c r="F632" s="25">
        <f>F633+F634</f>
        <v>598.1999999999999</v>
      </c>
      <c r="G632" s="25">
        <f>G633+G634</f>
        <v>284.3</v>
      </c>
      <c r="H632" s="57">
        <f t="shared" si="50"/>
        <v>313.8999999999999</v>
      </c>
      <c r="I632" s="59">
        <f t="shared" si="51"/>
        <v>0.4752591106653294</v>
      </c>
    </row>
    <row r="633" spans="1:9" ht="25.5">
      <c r="A633" s="23"/>
      <c r="B633" s="23"/>
      <c r="C633" s="23"/>
      <c r="D633" s="23" t="s">
        <v>47</v>
      </c>
      <c r="E633" s="24" t="s">
        <v>48</v>
      </c>
      <c r="F633" s="25">
        <v>55.4</v>
      </c>
      <c r="G633" s="25">
        <v>8.1</v>
      </c>
      <c r="H633" s="57">
        <f t="shared" si="50"/>
        <v>47.3</v>
      </c>
      <c r="I633" s="59">
        <f t="shared" si="51"/>
        <v>0.14620938628158844</v>
      </c>
    </row>
    <row r="634" spans="1:9" ht="51">
      <c r="A634" s="23"/>
      <c r="B634" s="23"/>
      <c r="C634" s="23"/>
      <c r="D634" s="23" t="s">
        <v>65</v>
      </c>
      <c r="E634" s="24" t="s">
        <v>178</v>
      </c>
      <c r="F634" s="25">
        <v>542.8</v>
      </c>
      <c r="G634" s="25">
        <v>276.2</v>
      </c>
      <c r="H634" s="57">
        <f t="shared" si="50"/>
        <v>266.59999999999997</v>
      </c>
      <c r="I634" s="59">
        <f t="shared" si="51"/>
        <v>0.5088430361090641</v>
      </c>
    </row>
    <row r="635" spans="1:9" ht="102">
      <c r="A635" s="23"/>
      <c r="B635" s="23"/>
      <c r="C635" s="23" t="s">
        <v>329</v>
      </c>
      <c r="D635" s="23"/>
      <c r="E635" s="24" t="s">
        <v>330</v>
      </c>
      <c r="F635" s="25">
        <f>F636</f>
        <v>135</v>
      </c>
      <c r="G635" s="25">
        <f>G636</f>
        <v>51.5</v>
      </c>
      <c r="H635" s="57">
        <f t="shared" si="50"/>
        <v>83.5</v>
      </c>
      <c r="I635" s="59">
        <f t="shared" si="51"/>
        <v>0.3814814814814815</v>
      </c>
    </row>
    <row r="636" spans="1:9" ht="51">
      <c r="A636" s="23"/>
      <c r="B636" s="23"/>
      <c r="C636" s="23"/>
      <c r="D636" s="23" t="s">
        <v>65</v>
      </c>
      <c r="E636" s="24" t="s">
        <v>178</v>
      </c>
      <c r="F636" s="25">
        <v>135</v>
      </c>
      <c r="G636" s="25">
        <v>51.5</v>
      </c>
      <c r="H636" s="57">
        <f t="shared" si="50"/>
        <v>83.5</v>
      </c>
      <c r="I636" s="59">
        <f t="shared" si="51"/>
        <v>0.3814814814814815</v>
      </c>
    </row>
    <row r="637" spans="1:9" ht="12.75">
      <c r="A637" s="23"/>
      <c r="B637" s="23"/>
      <c r="C637" s="23" t="s">
        <v>74</v>
      </c>
      <c r="D637" s="23"/>
      <c r="E637" s="24" t="s">
        <v>287</v>
      </c>
      <c r="F637" s="25">
        <f>F638+F640</f>
        <v>70.4</v>
      </c>
      <c r="G637" s="25">
        <f>G638+G640</f>
        <v>22.2</v>
      </c>
      <c r="H637" s="57">
        <f t="shared" si="50"/>
        <v>48.2</v>
      </c>
      <c r="I637" s="59">
        <f t="shared" si="51"/>
        <v>0.31534090909090906</v>
      </c>
    </row>
    <row r="638" spans="1:9" ht="89.25">
      <c r="A638" s="23"/>
      <c r="B638" s="23"/>
      <c r="C638" s="23" t="s">
        <v>238</v>
      </c>
      <c r="D638" s="23"/>
      <c r="E638" s="24" t="s">
        <v>239</v>
      </c>
      <c r="F638" s="25">
        <f>F639</f>
        <v>68.9</v>
      </c>
      <c r="G638" s="25">
        <f>G639</f>
        <v>20.7</v>
      </c>
      <c r="H638" s="57">
        <f t="shared" si="50"/>
        <v>48.2</v>
      </c>
      <c r="I638" s="59">
        <f t="shared" si="51"/>
        <v>0.3004354136429608</v>
      </c>
    </row>
    <row r="639" spans="1:9" ht="51">
      <c r="A639" s="23"/>
      <c r="B639" s="23"/>
      <c r="C639" s="23"/>
      <c r="D639" s="23" t="s">
        <v>65</v>
      </c>
      <c r="E639" s="24" t="s">
        <v>178</v>
      </c>
      <c r="F639" s="25">
        <v>68.9</v>
      </c>
      <c r="G639" s="25">
        <v>20.7</v>
      </c>
      <c r="H639" s="57">
        <f t="shared" si="50"/>
        <v>48.2</v>
      </c>
      <c r="I639" s="59">
        <f t="shared" si="51"/>
        <v>0.3004354136429608</v>
      </c>
    </row>
    <row r="640" spans="1:9" ht="25.5">
      <c r="A640" s="23"/>
      <c r="B640" s="23"/>
      <c r="C640" s="23" t="s">
        <v>460</v>
      </c>
      <c r="D640" s="23"/>
      <c r="E640" s="24" t="s">
        <v>459</v>
      </c>
      <c r="F640" s="25">
        <f>F641</f>
        <v>1.5</v>
      </c>
      <c r="G640" s="25">
        <f>G641</f>
        <v>1.5</v>
      </c>
      <c r="H640" s="57">
        <f>F640-G640</f>
        <v>0</v>
      </c>
      <c r="I640" s="59">
        <f>G640/F640</f>
        <v>1</v>
      </c>
    </row>
    <row r="641" spans="1:9" ht="25.5">
      <c r="A641" s="23"/>
      <c r="B641" s="23"/>
      <c r="C641" s="23"/>
      <c r="D641" s="23" t="s">
        <v>47</v>
      </c>
      <c r="E641" s="24" t="s">
        <v>48</v>
      </c>
      <c r="F641" s="25">
        <v>1.5</v>
      </c>
      <c r="G641" s="25">
        <v>1.5</v>
      </c>
      <c r="H641" s="57">
        <f>F641-G641</f>
        <v>0</v>
      </c>
      <c r="I641" s="59">
        <f>G641/F641</f>
        <v>1</v>
      </c>
    </row>
    <row r="642" spans="1:9" ht="25.5">
      <c r="A642" s="23"/>
      <c r="B642" s="23" t="s">
        <v>369</v>
      </c>
      <c r="C642" s="23"/>
      <c r="D642" s="23"/>
      <c r="E642" s="49" t="s">
        <v>370</v>
      </c>
      <c r="F642" s="25">
        <f aca="true" t="shared" si="56" ref="F642:G644">F643</f>
        <v>1300</v>
      </c>
      <c r="G642" s="25">
        <f t="shared" si="56"/>
        <v>327.2</v>
      </c>
      <c r="H642" s="57">
        <f t="shared" si="50"/>
        <v>972.8</v>
      </c>
      <c r="I642" s="59">
        <f t="shared" si="51"/>
        <v>0.25169230769230766</v>
      </c>
    </row>
    <row r="643" spans="1:9" ht="51">
      <c r="A643" s="23"/>
      <c r="B643" s="23"/>
      <c r="C643" s="23" t="s">
        <v>315</v>
      </c>
      <c r="D643" s="23"/>
      <c r="E643" s="49" t="s">
        <v>317</v>
      </c>
      <c r="F643" s="25">
        <f t="shared" si="56"/>
        <v>1300</v>
      </c>
      <c r="G643" s="25">
        <f t="shared" si="56"/>
        <v>327.2</v>
      </c>
      <c r="H643" s="57">
        <f t="shared" si="50"/>
        <v>972.8</v>
      </c>
      <c r="I643" s="59">
        <f t="shared" si="51"/>
        <v>0.25169230769230766</v>
      </c>
    </row>
    <row r="644" spans="1:9" ht="114.75">
      <c r="A644" s="23"/>
      <c r="B644" s="23"/>
      <c r="C644" s="23" t="s">
        <v>371</v>
      </c>
      <c r="D644" s="23"/>
      <c r="E644" s="49" t="s">
        <v>372</v>
      </c>
      <c r="F644" s="25">
        <f t="shared" si="56"/>
        <v>1300</v>
      </c>
      <c r="G644" s="25">
        <f t="shared" si="56"/>
        <v>327.2</v>
      </c>
      <c r="H644" s="57">
        <f aca="true" t="shared" si="57" ref="H644:H735">F644-G644</f>
        <v>972.8</v>
      </c>
      <c r="I644" s="59">
        <f aca="true" t="shared" si="58" ref="I644:I735">G644/F644</f>
        <v>0.25169230769230766</v>
      </c>
    </row>
    <row r="645" spans="1:9" ht="67.5" customHeight="1">
      <c r="A645" s="23"/>
      <c r="B645" s="23"/>
      <c r="C645" s="23" t="s">
        <v>373</v>
      </c>
      <c r="D645" s="23"/>
      <c r="E645" s="49" t="s">
        <v>374</v>
      </c>
      <c r="F645" s="25">
        <f>F646+F647</f>
        <v>1300</v>
      </c>
      <c r="G645" s="25">
        <f>G646+G647</f>
        <v>327.2</v>
      </c>
      <c r="H645" s="57">
        <f t="shared" si="57"/>
        <v>972.8</v>
      </c>
      <c r="I645" s="59">
        <f t="shared" si="58"/>
        <v>0.25169230769230766</v>
      </c>
    </row>
    <row r="646" spans="1:9" ht="38.25">
      <c r="A646" s="23"/>
      <c r="B646" s="23"/>
      <c r="C646" s="23"/>
      <c r="D646" s="23" t="s">
        <v>43</v>
      </c>
      <c r="E646" s="24" t="s">
        <v>150</v>
      </c>
      <c r="F646" s="25">
        <v>972.8</v>
      </c>
      <c r="G646" s="25">
        <v>0</v>
      </c>
      <c r="H646" s="57">
        <f t="shared" si="57"/>
        <v>972.8</v>
      </c>
      <c r="I646" s="59">
        <f t="shared" si="58"/>
        <v>0</v>
      </c>
    </row>
    <row r="647" spans="1:9" ht="51">
      <c r="A647" s="23"/>
      <c r="B647" s="23"/>
      <c r="C647" s="23"/>
      <c r="D647" s="23" t="s">
        <v>65</v>
      </c>
      <c r="E647" s="24" t="s">
        <v>178</v>
      </c>
      <c r="F647" s="25">
        <v>327.2</v>
      </c>
      <c r="G647" s="25">
        <v>327.2</v>
      </c>
      <c r="H647" s="57">
        <f t="shared" si="57"/>
        <v>0</v>
      </c>
      <c r="I647" s="59">
        <f t="shared" si="58"/>
        <v>1</v>
      </c>
    </row>
    <row r="648" spans="1:9" ht="12.75">
      <c r="A648" s="23"/>
      <c r="B648" s="23" t="s">
        <v>128</v>
      </c>
      <c r="C648" s="23"/>
      <c r="D648" s="23"/>
      <c r="E648" s="24" t="s">
        <v>129</v>
      </c>
      <c r="F648" s="25">
        <f>F649</f>
        <v>18129.600000000002</v>
      </c>
      <c r="G648" s="25">
        <f>G649</f>
        <v>4662.5</v>
      </c>
      <c r="H648" s="57">
        <f t="shared" si="57"/>
        <v>13467.100000000002</v>
      </c>
      <c r="I648" s="59">
        <f t="shared" si="58"/>
        <v>0.25717610978730915</v>
      </c>
    </row>
    <row r="649" spans="1:9" ht="12.75">
      <c r="A649" s="23"/>
      <c r="B649" s="23" t="s">
        <v>130</v>
      </c>
      <c r="C649" s="23"/>
      <c r="D649" s="23"/>
      <c r="E649" s="24" t="s">
        <v>131</v>
      </c>
      <c r="F649" s="25">
        <f>F658+F650+F654+F661</f>
        <v>18129.600000000002</v>
      </c>
      <c r="G649" s="25">
        <f>G658+G650+G654+G661</f>
        <v>4662.5</v>
      </c>
      <c r="H649" s="57">
        <f t="shared" si="57"/>
        <v>13467.100000000002</v>
      </c>
      <c r="I649" s="59">
        <f t="shared" si="58"/>
        <v>0.25717610978730915</v>
      </c>
    </row>
    <row r="650" spans="1:9" ht="25.5">
      <c r="A650" s="23"/>
      <c r="B650" s="23"/>
      <c r="C650" s="23" t="s">
        <v>55</v>
      </c>
      <c r="D650" s="23"/>
      <c r="E650" s="24" t="s">
        <v>297</v>
      </c>
      <c r="F650" s="25">
        <f>F651</f>
        <v>335.9</v>
      </c>
      <c r="G650" s="25">
        <f>G651</f>
        <v>135.9</v>
      </c>
      <c r="H650" s="57">
        <f t="shared" si="57"/>
        <v>199.99999999999997</v>
      </c>
      <c r="I650" s="59">
        <f t="shared" si="58"/>
        <v>0.4045846978267342</v>
      </c>
    </row>
    <row r="651" spans="1:9" ht="25.5">
      <c r="A651" s="23"/>
      <c r="B651" s="23"/>
      <c r="C651" s="23" t="s">
        <v>419</v>
      </c>
      <c r="D651" s="23"/>
      <c r="E651" s="24" t="s">
        <v>420</v>
      </c>
      <c r="F651" s="25">
        <f>F652+F653</f>
        <v>335.9</v>
      </c>
      <c r="G651" s="25">
        <f>G652+G653</f>
        <v>135.9</v>
      </c>
      <c r="H651" s="57">
        <f t="shared" si="57"/>
        <v>199.99999999999997</v>
      </c>
      <c r="I651" s="59">
        <f t="shared" si="58"/>
        <v>0.4045846978267342</v>
      </c>
    </row>
    <row r="652" spans="1:9" ht="38.25">
      <c r="A652" s="23"/>
      <c r="B652" s="23"/>
      <c r="C652" s="23"/>
      <c r="D652" s="23" t="s">
        <v>43</v>
      </c>
      <c r="E652" s="24" t="s">
        <v>150</v>
      </c>
      <c r="F652" s="25">
        <v>300</v>
      </c>
      <c r="G652" s="25">
        <v>100</v>
      </c>
      <c r="H652" s="57">
        <f t="shared" si="57"/>
        <v>200</v>
      </c>
      <c r="I652" s="59">
        <f t="shared" si="58"/>
        <v>0.3333333333333333</v>
      </c>
    </row>
    <row r="653" spans="1:9" ht="51">
      <c r="A653" s="23"/>
      <c r="B653" s="23"/>
      <c r="C653" s="23"/>
      <c r="D653" s="23" t="s">
        <v>65</v>
      </c>
      <c r="E653" s="24" t="s">
        <v>178</v>
      </c>
      <c r="F653" s="25">
        <v>35.9</v>
      </c>
      <c r="G653" s="25">
        <v>35.9</v>
      </c>
      <c r="H653" s="57">
        <f>F653-G653</f>
        <v>0</v>
      </c>
      <c r="I653" s="59">
        <f>G653/F653</f>
        <v>1</v>
      </c>
    </row>
    <row r="654" spans="1:9" ht="38.25">
      <c r="A654" s="23"/>
      <c r="B654" s="23"/>
      <c r="C654" s="23" t="s">
        <v>104</v>
      </c>
      <c r="D654" s="23"/>
      <c r="E654" s="49" t="s">
        <v>1069</v>
      </c>
      <c r="F654" s="25">
        <f aca="true" t="shared" si="59" ref="F654:G656">F655</f>
        <v>7060.3</v>
      </c>
      <c r="G654" s="25">
        <f t="shared" si="59"/>
        <v>0</v>
      </c>
      <c r="H654" s="57">
        <f>F654-G654</f>
        <v>7060.3</v>
      </c>
      <c r="I654" s="59">
        <f>G654/F654</f>
        <v>0</v>
      </c>
    </row>
    <row r="655" spans="1:9" ht="63.75">
      <c r="A655" s="23"/>
      <c r="B655" s="23"/>
      <c r="C655" s="23" t="s">
        <v>1039</v>
      </c>
      <c r="D655" s="23"/>
      <c r="E655" s="49" t="s">
        <v>1070</v>
      </c>
      <c r="F655" s="25">
        <f t="shared" si="59"/>
        <v>7060.3</v>
      </c>
      <c r="G655" s="25">
        <f t="shared" si="59"/>
        <v>0</v>
      </c>
      <c r="H655" s="57">
        <f>F655-G655</f>
        <v>7060.3</v>
      </c>
      <c r="I655" s="59">
        <f>G655/F655</f>
        <v>0</v>
      </c>
    </row>
    <row r="656" spans="1:9" ht="51">
      <c r="A656" s="23"/>
      <c r="B656" s="23"/>
      <c r="C656" s="23" t="s">
        <v>1040</v>
      </c>
      <c r="D656" s="23"/>
      <c r="E656" s="24" t="s">
        <v>1071</v>
      </c>
      <c r="F656" s="25">
        <f t="shared" si="59"/>
        <v>7060.3</v>
      </c>
      <c r="G656" s="25">
        <f t="shared" si="59"/>
        <v>0</v>
      </c>
      <c r="H656" s="57">
        <f>F656-G656</f>
        <v>7060.3</v>
      </c>
      <c r="I656" s="59">
        <f>G656/F656</f>
        <v>0</v>
      </c>
    </row>
    <row r="657" spans="1:9" ht="12.75">
      <c r="A657" s="23"/>
      <c r="B657" s="23"/>
      <c r="C657" s="23"/>
      <c r="D657" s="23" t="s">
        <v>44</v>
      </c>
      <c r="E657" s="24" t="s">
        <v>45</v>
      </c>
      <c r="F657" s="25">
        <v>7060.3</v>
      </c>
      <c r="G657" s="25">
        <v>0</v>
      </c>
      <c r="H657" s="57">
        <f>F657-G657</f>
        <v>7060.3</v>
      </c>
      <c r="I657" s="59">
        <f>G657/F657</f>
        <v>0</v>
      </c>
    </row>
    <row r="658" spans="1:9" ht="12.75">
      <c r="A658" s="23"/>
      <c r="B658" s="23"/>
      <c r="C658" s="23" t="s">
        <v>53</v>
      </c>
      <c r="D658" s="23"/>
      <c r="E658" s="24" t="s">
        <v>364</v>
      </c>
      <c r="F658" s="25">
        <f>F659</f>
        <v>9816.5</v>
      </c>
      <c r="G658" s="25">
        <f>G659</f>
        <v>4526.6</v>
      </c>
      <c r="H658" s="57">
        <f t="shared" si="57"/>
        <v>5289.9</v>
      </c>
      <c r="I658" s="59">
        <f t="shared" si="58"/>
        <v>0.4611215810115622</v>
      </c>
    </row>
    <row r="659" spans="1:9" ht="48" customHeight="1">
      <c r="A659" s="23"/>
      <c r="B659" s="23"/>
      <c r="C659" s="23" t="s">
        <v>219</v>
      </c>
      <c r="D659" s="23"/>
      <c r="E659" s="24" t="s">
        <v>220</v>
      </c>
      <c r="F659" s="25">
        <f>F660</f>
        <v>9816.5</v>
      </c>
      <c r="G659" s="25">
        <f>G660</f>
        <v>4526.6</v>
      </c>
      <c r="H659" s="57">
        <f t="shared" si="57"/>
        <v>5289.9</v>
      </c>
      <c r="I659" s="59">
        <f t="shared" si="58"/>
        <v>0.4611215810115622</v>
      </c>
    </row>
    <row r="660" spans="1:9" ht="51">
      <c r="A660" s="23"/>
      <c r="B660" s="23"/>
      <c r="C660" s="23"/>
      <c r="D660" s="23" t="s">
        <v>65</v>
      </c>
      <c r="E660" s="24" t="s">
        <v>178</v>
      </c>
      <c r="F660" s="25">
        <v>9816.5</v>
      </c>
      <c r="G660" s="25">
        <v>4526.6</v>
      </c>
      <c r="H660" s="57">
        <f t="shared" si="57"/>
        <v>5289.9</v>
      </c>
      <c r="I660" s="59">
        <f t="shared" si="58"/>
        <v>0.4611215810115622</v>
      </c>
    </row>
    <row r="661" spans="1:9" ht="53.25" customHeight="1">
      <c r="A661" s="23"/>
      <c r="B661" s="23"/>
      <c r="C661" s="23" t="s">
        <v>475</v>
      </c>
      <c r="D661" s="23"/>
      <c r="E661" s="49" t="s">
        <v>478</v>
      </c>
      <c r="F661" s="25">
        <f>F662</f>
        <v>916.9</v>
      </c>
      <c r="G661" s="25">
        <f>G662</f>
        <v>0</v>
      </c>
      <c r="H661" s="57">
        <f>F661-G661</f>
        <v>916.9</v>
      </c>
      <c r="I661" s="59">
        <f>G661/F661</f>
        <v>0</v>
      </c>
    </row>
    <row r="662" spans="1:9" ht="63.75">
      <c r="A662" s="23"/>
      <c r="B662" s="23"/>
      <c r="C662" s="23" t="s">
        <v>477</v>
      </c>
      <c r="D662" s="23"/>
      <c r="E662" s="24" t="s">
        <v>476</v>
      </c>
      <c r="F662" s="25">
        <f>F663</f>
        <v>916.9</v>
      </c>
      <c r="G662" s="25">
        <f>G663</f>
        <v>0</v>
      </c>
      <c r="H662" s="57">
        <f>F662-G662</f>
        <v>916.9</v>
      </c>
      <c r="I662" s="59">
        <f>G662/F662</f>
        <v>0</v>
      </c>
    </row>
    <row r="663" spans="1:9" ht="51">
      <c r="A663" s="23"/>
      <c r="B663" s="23"/>
      <c r="C663" s="23"/>
      <c r="D663" s="26" t="s">
        <v>65</v>
      </c>
      <c r="E663" s="24" t="s">
        <v>178</v>
      </c>
      <c r="F663" s="25">
        <v>916.9</v>
      </c>
      <c r="G663" s="25">
        <v>0</v>
      </c>
      <c r="H663" s="57">
        <f>F663-G663</f>
        <v>916.9</v>
      </c>
      <c r="I663" s="59">
        <f>G663/F663</f>
        <v>0</v>
      </c>
    </row>
    <row r="664" spans="1:9" ht="12.75">
      <c r="A664" s="23"/>
      <c r="B664" s="23"/>
      <c r="C664" s="23"/>
      <c r="D664" s="23"/>
      <c r="E664" s="24"/>
      <c r="F664" s="25"/>
      <c r="G664" s="25"/>
      <c r="H664" s="39"/>
      <c r="I664" s="58"/>
    </row>
    <row r="665" spans="1:9" s="35" customFormat="1" ht="51">
      <c r="A665" s="21" t="s">
        <v>221</v>
      </c>
      <c r="B665" s="21"/>
      <c r="C665" s="21"/>
      <c r="D665" s="21"/>
      <c r="E665" s="38" t="s">
        <v>222</v>
      </c>
      <c r="F665" s="36">
        <f>F666</f>
        <v>11525.5</v>
      </c>
      <c r="G665" s="36">
        <f>G666</f>
        <v>4635.9</v>
      </c>
      <c r="H665" s="39">
        <f t="shared" si="57"/>
        <v>6889.6</v>
      </c>
      <c r="I665" s="58">
        <f t="shared" si="58"/>
        <v>0.40222983818489433</v>
      </c>
    </row>
    <row r="666" spans="1:9" ht="25.5">
      <c r="A666" s="23"/>
      <c r="B666" s="23" t="s">
        <v>38</v>
      </c>
      <c r="C666" s="23"/>
      <c r="D666" s="23"/>
      <c r="E666" s="24" t="s">
        <v>39</v>
      </c>
      <c r="F666" s="25">
        <f>F667</f>
        <v>11525.5</v>
      </c>
      <c r="G666" s="25">
        <f>G667</f>
        <v>4635.9</v>
      </c>
      <c r="H666" s="57">
        <f t="shared" si="57"/>
        <v>6889.6</v>
      </c>
      <c r="I666" s="59">
        <f t="shared" si="58"/>
        <v>0.40222983818489433</v>
      </c>
    </row>
    <row r="667" spans="1:9" ht="25.5">
      <c r="A667" s="23"/>
      <c r="B667" s="23" t="s">
        <v>58</v>
      </c>
      <c r="C667" s="23"/>
      <c r="D667" s="23"/>
      <c r="E667" s="24" t="s">
        <v>59</v>
      </c>
      <c r="F667" s="25">
        <f>F668+F673+F677</f>
        <v>11525.5</v>
      </c>
      <c r="G667" s="25">
        <f>G668+G673+G677</f>
        <v>4635.9</v>
      </c>
      <c r="H667" s="57">
        <f t="shared" si="57"/>
        <v>6889.6</v>
      </c>
      <c r="I667" s="59">
        <f t="shared" si="58"/>
        <v>0.40222983818489433</v>
      </c>
    </row>
    <row r="668" spans="1:9" ht="25.5">
      <c r="A668" s="23"/>
      <c r="B668" s="23"/>
      <c r="C668" s="23" t="s">
        <v>81</v>
      </c>
      <c r="D668" s="23"/>
      <c r="E668" s="24" t="s">
        <v>285</v>
      </c>
      <c r="F668" s="25">
        <f>F669</f>
        <v>10956.3</v>
      </c>
      <c r="G668" s="25">
        <f>G669</f>
        <v>4447</v>
      </c>
      <c r="H668" s="57">
        <f t="shared" si="57"/>
        <v>6509.299999999999</v>
      </c>
      <c r="I668" s="59">
        <f t="shared" si="58"/>
        <v>0.40588519847028653</v>
      </c>
    </row>
    <row r="669" spans="1:9" ht="25.5">
      <c r="A669" s="23"/>
      <c r="B669" s="23"/>
      <c r="C669" s="23" t="s">
        <v>223</v>
      </c>
      <c r="D669" s="23"/>
      <c r="E669" s="24" t="s">
        <v>64</v>
      </c>
      <c r="F669" s="25">
        <f>SUM(F670:F672)</f>
        <v>10956.3</v>
      </c>
      <c r="G669" s="25">
        <f>SUM(G670:G672)</f>
        <v>4447</v>
      </c>
      <c r="H669" s="57">
        <f t="shared" si="57"/>
        <v>6509.299999999999</v>
      </c>
      <c r="I669" s="59">
        <f t="shared" si="58"/>
        <v>0.40588519847028653</v>
      </c>
    </row>
    <row r="670" spans="1:9" ht="89.25">
      <c r="A670" s="23"/>
      <c r="B670" s="23"/>
      <c r="C670" s="23"/>
      <c r="D670" s="23" t="s">
        <v>42</v>
      </c>
      <c r="E670" s="24" t="s">
        <v>149</v>
      </c>
      <c r="F670" s="25">
        <v>10425.2</v>
      </c>
      <c r="G670" s="25">
        <v>4081.7</v>
      </c>
      <c r="H670" s="57">
        <f t="shared" si="57"/>
        <v>6343.500000000001</v>
      </c>
      <c r="I670" s="59">
        <f t="shared" si="58"/>
        <v>0.3915224647968384</v>
      </c>
    </row>
    <row r="671" spans="1:9" ht="38.25">
      <c r="A671" s="23"/>
      <c r="B671" s="23"/>
      <c r="C671" s="23"/>
      <c r="D671" s="23" t="s">
        <v>43</v>
      </c>
      <c r="E671" s="24" t="s">
        <v>150</v>
      </c>
      <c r="F671" s="25">
        <v>529.3</v>
      </c>
      <c r="G671" s="25">
        <v>364.1</v>
      </c>
      <c r="H671" s="57">
        <f t="shared" si="57"/>
        <v>165.19999999999993</v>
      </c>
      <c r="I671" s="59">
        <f t="shared" si="58"/>
        <v>0.6878896655960703</v>
      </c>
    </row>
    <row r="672" spans="1:9" ht="12.75">
      <c r="A672" s="23"/>
      <c r="B672" s="23"/>
      <c r="C672" s="23"/>
      <c r="D672" s="23" t="s">
        <v>44</v>
      </c>
      <c r="E672" s="24" t="s">
        <v>45</v>
      </c>
      <c r="F672" s="25">
        <v>1.8</v>
      </c>
      <c r="G672" s="25">
        <v>1.2</v>
      </c>
      <c r="H672" s="57">
        <f t="shared" si="57"/>
        <v>0.6000000000000001</v>
      </c>
      <c r="I672" s="59">
        <f t="shared" si="58"/>
        <v>0.6666666666666666</v>
      </c>
    </row>
    <row r="673" spans="1:9" ht="38.25">
      <c r="A673" s="23"/>
      <c r="B673" s="23"/>
      <c r="C673" s="23" t="s">
        <v>55</v>
      </c>
      <c r="D673" s="50"/>
      <c r="E673" s="49" t="s">
        <v>333</v>
      </c>
      <c r="F673" s="25">
        <f>F674</f>
        <v>9.2</v>
      </c>
      <c r="G673" s="25">
        <f>G674</f>
        <v>0</v>
      </c>
      <c r="H673" s="57">
        <f t="shared" si="57"/>
        <v>9.2</v>
      </c>
      <c r="I673" s="59">
        <f t="shared" si="58"/>
        <v>0</v>
      </c>
    </row>
    <row r="674" spans="1:9" ht="51">
      <c r="A674" s="23"/>
      <c r="B674" s="23"/>
      <c r="C674" s="23" t="s">
        <v>335</v>
      </c>
      <c r="D674" s="50"/>
      <c r="E674" s="49" t="s">
        <v>334</v>
      </c>
      <c r="F674" s="25">
        <f>F675</f>
        <v>9.2</v>
      </c>
      <c r="G674" s="25">
        <f>G675</f>
        <v>0</v>
      </c>
      <c r="H674" s="57">
        <f t="shared" si="57"/>
        <v>9.2</v>
      </c>
      <c r="I674" s="59">
        <f t="shared" si="58"/>
        <v>0</v>
      </c>
    </row>
    <row r="675" spans="1:9" ht="51">
      <c r="A675" s="23"/>
      <c r="B675" s="23"/>
      <c r="C675" s="23" t="s">
        <v>332</v>
      </c>
      <c r="D675" s="23"/>
      <c r="E675" s="24" t="s">
        <v>331</v>
      </c>
      <c r="F675" s="25">
        <f>SUM(F676:F676)</f>
        <v>9.2</v>
      </c>
      <c r="G675" s="25">
        <f>SUM(G676:G676)</f>
        <v>0</v>
      </c>
      <c r="H675" s="57">
        <f t="shared" si="57"/>
        <v>9.2</v>
      </c>
      <c r="I675" s="59">
        <f t="shared" si="58"/>
        <v>0</v>
      </c>
    </row>
    <row r="676" spans="1:9" ht="38.25">
      <c r="A676" s="23"/>
      <c r="B676" s="23"/>
      <c r="C676" s="23"/>
      <c r="D676" s="23" t="s">
        <v>43</v>
      </c>
      <c r="E676" s="24" t="s">
        <v>150</v>
      </c>
      <c r="F676" s="25">
        <v>9.2</v>
      </c>
      <c r="G676" s="25">
        <v>0</v>
      </c>
      <c r="H676" s="57">
        <f t="shared" si="57"/>
        <v>9.2</v>
      </c>
      <c r="I676" s="59">
        <f t="shared" si="58"/>
        <v>0</v>
      </c>
    </row>
    <row r="677" spans="1:9" ht="38.25">
      <c r="A677" s="23"/>
      <c r="B677" s="23"/>
      <c r="C677" s="23" t="s">
        <v>62</v>
      </c>
      <c r="D677" s="50"/>
      <c r="E677" s="49" t="s">
        <v>307</v>
      </c>
      <c r="F677" s="25">
        <f>F682+F678</f>
        <v>560</v>
      </c>
      <c r="G677" s="25">
        <f>G682+G678</f>
        <v>188.89999999999998</v>
      </c>
      <c r="H677" s="57">
        <f t="shared" si="57"/>
        <v>371.1</v>
      </c>
      <c r="I677" s="59">
        <f t="shared" si="58"/>
        <v>0.33732142857142855</v>
      </c>
    </row>
    <row r="678" spans="1:9" ht="63.75">
      <c r="A678" s="23"/>
      <c r="B678" s="23"/>
      <c r="C678" s="23" t="s">
        <v>356</v>
      </c>
      <c r="D678" s="50"/>
      <c r="E678" s="49" t="s">
        <v>357</v>
      </c>
      <c r="F678" s="25">
        <f>F679</f>
        <v>399.1</v>
      </c>
      <c r="G678" s="25">
        <f>G679</f>
        <v>126.6</v>
      </c>
      <c r="H678" s="57">
        <f t="shared" si="57"/>
        <v>272.5</v>
      </c>
      <c r="I678" s="59">
        <f t="shared" si="58"/>
        <v>0.3172137308945126</v>
      </c>
    </row>
    <row r="679" spans="1:9" ht="89.25">
      <c r="A679" s="23"/>
      <c r="B679" s="23"/>
      <c r="C679" s="23" t="s">
        <v>358</v>
      </c>
      <c r="D679" s="23"/>
      <c r="E679" s="24" t="s">
        <v>365</v>
      </c>
      <c r="F679" s="25">
        <f>SUM(F680:F681)</f>
        <v>399.1</v>
      </c>
      <c r="G679" s="25">
        <f>SUM(G680:G681)</f>
        <v>126.6</v>
      </c>
      <c r="H679" s="57">
        <f t="shared" si="57"/>
        <v>272.5</v>
      </c>
      <c r="I679" s="59">
        <f t="shared" si="58"/>
        <v>0.3172137308945126</v>
      </c>
    </row>
    <row r="680" spans="1:9" ht="89.25">
      <c r="A680" s="23"/>
      <c r="B680" s="23"/>
      <c r="C680" s="23"/>
      <c r="D680" s="23" t="s">
        <v>42</v>
      </c>
      <c r="E680" s="24" t="s">
        <v>149</v>
      </c>
      <c r="F680" s="25">
        <v>228.8</v>
      </c>
      <c r="G680" s="25">
        <v>116</v>
      </c>
      <c r="H680" s="57">
        <f t="shared" si="57"/>
        <v>112.80000000000001</v>
      </c>
      <c r="I680" s="59">
        <f t="shared" si="58"/>
        <v>0.506993006993007</v>
      </c>
    </row>
    <row r="681" spans="1:9" ht="38.25">
      <c r="A681" s="23"/>
      <c r="B681" s="23"/>
      <c r="C681" s="23"/>
      <c r="D681" s="23" t="s">
        <v>43</v>
      </c>
      <c r="E681" s="24" t="s">
        <v>150</v>
      </c>
      <c r="F681" s="25">
        <v>170.3</v>
      </c>
      <c r="G681" s="25">
        <v>10.6</v>
      </c>
      <c r="H681" s="57">
        <f t="shared" si="57"/>
        <v>159.70000000000002</v>
      </c>
      <c r="I681" s="59">
        <f t="shared" si="58"/>
        <v>0.06224310041103934</v>
      </c>
    </row>
    <row r="682" spans="1:9" ht="63.75">
      <c r="A682" s="23"/>
      <c r="B682" s="23"/>
      <c r="C682" s="23" t="s">
        <v>351</v>
      </c>
      <c r="D682" s="50"/>
      <c r="E682" s="49" t="s">
        <v>352</v>
      </c>
      <c r="F682" s="25">
        <f>F683</f>
        <v>160.9</v>
      </c>
      <c r="G682" s="25">
        <f>G683</f>
        <v>62.3</v>
      </c>
      <c r="H682" s="57">
        <f t="shared" si="57"/>
        <v>98.60000000000001</v>
      </c>
      <c r="I682" s="59">
        <f t="shared" si="58"/>
        <v>0.387197016780609</v>
      </c>
    </row>
    <row r="683" spans="1:9" ht="25.5">
      <c r="A683" s="23"/>
      <c r="B683" s="23"/>
      <c r="C683" s="23" t="s">
        <v>350</v>
      </c>
      <c r="D683" s="23"/>
      <c r="E683" s="24" t="s">
        <v>108</v>
      </c>
      <c r="F683" s="25">
        <f>SUM(F684:F685)</f>
        <v>160.9</v>
      </c>
      <c r="G683" s="25">
        <f>SUM(G684:G685)</f>
        <v>62.3</v>
      </c>
      <c r="H683" s="57">
        <f t="shared" si="57"/>
        <v>98.60000000000001</v>
      </c>
      <c r="I683" s="59">
        <f t="shared" si="58"/>
        <v>0.387197016780609</v>
      </c>
    </row>
    <row r="684" spans="1:9" ht="89.25">
      <c r="A684" s="23"/>
      <c r="B684" s="23"/>
      <c r="C684" s="23"/>
      <c r="D684" s="23" t="s">
        <v>42</v>
      </c>
      <c r="E684" s="24" t="s">
        <v>149</v>
      </c>
      <c r="F684" s="25">
        <v>147.4</v>
      </c>
      <c r="G684" s="25">
        <v>62.3</v>
      </c>
      <c r="H684" s="57">
        <f t="shared" si="57"/>
        <v>85.10000000000001</v>
      </c>
      <c r="I684" s="59">
        <f t="shared" si="58"/>
        <v>0.42265943012211665</v>
      </c>
    </row>
    <row r="685" spans="1:9" ht="38.25">
      <c r="A685" s="23"/>
      <c r="B685" s="23"/>
      <c r="C685" s="23"/>
      <c r="D685" s="23" t="s">
        <v>43</v>
      </c>
      <c r="E685" s="24" t="s">
        <v>150</v>
      </c>
      <c r="F685" s="25">
        <v>13.5</v>
      </c>
      <c r="G685" s="25">
        <v>0</v>
      </c>
      <c r="H685" s="57">
        <f t="shared" si="57"/>
        <v>13.5</v>
      </c>
      <c r="I685" s="59">
        <f t="shared" si="58"/>
        <v>0</v>
      </c>
    </row>
    <row r="686" spans="1:9" ht="12.75">
      <c r="A686" s="23"/>
      <c r="B686" s="23"/>
      <c r="C686" s="23"/>
      <c r="D686" s="23"/>
      <c r="E686" s="24"/>
      <c r="F686" s="25"/>
      <c r="G686" s="25"/>
      <c r="H686" s="39"/>
      <c r="I686" s="58"/>
    </row>
    <row r="687" spans="1:9" s="35" customFormat="1" ht="39.75" customHeight="1">
      <c r="A687" s="21" t="s">
        <v>224</v>
      </c>
      <c r="B687" s="21"/>
      <c r="C687" s="21"/>
      <c r="D687" s="21"/>
      <c r="E687" s="38" t="s">
        <v>250</v>
      </c>
      <c r="F687" s="36">
        <f>F693+F688</f>
        <v>475.6</v>
      </c>
      <c r="G687" s="36">
        <f>G693+G688</f>
        <v>475.6</v>
      </c>
      <c r="H687" s="39">
        <f t="shared" si="57"/>
        <v>0</v>
      </c>
      <c r="I687" s="58">
        <f t="shared" si="58"/>
        <v>1</v>
      </c>
    </row>
    <row r="688" spans="1:9" ht="25.5">
      <c r="A688" s="23"/>
      <c r="B688" s="23" t="s">
        <v>38</v>
      </c>
      <c r="C688" s="23"/>
      <c r="D688" s="23"/>
      <c r="E688" s="24" t="s">
        <v>39</v>
      </c>
      <c r="F688" s="25">
        <f aca="true" t="shared" si="60" ref="F688:G691">F689</f>
        <v>2</v>
      </c>
      <c r="G688" s="25">
        <f t="shared" si="60"/>
        <v>2</v>
      </c>
      <c r="H688" s="57">
        <f t="shared" si="57"/>
        <v>0</v>
      </c>
      <c r="I688" s="59">
        <f t="shared" si="58"/>
        <v>1</v>
      </c>
    </row>
    <row r="689" spans="1:9" ht="25.5">
      <c r="A689" s="23"/>
      <c r="B689" s="23" t="s">
        <v>58</v>
      </c>
      <c r="C689" s="23"/>
      <c r="D689" s="23"/>
      <c r="E689" s="24" t="s">
        <v>59</v>
      </c>
      <c r="F689" s="25">
        <f t="shared" si="60"/>
        <v>2</v>
      </c>
      <c r="G689" s="25">
        <f t="shared" si="60"/>
        <v>2</v>
      </c>
      <c r="H689" s="57">
        <f t="shared" si="57"/>
        <v>0</v>
      </c>
      <c r="I689" s="59">
        <f t="shared" si="58"/>
        <v>1</v>
      </c>
    </row>
    <row r="690" spans="1:9" ht="25.5">
      <c r="A690" s="23"/>
      <c r="B690" s="23"/>
      <c r="C690" s="23" t="s">
        <v>55</v>
      </c>
      <c r="D690" s="23"/>
      <c r="E690" s="24" t="s">
        <v>297</v>
      </c>
      <c r="F690" s="25">
        <f t="shared" si="60"/>
        <v>2</v>
      </c>
      <c r="G690" s="25">
        <f t="shared" si="60"/>
        <v>2</v>
      </c>
      <c r="H690" s="57">
        <f t="shared" si="57"/>
        <v>0</v>
      </c>
      <c r="I690" s="59">
        <f t="shared" si="58"/>
        <v>1</v>
      </c>
    </row>
    <row r="691" spans="1:9" ht="63.75">
      <c r="A691" s="23"/>
      <c r="B691" s="23"/>
      <c r="C691" s="23" t="s">
        <v>471</v>
      </c>
      <c r="D691" s="23"/>
      <c r="E691" s="24" t="s">
        <v>472</v>
      </c>
      <c r="F691" s="25">
        <f t="shared" si="60"/>
        <v>2</v>
      </c>
      <c r="G691" s="25">
        <f t="shared" si="60"/>
        <v>2</v>
      </c>
      <c r="H691" s="57">
        <f t="shared" si="57"/>
        <v>0</v>
      </c>
      <c r="I691" s="59">
        <f t="shared" si="58"/>
        <v>1</v>
      </c>
    </row>
    <row r="692" spans="1:9" ht="25.5">
      <c r="A692" s="23"/>
      <c r="B692" s="23"/>
      <c r="C692" s="23"/>
      <c r="D692" s="23" t="s">
        <v>47</v>
      </c>
      <c r="E692" s="24" t="s">
        <v>48</v>
      </c>
      <c r="F692" s="25">
        <v>2</v>
      </c>
      <c r="G692" s="25">
        <v>2</v>
      </c>
      <c r="H692" s="57">
        <f t="shared" si="57"/>
        <v>0</v>
      </c>
      <c r="I692" s="59">
        <f t="shared" si="58"/>
        <v>1</v>
      </c>
    </row>
    <row r="693" spans="1:9" ht="12.75">
      <c r="A693" s="23"/>
      <c r="B693" s="23" t="s">
        <v>93</v>
      </c>
      <c r="C693" s="23"/>
      <c r="D693" s="23"/>
      <c r="E693" s="24" t="s">
        <v>94</v>
      </c>
      <c r="F693" s="25">
        <f>F694</f>
        <v>473.6</v>
      </c>
      <c r="G693" s="25">
        <f>G694</f>
        <v>473.6</v>
      </c>
      <c r="H693" s="57">
        <f t="shared" si="57"/>
        <v>0</v>
      </c>
      <c r="I693" s="59">
        <f t="shared" si="58"/>
        <v>1</v>
      </c>
    </row>
    <row r="694" spans="1:9" ht="25.5">
      <c r="A694" s="23"/>
      <c r="B694" s="23" t="s">
        <v>95</v>
      </c>
      <c r="C694" s="23"/>
      <c r="D694" s="23"/>
      <c r="E694" s="24" t="s">
        <v>96</v>
      </c>
      <c r="F694" s="25">
        <f>F695+F700</f>
        <v>473.6</v>
      </c>
      <c r="G694" s="25">
        <f>G695+G700</f>
        <v>473.6</v>
      </c>
      <c r="H694" s="57">
        <f t="shared" si="57"/>
        <v>0</v>
      </c>
      <c r="I694" s="59">
        <f t="shared" si="58"/>
        <v>1</v>
      </c>
    </row>
    <row r="695" spans="1:9" ht="12.75">
      <c r="A695" s="23"/>
      <c r="B695" s="23"/>
      <c r="C695" s="23" t="s">
        <v>63</v>
      </c>
      <c r="D695" s="23"/>
      <c r="E695" s="24" t="s">
        <v>366</v>
      </c>
      <c r="F695" s="25">
        <f>F696</f>
        <v>473.6</v>
      </c>
      <c r="G695" s="25">
        <f>G696</f>
        <v>473.6</v>
      </c>
      <c r="H695" s="57">
        <f t="shared" si="57"/>
        <v>0</v>
      </c>
      <c r="I695" s="59">
        <f t="shared" si="58"/>
        <v>1</v>
      </c>
    </row>
    <row r="696" spans="1:9" ht="25.5">
      <c r="A696" s="23"/>
      <c r="B696" s="23"/>
      <c r="C696" s="23" t="s">
        <v>225</v>
      </c>
      <c r="D696" s="23"/>
      <c r="E696" s="24" t="s">
        <v>64</v>
      </c>
      <c r="F696" s="25">
        <f>SUM(F697:F699)</f>
        <v>473.6</v>
      </c>
      <c r="G696" s="25">
        <f>SUM(G697:G699)</f>
        <v>473.6</v>
      </c>
      <c r="H696" s="57">
        <f t="shared" si="57"/>
        <v>0</v>
      </c>
      <c r="I696" s="59">
        <f t="shared" si="58"/>
        <v>1</v>
      </c>
    </row>
    <row r="697" spans="1:9" ht="89.25">
      <c r="A697" s="23"/>
      <c r="B697" s="23"/>
      <c r="C697" s="23"/>
      <c r="D697" s="23" t="s">
        <v>42</v>
      </c>
      <c r="E697" s="24" t="s">
        <v>149</v>
      </c>
      <c r="F697" s="25">
        <v>446.1</v>
      </c>
      <c r="G697" s="25">
        <v>446.1</v>
      </c>
      <c r="H697" s="57">
        <f t="shared" si="57"/>
        <v>0</v>
      </c>
      <c r="I697" s="59">
        <f t="shared" si="58"/>
        <v>1</v>
      </c>
    </row>
    <row r="698" spans="1:9" ht="38.25">
      <c r="A698" s="23"/>
      <c r="B698" s="23"/>
      <c r="C698" s="23"/>
      <c r="D698" s="23" t="s">
        <v>43</v>
      </c>
      <c r="E698" s="24" t="s">
        <v>150</v>
      </c>
      <c r="F698" s="25">
        <v>26</v>
      </c>
      <c r="G698" s="57">
        <v>26</v>
      </c>
      <c r="H698" s="57">
        <f t="shared" si="57"/>
        <v>0</v>
      </c>
      <c r="I698" s="59">
        <f t="shared" si="58"/>
        <v>1</v>
      </c>
    </row>
    <row r="699" spans="1:9" ht="12.75">
      <c r="A699" s="23"/>
      <c r="B699" s="23"/>
      <c r="C699" s="23"/>
      <c r="D699" s="23" t="s">
        <v>44</v>
      </c>
      <c r="E699" s="24" t="s">
        <v>45</v>
      </c>
      <c r="F699" s="25">
        <v>1.5</v>
      </c>
      <c r="G699" s="57">
        <v>1.5</v>
      </c>
      <c r="H699" s="57">
        <f t="shared" si="57"/>
        <v>0</v>
      </c>
      <c r="I699" s="59">
        <f t="shared" si="58"/>
        <v>1</v>
      </c>
    </row>
    <row r="700" spans="1:10" ht="12.75" hidden="1">
      <c r="A700" s="23"/>
      <c r="B700" s="23"/>
      <c r="C700" s="23" t="s">
        <v>421</v>
      </c>
      <c r="D700" s="23"/>
      <c r="E700" s="24" t="s">
        <v>422</v>
      </c>
      <c r="F700" s="56">
        <f>F701</f>
        <v>0</v>
      </c>
      <c r="G700" s="57">
        <f>G701</f>
        <v>0</v>
      </c>
      <c r="H700" s="57">
        <f t="shared" si="57"/>
        <v>0</v>
      </c>
      <c r="I700" s="59" t="e">
        <f t="shared" si="58"/>
        <v>#DIV/0!</v>
      </c>
      <c r="J700" s="40"/>
    </row>
    <row r="701" spans="1:10" ht="51" hidden="1">
      <c r="A701" s="23"/>
      <c r="B701" s="23"/>
      <c r="C701" s="23" t="s">
        <v>452</v>
      </c>
      <c r="D701" s="23"/>
      <c r="E701" s="24" t="s">
        <v>453</v>
      </c>
      <c r="F701" s="56">
        <f>F702</f>
        <v>0</v>
      </c>
      <c r="G701" s="57">
        <f>G702</f>
        <v>0</v>
      </c>
      <c r="H701" s="57">
        <f t="shared" si="57"/>
        <v>0</v>
      </c>
      <c r="I701" s="59" t="e">
        <f t="shared" si="58"/>
        <v>#DIV/0!</v>
      </c>
      <c r="J701" s="40"/>
    </row>
    <row r="702" spans="1:10" ht="38.25" hidden="1">
      <c r="A702" s="23"/>
      <c r="B702" s="23"/>
      <c r="C702" s="23"/>
      <c r="D702" s="23" t="s">
        <v>43</v>
      </c>
      <c r="E702" s="24" t="s">
        <v>150</v>
      </c>
      <c r="F702" s="56">
        <v>0</v>
      </c>
      <c r="G702" s="57">
        <v>0</v>
      </c>
      <c r="H702" s="57">
        <f t="shared" si="57"/>
        <v>0</v>
      </c>
      <c r="I702" s="59" t="e">
        <f t="shared" si="58"/>
        <v>#DIV/0!</v>
      </c>
      <c r="J702" s="40"/>
    </row>
    <row r="703" spans="1:9" ht="12.75">
      <c r="A703" s="23"/>
      <c r="B703" s="23"/>
      <c r="C703" s="23"/>
      <c r="D703" s="23"/>
      <c r="E703" s="24"/>
      <c r="F703" s="25"/>
      <c r="G703" s="25"/>
      <c r="H703" s="39"/>
      <c r="I703" s="58"/>
    </row>
    <row r="704" spans="1:9" s="35" customFormat="1" ht="50.25" customHeight="1">
      <c r="A704" s="21" t="s">
        <v>226</v>
      </c>
      <c r="B704" s="21"/>
      <c r="C704" s="21"/>
      <c r="D704" s="21"/>
      <c r="E704" s="38" t="s">
        <v>251</v>
      </c>
      <c r="F704" s="36">
        <f>F710+F705+F719</f>
        <v>9395.4</v>
      </c>
      <c r="G704" s="36">
        <f>G710+G705+G719</f>
        <v>3571.7999999999997</v>
      </c>
      <c r="H704" s="39">
        <f t="shared" si="57"/>
        <v>5823.6</v>
      </c>
      <c r="I704" s="58">
        <f t="shared" si="58"/>
        <v>0.3801647614790216</v>
      </c>
    </row>
    <row r="705" spans="1:9" s="35" customFormat="1" ht="25.5">
      <c r="A705" s="21"/>
      <c r="B705" s="23" t="s">
        <v>38</v>
      </c>
      <c r="C705" s="23"/>
      <c r="D705" s="23"/>
      <c r="E705" s="24" t="s">
        <v>39</v>
      </c>
      <c r="F705" s="25">
        <f aca="true" t="shared" si="61" ref="F705:G708">F706</f>
        <v>24.8</v>
      </c>
      <c r="G705" s="25">
        <f t="shared" si="61"/>
        <v>24.8</v>
      </c>
      <c r="H705" s="57">
        <f>F705-G705</f>
        <v>0</v>
      </c>
      <c r="I705" s="59">
        <f>G705/F705</f>
        <v>1</v>
      </c>
    </row>
    <row r="706" spans="1:9" s="35" customFormat="1" ht="25.5">
      <c r="A706" s="21"/>
      <c r="B706" s="23" t="s">
        <v>58</v>
      </c>
      <c r="C706" s="23"/>
      <c r="D706" s="23"/>
      <c r="E706" s="24" t="s">
        <v>59</v>
      </c>
      <c r="F706" s="25">
        <f t="shared" si="61"/>
        <v>24.8</v>
      </c>
      <c r="G706" s="25">
        <f t="shared" si="61"/>
        <v>24.8</v>
      </c>
      <c r="H706" s="57">
        <f>F706-G706</f>
        <v>0</v>
      </c>
      <c r="I706" s="59">
        <f>G706/F706</f>
        <v>1</v>
      </c>
    </row>
    <row r="707" spans="1:9" s="35" customFormat="1" ht="25.5">
      <c r="A707" s="21"/>
      <c r="B707" s="23"/>
      <c r="C707" s="23" t="s">
        <v>55</v>
      </c>
      <c r="D707" s="23"/>
      <c r="E707" s="24" t="s">
        <v>297</v>
      </c>
      <c r="F707" s="25">
        <f t="shared" si="61"/>
        <v>24.8</v>
      </c>
      <c r="G707" s="25">
        <f t="shared" si="61"/>
        <v>24.8</v>
      </c>
      <c r="H707" s="57">
        <f>F707-G707</f>
        <v>0</v>
      </c>
      <c r="I707" s="59">
        <f>G707/F707</f>
        <v>1</v>
      </c>
    </row>
    <row r="708" spans="1:9" s="35" customFormat="1" ht="12.75">
      <c r="A708" s="21"/>
      <c r="B708" s="23"/>
      <c r="C708" s="23" t="s">
        <v>170</v>
      </c>
      <c r="D708" s="23"/>
      <c r="E708" s="24" t="s">
        <v>171</v>
      </c>
      <c r="F708" s="25">
        <f t="shared" si="61"/>
        <v>24.8</v>
      </c>
      <c r="G708" s="25">
        <f t="shared" si="61"/>
        <v>24.8</v>
      </c>
      <c r="H708" s="57">
        <f>F708-G708</f>
        <v>0</v>
      </c>
      <c r="I708" s="59">
        <f>G708/F708</f>
        <v>1</v>
      </c>
    </row>
    <row r="709" spans="1:9" s="35" customFormat="1" ht="38.25">
      <c r="A709" s="21"/>
      <c r="B709" s="23"/>
      <c r="C709" s="23"/>
      <c r="D709" s="23" t="s">
        <v>43</v>
      </c>
      <c r="E709" s="24" t="s">
        <v>150</v>
      </c>
      <c r="F709" s="25">
        <v>24.8</v>
      </c>
      <c r="G709" s="25">
        <v>24.8</v>
      </c>
      <c r="H709" s="57">
        <f>F709-G709</f>
        <v>0</v>
      </c>
      <c r="I709" s="59">
        <f>G709/F709</f>
        <v>1</v>
      </c>
    </row>
    <row r="710" spans="1:9" ht="38.25">
      <c r="A710" s="23"/>
      <c r="B710" s="23" t="s">
        <v>75</v>
      </c>
      <c r="C710" s="23"/>
      <c r="D710" s="23"/>
      <c r="E710" s="24" t="s">
        <v>76</v>
      </c>
      <c r="F710" s="25">
        <f>F711</f>
        <v>8970.6</v>
      </c>
      <c r="G710" s="25">
        <f>G711</f>
        <v>3513.7999999999997</v>
      </c>
      <c r="H710" s="57">
        <f t="shared" si="57"/>
        <v>5456.800000000001</v>
      </c>
      <c r="I710" s="59">
        <f t="shared" si="58"/>
        <v>0.3917017813747129</v>
      </c>
    </row>
    <row r="711" spans="1:9" ht="51">
      <c r="A711" s="23"/>
      <c r="B711" s="23" t="s">
        <v>77</v>
      </c>
      <c r="C711" s="23"/>
      <c r="D711" s="23"/>
      <c r="E711" s="24" t="s">
        <v>227</v>
      </c>
      <c r="F711" s="25">
        <f>F712</f>
        <v>8970.6</v>
      </c>
      <c r="G711" s="25">
        <f>G712</f>
        <v>3513.7999999999997</v>
      </c>
      <c r="H711" s="57">
        <f t="shared" si="57"/>
        <v>5456.800000000001</v>
      </c>
      <c r="I711" s="59">
        <f t="shared" si="58"/>
        <v>0.3917017813747129</v>
      </c>
    </row>
    <row r="712" spans="1:9" ht="38.25">
      <c r="A712" s="23"/>
      <c r="B712" s="23"/>
      <c r="C712" s="23" t="s">
        <v>62</v>
      </c>
      <c r="D712" s="23"/>
      <c r="E712" s="24" t="s">
        <v>367</v>
      </c>
      <c r="F712" s="25">
        <f>F715+F713</f>
        <v>8970.6</v>
      </c>
      <c r="G712" s="25">
        <f>G715+G713</f>
        <v>3513.7999999999997</v>
      </c>
      <c r="H712" s="57">
        <f t="shared" si="57"/>
        <v>5456.800000000001</v>
      </c>
      <c r="I712" s="59">
        <f t="shared" si="58"/>
        <v>0.3917017813747129</v>
      </c>
    </row>
    <row r="713" spans="1:9" ht="40.5" customHeight="1">
      <c r="A713" s="23"/>
      <c r="B713" s="23"/>
      <c r="C713" s="23" t="s">
        <v>1032</v>
      </c>
      <c r="D713" s="23"/>
      <c r="E713" s="24" t="s">
        <v>1063</v>
      </c>
      <c r="F713" s="25">
        <f>F714</f>
        <v>165.2</v>
      </c>
      <c r="G713" s="25">
        <f>G714</f>
        <v>0</v>
      </c>
      <c r="H713" s="57">
        <f>F713-G713</f>
        <v>165.2</v>
      </c>
      <c r="I713" s="59">
        <f>G713/F713</f>
        <v>0</v>
      </c>
    </row>
    <row r="714" spans="1:9" ht="38.25">
      <c r="A714" s="23"/>
      <c r="B714" s="23"/>
      <c r="C714" s="23"/>
      <c r="D714" s="23" t="s">
        <v>43</v>
      </c>
      <c r="E714" s="24" t="s">
        <v>150</v>
      </c>
      <c r="F714" s="25">
        <v>165.2</v>
      </c>
      <c r="G714" s="25">
        <v>0</v>
      </c>
      <c r="H714" s="57">
        <f>F714-G714</f>
        <v>165.2</v>
      </c>
      <c r="I714" s="59">
        <f>G714/F714</f>
        <v>0</v>
      </c>
    </row>
    <row r="715" spans="1:9" ht="25.5">
      <c r="A715" s="23"/>
      <c r="B715" s="23"/>
      <c r="C715" s="23" t="s">
        <v>228</v>
      </c>
      <c r="D715" s="23"/>
      <c r="E715" s="24" t="s">
        <v>64</v>
      </c>
      <c r="F715" s="25">
        <f>SUM(F716:F718)</f>
        <v>8805.4</v>
      </c>
      <c r="G715" s="25">
        <f>SUM(G716:G718)</f>
        <v>3513.7999999999997</v>
      </c>
      <c r="H715" s="57">
        <f t="shared" si="57"/>
        <v>5291.6</v>
      </c>
      <c r="I715" s="59">
        <f t="shared" si="58"/>
        <v>0.39905058259704274</v>
      </c>
    </row>
    <row r="716" spans="1:9" ht="89.25">
      <c r="A716" s="23"/>
      <c r="B716" s="23"/>
      <c r="C716" s="23"/>
      <c r="D716" s="23" t="s">
        <v>42</v>
      </c>
      <c r="E716" s="24" t="s">
        <v>149</v>
      </c>
      <c r="F716" s="25">
        <v>7063</v>
      </c>
      <c r="G716" s="25">
        <v>2590.9</v>
      </c>
      <c r="H716" s="57">
        <f t="shared" si="57"/>
        <v>4472.1</v>
      </c>
      <c r="I716" s="59">
        <f t="shared" si="58"/>
        <v>0.36682712728302425</v>
      </c>
    </row>
    <row r="717" spans="1:9" ht="38.25">
      <c r="A717" s="23"/>
      <c r="B717" s="23"/>
      <c r="C717" s="23"/>
      <c r="D717" s="23" t="s">
        <v>43</v>
      </c>
      <c r="E717" s="24" t="s">
        <v>150</v>
      </c>
      <c r="F717" s="25">
        <v>1691.6</v>
      </c>
      <c r="G717" s="25">
        <v>894.3</v>
      </c>
      <c r="H717" s="57">
        <f t="shared" si="57"/>
        <v>797.3</v>
      </c>
      <c r="I717" s="59">
        <f t="shared" si="58"/>
        <v>0.5286710806337196</v>
      </c>
    </row>
    <row r="718" spans="1:9" ht="12.75">
      <c r="A718" s="23"/>
      <c r="B718" s="23"/>
      <c r="C718" s="23"/>
      <c r="D718" s="23" t="s">
        <v>44</v>
      </c>
      <c r="E718" s="24" t="s">
        <v>45</v>
      </c>
      <c r="F718" s="25">
        <v>50.8</v>
      </c>
      <c r="G718" s="25">
        <v>28.6</v>
      </c>
      <c r="H718" s="57">
        <f t="shared" si="57"/>
        <v>22.199999999999996</v>
      </c>
      <c r="I718" s="59">
        <f t="shared" si="58"/>
        <v>0.5629921259842521</v>
      </c>
    </row>
    <row r="719" spans="1:9" ht="12.75">
      <c r="A719" s="23"/>
      <c r="B719" s="23" t="s">
        <v>93</v>
      </c>
      <c r="C719" s="23"/>
      <c r="D719" s="23"/>
      <c r="E719" s="24" t="s">
        <v>94</v>
      </c>
      <c r="F719" s="25">
        <f aca="true" t="shared" si="62" ref="F719:G722">F720</f>
        <v>400</v>
      </c>
      <c r="G719" s="25">
        <f t="shared" si="62"/>
        <v>33.2</v>
      </c>
      <c r="H719" s="57">
        <f>F719-G719</f>
        <v>366.8</v>
      </c>
      <c r="I719" s="59">
        <f>G719/F719</f>
        <v>0.083</v>
      </c>
    </row>
    <row r="720" spans="1:9" ht="25.5">
      <c r="A720" s="23"/>
      <c r="B720" s="23" t="s">
        <v>95</v>
      </c>
      <c r="C720" s="23"/>
      <c r="D720" s="23"/>
      <c r="E720" s="24" t="s">
        <v>96</v>
      </c>
      <c r="F720" s="25">
        <f t="shared" si="62"/>
        <v>400</v>
      </c>
      <c r="G720" s="25">
        <f t="shared" si="62"/>
        <v>33.2</v>
      </c>
      <c r="H720" s="57">
        <f>F720-G720</f>
        <v>366.8</v>
      </c>
      <c r="I720" s="59">
        <f>G720/F720</f>
        <v>0.083</v>
      </c>
    </row>
    <row r="721" spans="1:10" ht="12.75">
      <c r="A721" s="23"/>
      <c r="B721" s="23"/>
      <c r="C721" s="23" t="s">
        <v>421</v>
      </c>
      <c r="D721" s="23"/>
      <c r="E721" s="24" t="s">
        <v>422</v>
      </c>
      <c r="F721" s="56">
        <f t="shared" si="62"/>
        <v>400</v>
      </c>
      <c r="G721" s="57">
        <f t="shared" si="62"/>
        <v>33.2</v>
      </c>
      <c r="H721" s="57">
        <f>F721-G721</f>
        <v>366.8</v>
      </c>
      <c r="I721" s="59">
        <f>G721/F721</f>
        <v>0.083</v>
      </c>
      <c r="J721" s="40"/>
    </row>
    <row r="722" spans="1:10" ht="51">
      <c r="A722" s="23"/>
      <c r="B722" s="23"/>
      <c r="C722" s="23" t="s">
        <v>452</v>
      </c>
      <c r="D722" s="23"/>
      <c r="E722" s="24" t="s">
        <v>453</v>
      </c>
      <c r="F722" s="56">
        <f t="shared" si="62"/>
        <v>400</v>
      </c>
      <c r="G722" s="57">
        <f t="shared" si="62"/>
        <v>33.2</v>
      </c>
      <c r="H722" s="57">
        <f>F722-G722</f>
        <v>366.8</v>
      </c>
      <c r="I722" s="59">
        <f>G722/F722</f>
        <v>0.083</v>
      </c>
      <c r="J722" s="40"/>
    </row>
    <row r="723" spans="1:10" ht="38.25">
      <c r="A723" s="23"/>
      <c r="B723" s="23"/>
      <c r="C723" s="23"/>
      <c r="D723" s="23" t="s">
        <v>43</v>
      </c>
      <c r="E723" s="24" t="s">
        <v>150</v>
      </c>
      <c r="F723" s="56">
        <v>400</v>
      </c>
      <c r="G723" s="57">
        <v>33.2</v>
      </c>
      <c r="H723" s="57">
        <f>F723-G723</f>
        <v>366.8</v>
      </c>
      <c r="I723" s="59">
        <f>G723/F723</f>
        <v>0.083</v>
      </c>
      <c r="J723" s="40"/>
    </row>
    <row r="724" spans="1:9" ht="12.75">
      <c r="A724" s="23"/>
      <c r="B724" s="23"/>
      <c r="C724" s="23"/>
      <c r="D724" s="23"/>
      <c r="E724" s="24"/>
      <c r="F724" s="25"/>
      <c r="G724" s="25"/>
      <c r="H724" s="39"/>
      <c r="I724" s="58"/>
    </row>
    <row r="725" spans="1:9" s="35" customFormat="1" ht="63.75">
      <c r="A725" s="21" t="s">
        <v>229</v>
      </c>
      <c r="B725" s="21"/>
      <c r="C725" s="21"/>
      <c r="D725" s="21"/>
      <c r="E725" s="38" t="s">
        <v>252</v>
      </c>
      <c r="F725" s="36">
        <f>F726+F743+F778+F762</f>
        <v>81474.79999999999</v>
      </c>
      <c r="G725" s="36">
        <f>G726+G743+G778+G762</f>
        <v>26614.800000000003</v>
      </c>
      <c r="H725" s="39">
        <f t="shared" si="57"/>
        <v>54859.999999999985</v>
      </c>
      <c r="I725" s="58">
        <f t="shared" si="58"/>
        <v>0.3266629681815728</v>
      </c>
    </row>
    <row r="726" spans="1:9" ht="25.5">
      <c r="A726" s="23"/>
      <c r="B726" s="23" t="s">
        <v>38</v>
      </c>
      <c r="C726" s="23"/>
      <c r="D726" s="23"/>
      <c r="E726" s="24" t="s">
        <v>39</v>
      </c>
      <c r="F726" s="25">
        <f>F734+F727</f>
        <v>7288.7</v>
      </c>
      <c r="G726" s="25">
        <f>G734+G727</f>
        <v>4212.2</v>
      </c>
      <c r="H726" s="57">
        <f t="shared" si="57"/>
        <v>3076.5</v>
      </c>
      <c r="I726" s="59">
        <f t="shared" si="58"/>
        <v>0.5779082689642872</v>
      </c>
    </row>
    <row r="727" spans="1:9" ht="76.5">
      <c r="A727" s="23"/>
      <c r="B727" s="23" t="s">
        <v>51</v>
      </c>
      <c r="C727" s="23"/>
      <c r="D727" s="23"/>
      <c r="E727" s="24" t="s">
        <v>161</v>
      </c>
      <c r="F727" s="25">
        <f>F728+F731</f>
        <v>1481.5</v>
      </c>
      <c r="G727" s="25">
        <f>G728+G731</f>
        <v>1481.5</v>
      </c>
      <c r="H727" s="57">
        <f aca="true" t="shared" si="63" ref="H727:H733">F727-G727</f>
        <v>0</v>
      </c>
      <c r="I727" s="59">
        <f aca="true" t="shared" si="64" ref="I727:I733">G727/F727</f>
        <v>1</v>
      </c>
    </row>
    <row r="728" spans="1:9" ht="25.5">
      <c r="A728" s="23"/>
      <c r="B728" s="23"/>
      <c r="C728" s="23" t="s">
        <v>81</v>
      </c>
      <c r="D728" s="23"/>
      <c r="E728" s="24" t="s">
        <v>285</v>
      </c>
      <c r="F728" s="25">
        <f>F729</f>
        <v>109</v>
      </c>
      <c r="G728" s="25">
        <f>G729</f>
        <v>109</v>
      </c>
      <c r="H728" s="57">
        <f t="shared" si="63"/>
        <v>0</v>
      </c>
      <c r="I728" s="59">
        <f t="shared" si="64"/>
        <v>1</v>
      </c>
    </row>
    <row r="729" spans="1:9" ht="51">
      <c r="A729" s="23"/>
      <c r="B729" s="23"/>
      <c r="C729" s="23" t="s">
        <v>147</v>
      </c>
      <c r="D729" s="23"/>
      <c r="E729" s="24" t="s">
        <v>148</v>
      </c>
      <c r="F729" s="25">
        <f>F730</f>
        <v>109</v>
      </c>
      <c r="G729" s="25">
        <f>G730</f>
        <v>109</v>
      </c>
      <c r="H729" s="57">
        <f t="shared" si="63"/>
        <v>0</v>
      </c>
      <c r="I729" s="59">
        <f t="shared" si="64"/>
        <v>1</v>
      </c>
    </row>
    <row r="730" spans="1:9" ht="38.25">
      <c r="A730" s="23"/>
      <c r="B730" s="23"/>
      <c r="C730" s="23"/>
      <c r="D730" s="23" t="s">
        <v>43</v>
      </c>
      <c r="E730" s="24" t="s">
        <v>150</v>
      </c>
      <c r="F730" s="25">
        <v>109</v>
      </c>
      <c r="G730" s="25">
        <v>109</v>
      </c>
      <c r="H730" s="57">
        <f t="shared" si="63"/>
        <v>0</v>
      </c>
      <c r="I730" s="59">
        <f t="shared" si="64"/>
        <v>1</v>
      </c>
    </row>
    <row r="731" spans="1:9" ht="63.75">
      <c r="A731" s="23"/>
      <c r="B731" s="23"/>
      <c r="C731" s="23" t="s">
        <v>475</v>
      </c>
      <c r="D731" s="23"/>
      <c r="E731" s="49" t="s">
        <v>478</v>
      </c>
      <c r="F731" s="25">
        <f>F732</f>
        <v>1372.5</v>
      </c>
      <c r="G731" s="25">
        <f>G732</f>
        <v>1372.5</v>
      </c>
      <c r="H731" s="57">
        <f t="shared" si="63"/>
        <v>0</v>
      </c>
      <c r="I731" s="59">
        <f t="shared" si="64"/>
        <v>1</v>
      </c>
    </row>
    <row r="732" spans="1:9" ht="63.75">
      <c r="A732" s="23"/>
      <c r="B732" s="23"/>
      <c r="C732" s="23" t="s">
        <v>477</v>
      </c>
      <c r="D732" s="23"/>
      <c r="E732" s="24" t="s">
        <v>476</v>
      </c>
      <c r="F732" s="25">
        <f>F733</f>
        <v>1372.5</v>
      </c>
      <c r="G732" s="25">
        <f>G733</f>
        <v>1372.5</v>
      </c>
      <c r="H732" s="57">
        <f t="shared" si="63"/>
        <v>0</v>
      </c>
      <c r="I732" s="59">
        <f t="shared" si="64"/>
        <v>1</v>
      </c>
    </row>
    <row r="733" spans="1:9" ht="12.75">
      <c r="A733" s="23"/>
      <c r="B733" s="23"/>
      <c r="C733" s="23"/>
      <c r="D733" s="26" t="s">
        <v>385</v>
      </c>
      <c r="E733" s="53" t="s">
        <v>386</v>
      </c>
      <c r="F733" s="25">
        <v>1372.5</v>
      </c>
      <c r="G733" s="25">
        <v>1372.5</v>
      </c>
      <c r="H733" s="57">
        <f t="shared" si="63"/>
        <v>0</v>
      </c>
      <c r="I733" s="59">
        <f t="shared" si="64"/>
        <v>1</v>
      </c>
    </row>
    <row r="734" spans="1:9" ht="25.5">
      <c r="A734" s="23"/>
      <c r="B734" s="23" t="s">
        <v>58</v>
      </c>
      <c r="C734" s="23"/>
      <c r="D734" s="23"/>
      <c r="E734" s="24" t="s">
        <v>59</v>
      </c>
      <c r="F734" s="25">
        <f>F735+F740</f>
        <v>5807.2</v>
      </c>
      <c r="G734" s="25">
        <f>G735+G740</f>
        <v>2730.7</v>
      </c>
      <c r="H734" s="57">
        <f t="shared" si="57"/>
        <v>3076.5</v>
      </c>
      <c r="I734" s="59">
        <f t="shared" si="58"/>
        <v>0.4702266152362584</v>
      </c>
    </row>
    <row r="735" spans="1:9" ht="25.5">
      <c r="A735" s="23"/>
      <c r="B735" s="23"/>
      <c r="C735" s="23" t="s">
        <v>81</v>
      </c>
      <c r="D735" s="23"/>
      <c r="E735" s="24" t="s">
        <v>285</v>
      </c>
      <c r="F735" s="25">
        <f>F736</f>
        <v>5377.5</v>
      </c>
      <c r="G735" s="25">
        <f>G736</f>
        <v>2609.6</v>
      </c>
      <c r="H735" s="57">
        <f t="shared" si="57"/>
        <v>2767.9</v>
      </c>
      <c r="I735" s="59">
        <f t="shared" si="58"/>
        <v>0.4852812645281264</v>
      </c>
    </row>
    <row r="736" spans="1:9" ht="25.5">
      <c r="A736" s="23"/>
      <c r="B736" s="23"/>
      <c r="C736" s="23" t="s">
        <v>223</v>
      </c>
      <c r="D736" s="23"/>
      <c r="E736" s="24" t="s">
        <v>64</v>
      </c>
      <c r="F736" s="25">
        <f>SUM(F737:F739)</f>
        <v>5377.5</v>
      </c>
      <c r="G736" s="25">
        <f>SUM(G737:G739)</f>
        <v>2609.6</v>
      </c>
      <c r="H736" s="57">
        <f aca="true" t="shared" si="65" ref="H736:H804">F736-G736</f>
        <v>2767.9</v>
      </c>
      <c r="I736" s="59">
        <f aca="true" t="shared" si="66" ref="I736:I804">G736/F736</f>
        <v>0.4852812645281264</v>
      </c>
    </row>
    <row r="737" spans="1:9" ht="89.25">
      <c r="A737" s="23"/>
      <c r="B737" s="23"/>
      <c r="C737" s="23"/>
      <c r="D737" s="23" t="s">
        <v>42</v>
      </c>
      <c r="E737" s="24" t="s">
        <v>149</v>
      </c>
      <c r="F737" s="25">
        <v>4988</v>
      </c>
      <c r="G737" s="25">
        <v>2425</v>
      </c>
      <c r="H737" s="57">
        <f t="shared" si="65"/>
        <v>2563</v>
      </c>
      <c r="I737" s="59">
        <f t="shared" si="66"/>
        <v>0.48616680032076987</v>
      </c>
    </row>
    <row r="738" spans="1:9" ht="38.25">
      <c r="A738" s="23"/>
      <c r="B738" s="23"/>
      <c r="C738" s="23"/>
      <c r="D738" s="23" t="s">
        <v>43</v>
      </c>
      <c r="E738" s="24" t="s">
        <v>150</v>
      </c>
      <c r="F738" s="25">
        <v>342.2</v>
      </c>
      <c r="G738" s="25">
        <v>164</v>
      </c>
      <c r="H738" s="57">
        <f t="shared" si="65"/>
        <v>178.2</v>
      </c>
      <c r="I738" s="59">
        <f t="shared" si="66"/>
        <v>0.4792518994739918</v>
      </c>
    </row>
    <row r="739" spans="1:9" ht="12.75">
      <c r="A739" s="23"/>
      <c r="B739" s="23"/>
      <c r="C739" s="23"/>
      <c r="D739" s="23" t="s">
        <v>44</v>
      </c>
      <c r="E739" s="24" t="s">
        <v>45</v>
      </c>
      <c r="F739" s="25">
        <v>47.3</v>
      </c>
      <c r="G739" s="25">
        <v>20.6</v>
      </c>
      <c r="H739" s="57">
        <f t="shared" si="65"/>
        <v>26.699999999999996</v>
      </c>
      <c r="I739" s="59">
        <f t="shared" si="66"/>
        <v>0.4355179704016914</v>
      </c>
    </row>
    <row r="740" spans="1:9" ht="25.5">
      <c r="A740" s="23"/>
      <c r="B740" s="23"/>
      <c r="C740" s="23" t="s">
        <v>55</v>
      </c>
      <c r="D740" s="23"/>
      <c r="E740" s="24" t="s">
        <v>297</v>
      </c>
      <c r="F740" s="25">
        <f>F741</f>
        <v>429.7</v>
      </c>
      <c r="G740" s="25">
        <f>G741</f>
        <v>121.1</v>
      </c>
      <c r="H740" s="57">
        <f t="shared" si="65"/>
        <v>308.6</v>
      </c>
      <c r="I740" s="59">
        <f t="shared" si="66"/>
        <v>0.28182452874098207</v>
      </c>
    </row>
    <row r="741" spans="1:9" ht="38.25">
      <c r="A741" s="23"/>
      <c r="B741" s="23"/>
      <c r="C741" s="23" t="s">
        <v>162</v>
      </c>
      <c r="D741" s="23"/>
      <c r="E741" s="24" t="s">
        <v>163</v>
      </c>
      <c r="F741" s="25">
        <f>F742</f>
        <v>429.7</v>
      </c>
      <c r="G741" s="25">
        <f>G742</f>
        <v>121.1</v>
      </c>
      <c r="H741" s="57">
        <f t="shared" si="65"/>
        <v>308.6</v>
      </c>
      <c r="I741" s="59">
        <f t="shared" si="66"/>
        <v>0.28182452874098207</v>
      </c>
    </row>
    <row r="742" spans="1:9" ht="38.25">
      <c r="A742" s="23"/>
      <c r="B742" s="23"/>
      <c r="C742" s="23"/>
      <c r="D742" s="23" t="s">
        <v>43</v>
      </c>
      <c r="E742" s="24" t="s">
        <v>150</v>
      </c>
      <c r="F742" s="25">
        <v>429.7</v>
      </c>
      <c r="G742" s="25">
        <v>121.1</v>
      </c>
      <c r="H742" s="57">
        <f t="shared" si="65"/>
        <v>308.6</v>
      </c>
      <c r="I742" s="59">
        <f t="shared" si="66"/>
        <v>0.28182452874098207</v>
      </c>
    </row>
    <row r="743" spans="1:9" ht="12.75">
      <c r="A743" s="23"/>
      <c r="B743" s="23" t="s">
        <v>79</v>
      </c>
      <c r="C743" s="23"/>
      <c r="D743" s="23"/>
      <c r="E743" s="24" t="s">
        <v>80</v>
      </c>
      <c r="F743" s="25">
        <f>F744+F758</f>
        <v>24703.2</v>
      </c>
      <c r="G743" s="25">
        <f>G744+G758</f>
        <v>14433.7</v>
      </c>
      <c r="H743" s="57">
        <f t="shared" si="65"/>
        <v>10269.5</v>
      </c>
      <c r="I743" s="59">
        <f t="shared" si="66"/>
        <v>0.5842846270928462</v>
      </c>
    </row>
    <row r="744" spans="1:9" ht="25.5">
      <c r="A744" s="23"/>
      <c r="B744" s="26" t="s">
        <v>89</v>
      </c>
      <c r="C744" s="23"/>
      <c r="D744" s="23"/>
      <c r="E744" s="24" t="s">
        <v>90</v>
      </c>
      <c r="F744" s="25">
        <f>F745</f>
        <v>23928.2</v>
      </c>
      <c r="G744" s="25">
        <f>G745</f>
        <v>14075.5</v>
      </c>
      <c r="H744" s="57">
        <f t="shared" si="65"/>
        <v>9852.7</v>
      </c>
      <c r="I744" s="59">
        <f t="shared" si="66"/>
        <v>0.5882389816200132</v>
      </c>
    </row>
    <row r="745" spans="1:9" ht="12.75">
      <c r="A745" s="23"/>
      <c r="C745" s="23" t="s">
        <v>60</v>
      </c>
      <c r="D745" s="23"/>
      <c r="E745" s="24" t="s">
        <v>368</v>
      </c>
      <c r="F745" s="25">
        <f>F746+F748+F750+F752+F754+F756</f>
        <v>23928.2</v>
      </c>
      <c r="G745" s="25">
        <f>G746+G748+G750+G752+G754+G756</f>
        <v>14075.5</v>
      </c>
      <c r="H745" s="57">
        <f t="shared" si="65"/>
        <v>9852.7</v>
      </c>
      <c r="I745" s="59">
        <f t="shared" si="66"/>
        <v>0.5882389816200132</v>
      </c>
    </row>
    <row r="746" spans="1:9" ht="25.5" hidden="1">
      <c r="A746" s="23"/>
      <c r="B746" s="23"/>
      <c r="C746" s="23" t="s">
        <v>230</v>
      </c>
      <c r="D746" s="23"/>
      <c r="E746" s="24" t="s">
        <v>231</v>
      </c>
      <c r="F746" s="25">
        <f>F747</f>
        <v>0</v>
      </c>
      <c r="G746" s="25">
        <f>G747</f>
        <v>0</v>
      </c>
      <c r="H746" s="57">
        <f t="shared" si="65"/>
        <v>0</v>
      </c>
      <c r="I746" s="59" t="e">
        <f t="shared" si="66"/>
        <v>#DIV/0!</v>
      </c>
    </row>
    <row r="747" spans="1:9" ht="12.75" hidden="1">
      <c r="A747" s="23"/>
      <c r="B747" s="23"/>
      <c r="C747" s="23"/>
      <c r="D747" s="23" t="s">
        <v>44</v>
      </c>
      <c r="E747" s="24" t="s">
        <v>45</v>
      </c>
      <c r="F747" s="25"/>
      <c r="G747" s="25"/>
      <c r="H747" s="57">
        <f t="shared" si="65"/>
        <v>0</v>
      </c>
      <c r="I747" s="59" t="e">
        <f t="shared" si="66"/>
        <v>#DIV/0!</v>
      </c>
    </row>
    <row r="748" spans="1:9" ht="63.75">
      <c r="A748" s="23"/>
      <c r="B748" s="23"/>
      <c r="C748" s="23" t="s">
        <v>404</v>
      </c>
      <c r="D748" s="23"/>
      <c r="E748" s="61" t="s">
        <v>401</v>
      </c>
      <c r="F748" s="25">
        <f>F749</f>
        <v>15712.9</v>
      </c>
      <c r="G748" s="25">
        <f>G749</f>
        <v>11964.9</v>
      </c>
      <c r="H748" s="57">
        <f t="shared" si="65"/>
        <v>3748</v>
      </c>
      <c r="I748" s="59">
        <f t="shared" si="66"/>
        <v>0.7614698750708017</v>
      </c>
    </row>
    <row r="749" spans="1:9" ht="38.25">
      <c r="A749" s="23"/>
      <c r="B749" s="23"/>
      <c r="C749" s="23"/>
      <c r="D749" s="23" t="s">
        <v>43</v>
      </c>
      <c r="E749" s="24" t="s">
        <v>150</v>
      </c>
      <c r="F749" s="25">
        <v>15712.9</v>
      </c>
      <c r="G749" s="25">
        <v>11964.9</v>
      </c>
      <c r="H749" s="57">
        <f t="shared" si="65"/>
        <v>3748</v>
      </c>
      <c r="I749" s="59">
        <f t="shared" si="66"/>
        <v>0.7614698750708017</v>
      </c>
    </row>
    <row r="750" spans="1:9" ht="89.25">
      <c r="A750" s="23"/>
      <c r="B750" s="23"/>
      <c r="C750" s="23" t="s">
        <v>405</v>
      </c>
      <c r="D750" s="23"/>
      <c r="E750" s="61" t="s">
        <v>402</v>
      </c>
      <c r="F750" s="25">
        <f>F751</f>
        <v>3711.6</v>
      </c>
      <c r="G750" s="25">
        <f>G751</f>
        <v>0</v>
      </c>
      <c r="H750" s="57">
        <f t="shared" si="65"/>
        <v>3711.6</v>
      </c>
      <c r="I750" s="59">
        <f t="shared" si="66"/>
        <v>0</v>
      </c>
    </row>
    <row r="751" spans="1:9" ht="38.25">
      <c r="A751" s="23"/>
      <c r="B751" s="23"/>
      <c r="C751" s="23"/>
      <c r="D751" s="23" t="s">
        <v>43</v>
      </c>
      <c r="E751" s="24" t="s">
        <v>150</v>
      </c>
      <c r="F751" s="25">
        <v>3711.6</v>
      </c>
      <c r="G751" s="25">
        <v>0</v>
      </c>
      <c r="H751" s="57">
        <f t="shared" si="65"/>
        <v>3711.6</v>
      </c>
      <c r="I751" s="59">
        <f t="shared" si="66"/>
        <v>0</v>
      </c>
    </row>
    <row r="752" spans="1:9" ht="63.75">
      <c r="A752" s="23"/>
      <c r="B752" s="23"/>
      <c r="C752" s="23" t="s">
        <v>403</v>
      </c>
      <c r="D752" s="23"/>
      <c r="E752" s="60" t="s">
        <v>383</v>
      </c>
      <c r="F752" s="25">
        <f>F753</f>
        <v>1120.3</v>
      </c>
      <c r="G752" s="25">
        <f>G753</f>
        <v>360.6</v>
      </c>
      <c r="H752" s="57">
        <f t="shared" si="65"/>
        <v>759.6999999999999</v>
      </c>
      <c r="I752" s="59">
        <f t="shared" si="66"/>
        <v>0.3218780683745426</v>
      </c>
    </row>
    <row r="753" spans="1:9" ht="38.25">
      <c r="A753" s="23"/>
      <c r="B753" s="23"/>
      <c r="C753" s="23"/>
      <c r="D753" s="23" t="s">
        <v>43</v>
      </c>
      <c r="E753" s="24" t="s">
        <v>150</v>
      </c>
      <c r="F753" s="25">
        <v>1120.3</v>
      </c>
      <c r="G753" s="25">
        <v>360.6</v>
      </c>
      <c r="H753" s="57">
        <f t="shared" si="65"/>
        <v>759.6999999999999</v>
      </c>
      <c r="I753" s="59">
        <f t="shared" si="66"/>
        <v>0.3218780683745426</v>
      </c>
    </row>
    <row r="754" spans="1:9" ht="51">
      <c r="A754" s="23"/>
      <c r="B754" s="23"/>
      <c r="C754" s="26" t="s">
        <v>438</v>
      </c>
      <c r="D754" s="26"/>
      <c r="E754" s="60" t="s">
        <v>451</v>
      </c>
      <c r="F754" s="25">
        <f>F755</f>
        <v>1883.4</v>
      </c>
      <c r="G754" s="25">
        <f>G755</f>
        <v>1750</v>
      </c>
      <c r="H754" s="57">
        <f t="shared" si="65"/>
        <v>133.4000000000001</v>
      </c>
      <c r="I754" s="59">
        <f t="shared" si="66"/>
        <v>0.9291706488265902</v>
      </c>
    </row>
    <row r="755" spans="1:9" ht="38.25">
      <c r="A755" s="23"/>
      <c r="B755" s="23"/>
      <c r="C755" s="26"/>
      <c r="D755" s="26" t="s">
        <v>43</v>
      </c>
      <c r="E755" s="24" t="s">
        <v>150</v>
      </c>
      <c r="F755" s="25">
        <v>1883.4</v>
      </c>
      <c r="G755" s="25">
        <v>1750</v>
      </c>
      <c r="H755" s="57">
        <f t="shared" si="65"/>
        <v>133.4000000000001</v>
      </c>
      <c r="I755" s="59">
        <f t="shared" si="66"/>
        <v>0.9291706488265902</v>
      </c>
    </row>
    <row r="756" spans="1:9" ht="25.5">
      <c r="A756" s="23"/>
      <c r="B756" s="23"/>
      <c r="C756" s="26" t="s">
        <v>1041</v>
      </c>
      <c r="D756" s="26"/>
      <c r="E756" s="24" t="s">
        <v>1072</v>
      </c>
      <c r="F756" s="25">
        <f>F757</f>
        <v>1500</v>
      </c>
      <c r="G756" s="25">
        <f>G757</f>
        <v>0</v>
      </c>
      <c r="H756" s="57">
        <f>F756-G756</f>
        <v>1500</v>
      </c>
      <c r="I756" s="59">
        <f>G756/F756</f>
        <v>0</v>
      </c>
    </row>
    <row r="757" spans="1:9" ht="38.25">
      <c r="A757" s="23"/>
      <c r="B757" s="23"/>
      <c r="C757" s="26"/>
      <c r="D757" s="26" t="s">
        <v>43</v>
      </c>
      <c r="E757" s="24" t="s">
        <v>150</v>
      </c>
      <c r="F757" s="25">
        <v>1500</v>
      </c>
      <c r="G757" s="25">
        <v>0</v>
      </c>
      <c r="H757" s="57">
        <f>F757-G757</f>
        <v>1500</v>
      </c>
      <c r="I757" s="59">
        <f>G757/F757</f>
        <v>0</v>
      </c>
    </row>
    <row r="758" spans="1:9" ht="25.5">
      <c r="A758" s="23"/>
      <c r="B758" s="26" t="s">
        <v>387</v>
      </c>
      <c r="C758" s="26"/>
      <c r="D758" s="26"/>
      <c r="E758" s="53" t="s">
        <v>388</v>
      </c>
      <c r="F758" s="25">
        <f aca="true" t="shared" si="67" ref="F758:G760">F759</f>
        <v>775</v>
      </c>
      <c r="G758" s="25">
        <f t="shared" si="67"/>
        <v>358.2</v>
      </c>
      <c r="H758" s="57">
        <f t="shared" si="65"/>
        <v>416.8</v>
      </c>
      <c r="I758" s="59">
        <f t="shared" si="66"/>
        <v>0.46219354838709675</v>
      </c>
    </row>
    <row r="759" spans="1:9" ht="29.25" customHeight="1">
      <c r="A759" s="23"/>
      <c r="B759" s="26"/>
      <c r="C759" s="26" t="s">
        <v>389</v>
      </c>
      <c r="D759" s="26"/>
      <c r="E759" s="53" t="s">
        <v>390</v>
      </c>
      <c r="F759" s="25">
        <f t="shared" si="67"/>
        <v>775</v>
      </c>
      <c r="G759" s="25">
        <f t="shared" si="67"/>
        <v>358.2</v>
      </c>
      <c r="H759" s="57">
        <f t="shared" si="65"/>
        <v>416.8</v>
      </c>
      <c r="I759" s="59">
        <f t="shared" si="66"/>
        <v>0.46219354838709675</v>
      </c>
    </row>
    <row r="760" spans="1:9" ht="51">
      <c r="A760" s="23"/>
      <c r="B760" s="26"/>
      <c r="C760" s="26" t="s">
        <v>391</v>
      </c>
      <c r="D760" s="26"/>
      <c r="E760" s="53" t="s">
        <v>392</v>
      </c>
      <c r="F760" s="25">
        <f t="shared" si="67"/>
        <v>775</v>
      </c>
      <c r="G760" s="25">
        <f t="shared" si="67"/>
        <v>358.2</v>
      </c>
      <c r="H760" s="57">
        <f t="shared" si="65"/>
        <v>416.8</v>
      </c>
      <c r="I760" s="59">
        <f t="shared" si="66"/>
        <v>0.46219354838709675</v>
      </c>
    </row>
    <row r="761" spans="1:9" ht="38.25">
      <c r="A761" s="23"/>
      <c r="B761" s="26"/>
      <c r="C761" s="26"/>
      <c r="D761" s="26" t="s">
        <v>43</v>
      </c>
      <c r="E761" s="24" t="s">
        <v>150</v>
      </c>
      <c r="F761" s="25">
        <v>775</v>
      </c>
      <c r="G761" s="25">
        <v>358.2</v>
      </c>
      <c r="H761" s="57">
        <f t="shared" si="65"/>
        <v>416.8</v>
      </c>
      <c r="I761" s="59">
        <f t="shared" si="66"/>
        <v>0.46219354838709675</v>
      </c>
    </row>
    <row r="762" spans="1:9" ht="25.5">
      <c r="A762" s="23"/>
      <c r="B762" s="23" t="s">
        <v>91</v>
      </c>
      <c r="C762" s="23"/>
      <c r="D762" s="23"/>
      <c r="E762" s="24" t="s">
        <v>92</v>
      </c>
      <c r="F762" s="25">
        <f>F763+F767</f>
        <v>6121.9</v>
      </c>
      <c r="G762" s="25">
        <f>G763+G767</f>
        <v>480.2</v>
      </c>
      <c r="H762" s="57">
        <f>F762-G762</f>
        <v>5641.7</v>
      </c>
      <c r="I762" s="59">
        <f>G762/F762</f>
        <v>0.07843970009310836</v>
      </c>
    </row>
    <row r="763" spans="1:9" ht="12.75">
      <c r="A763" s="23"/>
      <c r="B763" s="23" t="s">
        <v>412</v>
      </c>
      <c r="C763" s="23"/>
      <c r="D763" s="23"/>
      <c r="E763" s="24" t="s">
        <v>413</v>
      </c>
      <c r="F763" s="25">
        <f aca="true" t="shared" si="68" ref="F763:G765">F764</f>
        <v>2400.2</v>
      </c>
      <c r="G763" s="25">
        <f t="shared" si="68"/>
        <v>97.5</v>
      </c>
      <c r="H763" s="57">
        <f>F763-G763</f>
        <v>2302.7</v>
      </c>
      <c r="I763" s="59">
        <f>G763/F763</f>
        <v>0.04062161486542788</v>
      </c>
    </row>
    <row r="764" spans="1:9" ht="38.25">
      <c r="A764" s="23"/>
      <c r="B764" s="26"/>
      <c r="C764" s="26" t="s">
        <v>393</v>
      </c>
      <c r="D764" s="26"/>
      <c r="E764" s="60" t="s">
        <v>394</v>
      </c>
      <c r="F764" s="25">
        <f t="shared" si="68"/>
        <v>2400.2</v>
      </c>
      <c r="G764" s="25">
        <f t="shared" si="68"/>
        <v>97.5</v>
      </c>
      <c r="H764" s="57">
        <f>F764-G764</f>
        <v>2302.7</v>
      </c>
      <c r="I764" s="59">
        <f>G764/F764</f>
        <v>0.04062161486542788</v>
      </c>
    </row>
    <row r="765" spans="1:9" ht="25.5">
      <c r="A765" s="23"/>
      <c r="B765" s="26"/>
      <c r="C765" s="26" t="s">
        <v>1042</v>
      </c>
      <c r="D765" s="26"/>
      <c r="E765" s="24" t="s">
        <v>1073</v>
      </c>
      <c r="F765" s="25">
        <f t="shared" si="68"/>
        <v>2400.2</v>
      </c>
      <c r="G765" s="25">
        <f t="shared" si="68"/>
        <v>97.5</v>
      </c>
      <c r="H765" s="57">
        <f>F765-G765</f>
        <v>2302.7</v>
      </c>
      <c r="I765" s="59">
        <f>G765/F765</f>
        <v>0.04062161486542788</v>
      </c>
    </row>
    <row r="766" spans="1:9" ht="12.75">
      <c r="A766" s="23"/>
      <c r="B766" s="26"/>
      <c r="C766" s="26"/>
      <c r="D766" s="26" t="s">
        <v>385</v>
      </c>
      <c r="E766" s="53" t="s">
        <v>386</v>
      </c>
      <c r="F766" s="25">
        <v>2400.2</v>
      </c>
      <c r="G766" s="25">
        <v>97.5</v>
      </c>
      <c r="H766" s="57">
        <f>F766-G766</f>
        <v>2302.7</v>
      </c>
      <c r="I766" s="59">
        <f>G766/F766</f>
        <v>0.04062161486542788</v>
      </c>
    </row>
    <row r="767" spans="1:9" ht="12.75">
      <c r="A767" s="23"/>
      <c r="B767" s="23" t="s">
        <v>406</v>
      </c>
      <c r="C767" s="23"/>
      <c r="D767" s="23"/>
      <c r="E767" s="24" t="s">
        <v>407</v>
      </c>
      <c r="F767" s="25">
        <f>F768+F775</f>
        <v>3721.7</v>
      </c>
      <c r="G767" s="25">
        <f>G768+G775</f>
        <v>382.7</v>
      </c>
      <c r="H767" s="57">
        <f aca="true" t="shared" si="69" ref="H767:H777">F767-G767</f>
        <v>3339</v>
      </c>
      <c r="I767" s="59">
        <f aca="true" t="shared" si="70" ref="I767:I777">G767/F767</f>
        <v>0.10282935217776823</v>
      </c>
    </row>
    <row r="768" spans="1:9" ht="38.25">
      <c r="A768" s="23"/>
      <c r="B768" s="26"/>
      <c r="C768" s="26" t="s">
        <v>393</v>
      </c>
      <c r="D768" s="26"/>
      <c r="E768" s="60" t="s">
        <v>394</v>
      </c>
      <c r="F768" s="25">
        <f>F769+F771+F773</f>
        <v>2281</v>
      </c>
      <c r="G768" s="25">
        <f>G769+G771+G773</f>
        <v>94.30000000000001</v>
      </c>
      <c r="H768" s="57">
        <f t="shared" si="69"/>
        <v>2186.7</v>
      </c>
      <c r="I768" s="59">
        <f t="shared" si="70"/>
        <v>0.04134151687856204</v>
      </c>
    </row>
    <row r="769" spans="1:9" ht="38.25">
      <c r="A769" s="23"/>
      <c r="B769" s="26"/>
      <c r="C769" s="26" t="s">
        <v>1043</v>
      </c>
      <c r="D769" s="26"/>
      <c r="E769" s="60" t="s">
        <v>1074</v>
      </c>
      <c r="F769" s="25">
        <f>F770</f>
        <v>1330</v>
      </c>
      <c r="G769" s="25">
        <f>G770</f>
        <v>14.4</v>
      </c>
      <c r="H769" s="57">
        <f t="shared" si="69"/>
        <v>1315.6</v>
      </c>
      <c r="I769" s="59">
        <f t="shared" si="70"/>
        <v>0.010827067669172933</v>
      </c>
    </row>
    <row r="770" spans="1:9" ht="12.75">
      <c r="A770" s="23"/>
      <c r="B770" s="26"/>
      <c r="C770" s="26"/>
      <c r="D770" s="26" t="s">
        <v>385</v>
      </c>
      <c r="E770" s="53" t="s">
        <v>386</v>
      </c>
      <c r="F770" s="25">
        <v>1330</v>
      </c>
      <c r="G770" s="25">
        <v>14.4</v>
      </c>
      <c r="H770" s="57">
        <f t="shared" si="69"/>
        <v>1315.6</v>
      </c>
      <c r="I770" s="59">
        <f t="shared" si="70"/>
        <v>0.010827067669172933</v>
      </c>
    </row>
    <row r="771" spans="1:9" ht="25.5">
      <c r="A771" s="23"/>
      <c r="B771" s="26"/>
      <c r="C771" s="26" t="s">
        <v>1044</v>
      </c>
      <c r="D771" s="26"/>
      <c r="E771" s="53" t="s">
        <v>1075</v>
      </c>
      <c r="F771" s="25">
        <f>F772</f>
        <v>454.1</v>
      </c>
      <c r="G771" s="25">
        <f>G772</f>
        <v>79.9</v>
      </c>
      <c r="H771" s="57">
        <f t="shared" si="69"/>
        <v>374.20000000000005</v>
      </c>
      <c r="I771" s="59">
        <f t="shared" si="70"/>
        <v>0.17595243338471703</v>
      </c>
    </row>
    <row r="772" spans="1:9" ht="12.75">
      <c r="A772" s="23"/>
      <c r="B772" s="26"/>
      <c r="C772" s="26"/>
      <c r="D772" s="26" t="s">
        <v>385</v>
      </c>
      <c r="E772" s="53" t="s">
        <v>386</v>
      </c>
      <c r="F772" s="25">
        <v>454.1</v>
      </c>
      <c r="G772" s="25">
        <v>79.9</v>
      </c>
      <c r="H772" s="57">
        <f t="shared" si="69"/>
        <v>374.20000000000005</v>
      </c>
      <c r="I772" s="59">
        <f t="shared" si="70"/>
        <v>0.17595243338471703</v>
      </c>
    </row>
    <row r="773" spans="1:9" ht="25.5">
      <c r="A773" s="23"/>
      <c r="B773" s="26"/>
      <c r="C773" s="26" t="s">
        <v>1045</v>
      </c>
      <c r="D773" s="26"/>
      <c r="E773" s="53" t="s">
        <v>1076</v>
      </c>
      <c r="F773" s="25">
        <f>F774</f>
        <v>496.9</v>
      </c>
      <c r="G773" s="25">
        <f>G774</f>
        <v>0</v>
      </c>
      <c r="H773" s="57">
        <f t="shared" si="69"/>
        <v>496.9</v>
      </c>
      <c r="I773" s="59">
        <f t="shared" si="70"/>
        <v>0</v>
      </c>
    </row>
    <row r="774" spans="1:9" ht="12.75">
      <c r="A774" s="23"/>
      <c r="B774" s="26"/>
      <c r="C774" s="26"/>
      <c r="D774" s="26" t="s">
        <v>385</v>
      </c>
      <c r="E774" s="53" t="s">
        <v>386</v>
      </c>
      <c r="F774" s="25">
        <v>496.9</v>
      </c>
      <c r="G774" s="25">
        <v>0</v>
      </c>
      <c r="H774" s="57">
        <f t="shared" si="69"/>
        <v>496.9</v>
      </c>
      <c r="I774" s="59">
        <f t="shared" si="70"/>
        <v>0</v>
      </c>
    </row>
    <row r="775" spans="1:9" ht="51" customHeight="1">
      <c r="A775" s="23"/>
      <c r="B775" s="26"/>
      <c r="C775" s="23" t="s">
        <v>475</v>
      </c>
      <c r="D775" s="23"/>
      <c r="E775" s="49" t="s">
        <v>478</v>
      </c>
      <c r="F775" s="25">
        <f>F776</f>
        <v>1440.7</v>
      </c>
      <c r="G775" s="25">
        <f>G776</f>
        <v>288.4</v>
      </c>
      <c r="H775" s="57">
        <f t="shared" si="69"/>
        <v>1152.3000000000002</v>
      </c>
      <c r="I775" s="59">
        <f t="shared" si="70"/>
        <v>0.20018046782813909</v>
      </c>
    </row>
    <row r="776" spans="1:9" ht="63.75">
      <c r="A776" s="23"/>
      <c r="B776" s="26"/>
      <c r="C776" s="23" t="s">
        <v>477</v>
      </c>
      <c r="D776" s="23"/>
      <c r="E776" s="24" t="s">
        <v>476</v>
      </c>
      <c r="F776" s="25">
        <f>F777</f>
        <v>1440.7</v>
      </c>
      <c r="G776" s="25">
        <f>G777</f>
        <v>288.4</v>
      </c>
      <c r="H776" s="57">
        <f t="shared" si="69"/>
        <v>1152.3000000000002</v>
      </c>
      <c r="I776" s="59">
        <f t="shared" si="70"/>
        <v>0.20018046782813909</v>
      </c>
    </row>
    <row r="777" spans="1:9" ht="12.75">
      <c r="A777" s="23"/>
      <c r="B777" s="26"/>
      <c r="C777" s="23"/>
      <c r="D777" s="26" t="s">
        <v>385</v>
      </c>
      <c r="E777" s="53" t="s">
        <v>386</v>
      </c>
      <c r="F777" s="25">
        <v>1440.7</v>
      </c>
      <c r="G777" s="25">
        <v>288.4</v>
      </c>
      <c r="H777" s="57">
        <f t="shared" si="69"/>
        <v>1152.3000000000002</v>
      </c>
      <c r="I777" s="59">
        <f t="shared" si="70"/>
        <v>0.20018046782813909</v>
      </c>
    </row>
    <row r="778" spans="1:9" ht="12.75">
      <c r="A778" s="23"/>
      <c r="B778" s="26" t="s">
        <v>97</v>
      </c>
      <c r="C778" s="26"/>
      <c r="D778" s="26"/>
      <c r="E778" s="60" t="s">
        <v>98</v>
      </c>
      <c r="F778" s="25">
        <f>F779+F795</f>
        <v>43361</v>
      </c>
      <c r="G778" s="25">
        <f>G779+G795</f>
        <v>7488.7</v>
      </c>
      <c r="H778" s="57">
        <f t="shared" si="65"/>
        <v>35872.3</v>
      </c>
      <c r="I778" s="59">
        <f t="shared" si="66"/>
        <v>0.17270588777934087</v>
      </c>
    </row>
    <row r="779" spans="1:9" ht="12.75">
      <c r="A779" s="23"/>
      <c r="B779" s="26" t="s">
        <v>99</v>
      </c>
      <c r="C779" s="26"/>
      <c r="D779" s="26"/>
      <c r="E779" s="60" t="s">
        <v>100</v>
      </c>
      <c r="F779" s="25">
        <f>F780</f>
        <v>21636.1</v>
      </c>
      <c r="G779" s="25">
        <f>G780</f>
        <v>7488.7</v>
      </c>
      <c r="H779" s="57">
        <f t="shared" si="65"/>
        <v>14147.399999999998</v>
      </c>
      <c r="I779" s="59">
        <f t="shared" si="66"/>
        <v>0.34612060399055283</v>
      </c>
    </row>
    <row r="780" spans="1:9" ht="38.25">
      <c r="A780" s="23"/>
      <c r="B780" s="26"/>
      <c r="C780" s="26" t="s">
        <v>393</v>
      </c>
      <c r="D780" s="26"/>
      <c r="E780" s="60" t="s">
        <v>394</v>
      </c>
      <c r="F780" s="25">
        <f>F781+F783+F785+F787+F789+F791+F793</f>
        <v>21636.1</v>
      </c>
      <c r="G780" s="25">
        <f>G781+G783+G785+G787+G789+G791+G793</f>
        <v>7488.7</v>
      </c>
      <c r="H780" s="57">
        <f t="shared" si="65"/>
        <v>14147.399999999998</v>
      </c>
      <c r="I780" s="59">
        <f t="shared" si="66"/>
        <v>0.34612060399055283</v>
      </c>
    </row>
    <row r="781" spans="1:9" ht="39" customHeight="1">
      <c r="A781" s="23"/>
      <c r="B781" s="62"/>
      <c r="C781" s="26" t="s">
        <v>395</v>
      </c>
      <c r="D781" s="26"/>
      <c r="E781" s="53" t="s">
        <v>396</v>
      </c>
      <c r="F781" s="25">
        <f>F782</f>
        <v>1650.2</v>
      </c>
      <c r="G781" s="25">
        <f>G782</f>
        <v>1622.3</v>
      </c>
      <c r="H781" s="57">
        <f t="shared" si="65"/>
        <v>27.90000000000009</v>
      </c>
      <c r="I781" s="59">
        <f t="shared" si="66"/>
        <v>0.9830929584292812</v>
      </c>
    </row>
    <row r="782" spans="1:9" ht="12.75">
      <c r="A782" s="23"/>
      <c r="B782" s="26"/>
      <c r="C782" s="26"/>
      <c r="D782" s="26" t="s">
        <v>385</v>
      </c>
      <c r="E782" s="53" t="s">
        <v>386</v>
      </c>
      <c r="F782" s="25">
        <v>1650.2</v>
      </c>
      <c r="G782" s="25">
        <v>1622.3</v>
      </c>
      <c r="H782" s="57">
        <f t="shared" si="65"/>
        <v>27.90000000000009</v>
      </c>
      <c r="I782" s="59">
        <f t="shared" si="66"/>
        <v>0.9830929584292812</v>
      </c>
    </row>
    <row r="783" spans="1:9" ht="38.25">
      <c r="A783" s="23"/>
      <c r="B783" s="26"/>
      <c r="C783" s="26" t="s">
        <v>397</v>
      </c>
      <c r="D783" s="26"/>
      <c r="E783" s="60" t="s">
        <v>398</v>
      </c>
      <c r="F783" s="25">
        <f>F784</f>
        <v>539.3</v>
      </c>
      <c r="G783" s="25">
        <f>G784</f>
        <v>46.2</v>
      </c>
      <c r="H783" s="57">
        <f t="shared" si="65"/>
        <v>493.09999999999997</v>
      </c>
      <c r="I783" s="59">
        <f t="shared" si="66"/>
        <v>0.08566660485814946</v>
      </c>
    </row>
    <row r="784" spans="1:9" ht="12.75">
      <c r="A784" s="23"/>
      <c r="B784" s="26"/>
      <c r="C784" s="26"/>
      <c r="D784" s="26" t="s">
        <v>385</v>
      </c>
      <c r="E784" s="53" t="s">
        <v>386</v>
      </c>
      <c r="F784" s="25">
        <v>539.3</v>
      </c>
      <c r="G784" s="25">
        <v>46.2</v>
      </c>
      <c r="H784" s="57">
        <f t="shared" si="65"/>
        <v>493.09999999999997</v>
      </c>
      <c r="I784" s="59">
        <f t="shared" si="66"/>
        <v>0.08566660485814946</v>
      </c>
    </row>
    <row r="785" spans="1:9" ht="38.25">
      <c r="A785" s="23"/>
      <c r="B785" s="26"/>
      <c r="C785" s="26" t="s">
        <v>399</v>
      </c>
      <c r="D785" s="26"/>
      <c r="E785" s="53" t="s">
        <v>400</v>
      </c>
      <c r="F785" s="25">
        <f>F786</f>
        <v>525.8</v>
      </c>
      <c r="G785" s="25">
        <f>G786</f>
        <v>388.2</v>
      </c>
      <c r="H785" s="57">
        <f t="shared" si="65"/>
        <v>137.59999999999997</v>
      </c>
      <c r="I785" s="59">
        <f t="shared" si="66"/>
        <v>0.7383035374667174</v>
      </c>
    </row>
    <row r="786" spans="1:9" ht="12.75">
      <c r="A786" s="23"/>
      <c r="B786" s="26"/>
      <c r="C786" s="26"/>
      <c r="D786" s="26" t="s">
        <v>385</v>
      </c>
      <c r="E786" s="60" t="s">
        <v>386</v>
      </c>
      <c r="F786" s="25">
        <v>525.8</v>
      </c>
      <c r="G786" s="25">
        <v>388.2</v>
      </c>
      <c r="H786" s="57">
        <f t="shared" si="65"/>
        <v>137.59999999999997</v>
      </c>
      <c r="I786" s="59">
        <f t="shared" si="66"/>
        <v>0.7383035374667174</v>
      </c>
    </row>
    <row r="787" spans="1:9" ht="38.25">
      <c r="A787" s="23"/>
      <c r="B787" s="26"/>
      <c r="C787" s="26" t="s">
        <v>439</v>
      </c>
      <c r="D787" s="63"/>
      <c r="E787" s="53" t="s">
        <v>440</v>
      </c>
      <c r="F787" s="25">
        <f>F788</f>
        <v>5432</v>
      </c>
      <c r="G787" s="25">
        <f>G788</f>
        <v>5432</v>
      </c>
      <c r="H787" s="57">
        <f t="shared" si="65"/>
        <v>0</v>
      </c>
      <c r="I787" s="59">
        <f t="shared" si="66"/>
        <v>1</v>
      </c>
    </row>
    <row r="788" spans="1:9" ht="12.75">
      <c r="A788" s="23"/>
      <c r="B788" s="26"/>
      <c r="C788" s="26"/>
      <c r="D788" s="26" t="s">
        <v>385</v>
      </c>
      <c r="E788" s="53" t="s">
        <v>386</v>
      </c>
      <c r="F788" s="25">
        <v>5432</v>
      </c>
      <c r="G788" s="25">
        <v>5432</v>
      </c>
      <c r="H788" s="57">
        <f t="shared" si="65"/>
        <v>0</v>
      </c>
      <c r="I788" s="59">
        <f t="shared" si="66"/>
        <v>1</v>
      </c>
    </row>
    <row r="789" spans="1:9" ht="38.25">
      <c r="A789" s="23"/>
      <c r="B789" s="26"/>
      <c r="C789" s="26" t="s">
        <v>441</v>
      </c>
      <c r="D789" s="63"/>
      <c r="E789" s="53" t="s">
        <v>442</v>
      </c>
      <c r="F789" s="25">
        <f>F790</f>
        <v>8338.8</v>
      </c>
      <c r="G789" s="25">
        <f>G790</f>
        <v>0</v>
      </c>
      <c r="H789" s="57">
        <f t="shared" si="65"/>
        <v>8338.8</v>
      </c>
      <c r="I789" s="59">
        <f t="shared" si="66"/>
        <v>0</v>
      </c>
    </row>
    <row r="790" spans="1:9" ht="12.75">
      <c r="A790" s="23"/>
      <c r="B790" s="26"/>
      <c r="C790" s="26"/>
      <c r="D790" s="26" t="s">
        <v>385</v>
      </c>
      <c r="E790" s="53" t="s">
        <v>386</v>
      </c>
      <c r="F790" s="25">
        <v>8338.8</v>
      </c>
      <c r="G790" s="25">
        <v>0</v>
      </c>
      <c r="H790" s="57">
        <f t="shared" si="65"/>
        <v>8338.8</v>
      </c>
      <c r="I790" s="59">
        <f t="shared" si="66"/>
        <v>0</v>
      </c>
    </row>
    <row r="791" spans="1:9" ht="51">
      <c r="A791" s="23"/>
      <c r="B791" s="26"/>
      <c r="C791" s="26" t="s">
        <v>443</v>
      </c>
      <c r="D791" s="63"/>
      <c r="E791" s="53" t="s">
        <v>444</v>
      </c>
      <c r="F791" s="25">
        <f>F792</f>
        <v>3200</v>
      </c>
      <c r="G791" s="25">
        <f>G792</f>
        <v>0</v>
      </c>
      <c r="H791" s="57">
        <f t="shared" si="65"/>
        <v>3200</v>
      </c>
      <c r="I791" s="59">
        <f t="shared" si="66"/>
        <v>0</v>
      </c>
    </row>
    <row r="792" spans="1:9" ht="12.75">
      <c r="A792" s="23"/>
      <c r="B792" s="26"/>
      <c r="C792" s="26"/>
      <c r="D792" s="26" t="s">
        <v>385</v>
      </c>
      <c r="E792" s="53" t="s">
        <v>386</v>
      </c>
      <c r="F792" s="25">
        <v>3200</v>
      </c>
      <c r="G792" s="25">
        <v>0</v>
      </c>
      <c r="H792" s="57">
        <f t="shared" si="65"/>
        <v>3200</v>
      </c>
      <c r="I792" s="59">
        <f t="shared" si="66"/>
        <v>0</v>
      </c>
    </row>
    <row r="793" spans="1:9" ht="38.25">
      <c r="A793" s="23"/>
      <c r="B793" s="26"/>
      <c r="C793" s="26" t="s">
        <v>445</v>
      </c>
      <c r="D793" s="63"/>
      <c r="E793" s="53" t="s">
        <v>446</v>
      </c>
      <c r="F793" s="25">
        <f>F794</f>
        <v>1950</v>
      </c>
      <c r="G793" s="25">
        <f>G794</f>
        <v>0</v>
      </c>
      <c r="H793" s="57">
        <f t="shared" si="65"/>
        <v>1950</v>
      </c>
      <c r="I793" s="59">
        <f t="shared" si="66"/>
        <v>0</v>
      </c>
    </row>
    <row r="794" spans="1:9" ht="12.75">
      <c r="A794" s="23"/>
      <c r="B794" s="26"/>
      <c r="C794" s="26"/>
      <c r="D794" s="26" t="s">
        <v>385</v>
      </c>
      <c r="E794" s="53" t="s">
        <v>386</v>
      </c>
      <c r="F794" s="25">
        <v>1950</v>
      </c>
      <c r="G794" s="25">
        <v>0</v>
      </c>
      <c r="H794" s="57">
        <f t="shared" si="65"/>
        <v>1950</v>
      </c>
      <c r="I794" s="59">
        <f t="shared" si="66"/>
        <v>0</v>
      </c>
    </row>
    <row r="795" spans="1:9" ht="12.75">
      <c r="A795" s="23"/>
      <c r="B795" s="26" t="s">
        <v>101</v>
      </c>
      <c r="C795" s="26"/>
      <c r="D795" s="26"/>
      <c r="E795" s="60" t="s">
        <v>102</v>
      </c>
      <c r="F795" s="25">
        <f>F800+F796</f>
        <v>21724.9</v>
      </c>
      <c r="G795" s="25">
        <f>G800+G796</f>
        <v>0</v>
      </c>
      <c r="H795" s="57">
        <f t="shared" si="65"/>
        <v>21724.9</v>
      </c>
      <c r="I795" s="59">
        <f t="shared" si="66"/>
        <v>0</v>
      </c>
    </row>
    <row r="796" spans="1:9" ht="38.25">
      <c r="A796" s="23"/>
      <c r="B796" s="26"/>
      <c r="C796" s="26" t="s">
        <v>104</v>
      </c>
      <c r="D796" s="26"/>
      <c r="E796" s="49" t="s">
        <v>1069</v>
      </c>
      <c r="F796" s="25">
        <f aca="true" t="shared" si="71" ref="F796:G798">F797</f>
        <v>14974.9</v>
      </c>
      <c r="G796" s="25">
        <f t="shared" si="71"/>
        <v>0</v>
      </c>
      <c r="H796" s="57">
        <f>F796-G796</f>
        <v>14974.9</v>
      </c>
      <c r="I796" s="59">
        <f>G796/F796</f>
        <v>0</v>
      </c>
    </row>
    <row r="797" spans="1:9" ht="63.75">
      <c r="A797" s="23"/>
      <c r="B797" s="26"/>
      <c r="C797" s="26" t="s">
        <v>1039</v>
      </c>
      <c r="D797" s="26"/>
      <c r="E797" s="49" t="s">
        <v>1070</v>
      </c>
      <c r="F797" s="25">
        <f t="shared" si="71"/>
        <v>14974.9</v>
      </c>
      <c r="G797" s="25">
        <f t="shared" si="71"/>
        <v>0</v>
      </c>
      <c r="H797" s="57">
        <f>F797-G797</f>
        <v>14974.9</v>
      </c>
      <c r="I797" s="59">
        <f>G797/F797</f>
        <v>0</v>
      </c>
    </row>
    <row r="798" spans="1:9" ht="25.5">
      <c r="A798" s="23"/>
      <c r="B798" s="26"/>
      <c r="C798" s="26" t="s">
        <v>1046</v>
      </c>
      <c r="D798" s="26"/>
      <c r="E798" s="49" t="s">
        <v>1077</v>
      </c>
      <c r="F798" s="25">
        <f t="shared" si="71"/>
        <v>14974.9</v>
      </c>
      <c r="G798" s="25">
        <f t="shared" si="71"/>
        <v>0</v>
      </c>
      <c r="H798" s="57">
        <f>F798-G798</f>
        <v>14974.9</v>
      </c>
      <c r="I798" s="59">
        <f>G798/F798</f>
        <v>0</v>
      </c>
    </row>
    <row r="799" spans="1:9" ht="12.75">
      <c r="A799" s="23"/>
      <c r="B799" s="26"/>
      <c r="C799" s="26"/>
      <c r="D799" s="26" t="s">
        <v>385</v>
      </c>
      <c r="E799" s="53" t="s">
        <v>386</v>
      </c>
      <c r="F799" s="25">
        <v>14974.9</v>
      </c>
      <c r="G799" s="25">
        <v>0</v>
      </c>
      <c r="H799" s="57">
        <f>F799-G799</f>
        <v>14974.9</v>
      </c>
      <c r="I799" s="59">
        <f>G799/F799</f>
        <v>0</v>
      </c>
    </row>
    <row r="800" spans="1:9" ht="38.25">
      <c r="A800" s="23"/>
      <c r="B800" s="26"/>
      <c r="C800" s="26" t="s">
        <v>393</v>
      </c>
      <c r="D800" s="26"/>
      <c r="E800" s="60" t="s">
        <v>394</v>
      </c>
      <c r="F800" s="25">
        <f>F801</f>
        <v>6750</v>
      </c>
      <c r="G800" s="25">
        <f>G801</f>
        <v>0</v>
      </c>
      <c r="H800" s="57">
        <f t="shared" si="65"/>
        <v>6750</v>
      </c>
      <c r="I800" s="59">
        <f t="shared" si="66"/>
        <v>0</v>
      </c>
    </row>
    <row r="801" spans="1:9" ht="25.5">
      <c r="A801" s="23"/>
      <c r="B801" s="63"/>
      <c r="C801" s="26" t="s">
        <v>447</v>
      </c>
      <c r="D801" s="26"/>
      <c r="E801" s="53" t="s">
        <v>448</v>
      </c>
      <c r="F801" s="25">
        <f>F802</f>
        <v>6750</v>
      </c>
      <c r="G801" s="25">
        <f>G802</f>
        <v>0</v>
      </c>
      <c r="H801" s="57">
        <f t="shared" si="65"/>
        <v>6750</v>
      </c>
      <c r="I801" s="59">
        <f t="shared" si="66"/>
        <v>0</v>
      </c>
    </row>
    <row r="802" spans="1:9" ht="12.75">
      <c r="A802" s="23"/>
      <c r="B802" s="63"/>
      <c r="C802" s="26"/>
      <c r="D802" s="26" t="s">
        <v>385</v>
      </c>
      <c r="E802" s="53" t="s">
        <v>386</v>
      </c>
      <c r="F802" s="25">
        <v>6750</v>
      </c>
      <c r="G802" s="25">
        <v>0</v>
      </c>
      <c r="H802" s="57">
        <f t="shared" si="65"/>
        <v>6750</v>
      </c>
      <c r="I802" s="59">
        <f t="shared" si="66"/>
        <v>0</v>
      </c>
    </row>
    <row r="803" spans="1:9" ht="14.25" customHeight="1">
      <c r="A803" s="23"/>
      <c r="B803" s="26"/>
      <c r="C803" s="26"/>
      <c r="D803" s="26"/>
      <c r="E803" s="60"/>
      <c r="F803" s="25"/>
      <c r="G803" s="25"/>
      <c r="H803" s="39"/>
      <c r="I803" s="58"/>
    </row>
    <row r="804" spans="1:9" s="35" customFormat="1" ht="12.75">
      <c r="A804" s="277" t="s">
        <v>140</v>
      </c>
      <c r="B804" s="278"/>
      <c r="C804" s="278"/>
      <c r="D804" s="278"/>
      <c r="E804" s="279"/>
      <c r="F804" s="39">
        <f>F13+F47+F161+F215+F371+F398+F541+F665+F687+F704+F725</f>
        <v>1237654.0000000002</v>
      </c>
      <c r="G804" s="39">
        <f>G13+G47+G161+G215+G371+G398+G541+G665+G687+G704+G725</f>
        <v>612320.5000000001</v>
      </c>
      <c r="H804" s="39">
        <f t="shared" si="65"/>
        <v>625333.5000000001</v>
      </c>
      <c r="I804" s="58">
        <f t="shared" si="66"/>
        <v>0.4947428764420428</v>
      </c>
    </row>
  </sheetData>
  <sheetProtection/>
  <autoFilter ref="A1:F805"/>
  <mergeCells count="9">
    <mergeCell ref="A7:I7"/>
    <mergeCell ref="A804:E804"/>
    <mergeCell ref="F9:H9"/>
    <mergeCell ref="I9:I10"/>
    <mergeCell ref="E9:E10"/>
    <mergeCell ref="D9:D10"/>
    <mergeCell ref="C9:C10"/>
    <mergeCell ref="B9:B10"/>
    <mergeCell ref="A9:A10"/>
  </mergeCells>
  <printOptions/>
  <pageMargins left="0.7086614173228347" right="0.5511811023622047" top="0.35433070866141736" bottom="0.31496062992125984" header="0.31496062992125984" footer="0.31496062992125984"/>
  <pageSetup firstPageNumber="32" useFirstPageNumber="1"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1.421875" style="5" customWidth="1"/>
    <col min="2" max="2" width="44.7109375" style="5" customWidth="1"/>
    <col min="3" max="4" width="10.7109375" style="5" customWidth="1"/>
    <col min="5" max="16384" width="9.140625" style="5" customWidth="1"/>
  </cols>
  <sheetData>
    <row r="1" spans="1:4" ht="15">
      <c r="A1" s="3"/>
      <c r="B1" s="259" t="s">
        <v>527</v>
      </c>
      <c r="C1" s="4"/>
      <c r="D1" s="4"/>
    </row>
    <row r="2" spans="1:4" ht="15">
      <c r="A2" s="3"/>
      <c r="B2" s="259" t="s">
        <v>522</v>
      </c>
      <c r="C2" s="30"/>
      <c r="D2" s="30"/>
    </row>
    <row r="3" spans="1:4" ht="15">
      <c r="A3" s="3"/>
      <c r="B3" s="259" t="s">
        <v>529</v>
      </c>
      <c r="C3" s="7"/>
      <c r="D3" s="7"/>
    </row>
    <row r="4" spans="1:4" ht="15">
      <c r="A4" s="3"/>
      <c r="B4" s="259" t="s">
        <v>1105</v>
      </c>
      <c r="C4" s="7"/>
      <c r="D4" s="7"/>
    </row>
    <row r="5" spans="1:4" ht="12.75">
      <c r="A5" s="3"/>
      <c r="B5" s="6"/>
      <c r="C5" s="8"/>
      <c r="D5" s="8"/>
    </row>
    <row r="6" spans="1:4" ht="26.25" customHeight="1">
      <c r="A6" s="293" t="s">
        <v>1095</v>
      </c>
      <c r="B6" s="293"/>
      <c r="C6" s="293"/>
      <c r="D6" s="293"/>
    </row>
    <row r="7" spans="1:2" ht="12.75">
      <c r="A7" s="9"/>
      <c r="B7" s="9"/>
    </row>
    <row r="8" spans="1:5" s="47" customFormat="1" ht="15" customHeight="1">
      <c r="A8" s="292" t="s">
        <v>5</v>
      </c>
      <c r="B8" s="290" t="s">
        <v>6</v>
      </c>
      <c r="C8" s="283" t="s">
        <v>142</v>
      </c>
      <c r="D8" s="285"/>
      <c r="E8" s="201"/>
    </row>
    <row r="9" spans="1:4" s="44" customFormat="1" ht="37.5" customHeight="1">
      <c r="A9" s="292"/>
      <c r="B9" s="291"/>
      <c r="C9" s="51" t="s">
        <v>454</v>
      </c>
      <c r="D9" s="51" t="s">
        <v>455</v>
      </c>
    </row>
    <row r="10" spans="1:4" s="10" customFormat="1" ht="12.75">
      <c r="A10" s="240"/>
      <c r="B10" s="230"/>
      <c r="C10" s="51"/>
      <c r="D10" s="51"/>
    </row>
    <row r="11" spans="1:4" s="44" customFormat="1" ht="25.5">
      <c r="A11" s="41" t="s">
        <v>7</v>
      </c>
      <c r="B11" s="42" t="s">
        <v>8</v>
      </c>
      <c r="C11" s="43">
        <f>C12+C24+C20</f>
        <v>25223.4</v>
      </c>
      <c r="D11" s="43">
        <f>D12+D24+D20</f>
        <v>7735.699999999953</v>
      </c>
    </row>
    <row r="12" spans="1:4" s="44" customFormat="1" ht="24.75" customHeight="1">
      <c r="A12" s="41" t="s">
        <v>9</v>
      </c>
      <c r="B12" s="42" t="s">
        <v>10</v>
      </c>
      <c r="C12" s="43">
        <f>C13-C15</f>
        <v>-250.09999999999854</v>
      </c>
      <c r="D12" s="43">
        <f>D13-D15</f>
        <v>-15000</v>
      </c>
    </row>
    <row r="13" spans="1:4" s="10" customFormat="1" ht="25.5">
      <c r="A13" s="11" t="s">
        <v>11</v>
      </c>
      <c r="B13" s="2" t="s">
        <v>12</v>
      </c>
      <c r="C13" s="12">
        <f>C14</f>
        <v>30749.9</v>
      </c>
      <c r="D13" s="12">
        <f>D14</f>
        <v>0</v>
      </c>
    </row>
    <row r="14" spans="1:4" s="10" customFormat="1" ht="39.75" customHeight="1">
      <c r="A14" s="13" t="s">
        <v>255</v>
      </c>
      <c r="B14" s="2" t="s">
        <v>256</v>
      </c>
      <c r="C14" s="14">
        <v>30749.9</v>
      </c>
      <c r="D14" s="14">
        <v>0</v>
      </c>
    </row>
    <row r="15" spans="1:4" s="10" customFormat="1" ht="25.5">
      <c r="A15" s="11" t="s">
        <v>143</v>
      </c>
      <c r="B15" s="2" t="s">
        <v>258</v>
      </c>
      <c r="C15" s="12">
        <f>C16</f>
        <v>31000</v>
      </c>
      <c r="D15" s="12">
        <f>D16</f>
        <v>15000</v>
      </c>
    </row>
    <row r="16" spans="1:4" s="10" customFormat="1" ht="38.25">
      <c r="A16" s="13" t="s">
        <v>257</v>
      </c>
      <c r="B16" s="2" t="s">
        <v>259</v>
      </c>
      <c r="C16" s="14">
        <v>31000</v>
      </c>
      <c r="D16" s="14">
        <v>15000</v>
      </c>
    </row>
    <row r="17" spans="1:4" s="10" customFormat="1" ht="25.5" hidden="1">
      <c r="A17" s="13" t="s">
        <v>2</v>
      </c>
      <c r="B17" s="2" t="s">
        <v>3</v>
      </c>
      <c r="C17" s="14">
        <f>-C18</f>
        <v>0</v>
      </c>
      <c r="D17" s="14">
        <f>-D18</f>
        <v>0</v>
      </c>
    </row>
    <row r="18" spans="1:4" s="10" customFormat="1" ht="38.25" hidden="1">
      <c r="A18" s="13" t="s">
        <v>13</v>
      </c>
      <c r="B18" s="2" t="s">
        <v>14</v>
      </c>
      <c r="C18" s="14">
        <f>C19</f>
        <v>0</v>
      </c>
      <c r="D18" s="14">
        <f>D19</f>
        <v>0</v>
      </c>
    </row>
    <row r="19" spans="1:4" s="10" customFormat="1" ht="38.25" hidden="1">
      <c r="A19" s="13" t="s">
        <v>15</v>
      </c>
      <c r="B19" s="2" t="s">
        <v>16</v>
      </c>
      <c r="C19" s="12"/>
      <c r="D19" s="12"/>
    </row>
    <row r="20" spans="1:4" s="44" customFormat="1" ht="25.5">
      <c r="A20" s="54" t="s">
        <v>17</v>
      </c>
      <c r="B20" s="55" t="s">
        <v>18</v>
      </c>
      <c r="C20" s="46">
        <f>C21</f>
        <v>28723.4</v>
      </c>
      <c r="D20" s="46">
        <f>D21</f>
        <v>22598.699999999953</v>
      </c>
    </row>
    <row r="21" spans="1:4" s="10" customFormat="1" ht="25.5">
      <c r="A21" s="15" t="s">
        <v>433</v>
      </c>
      <c r="B21" s="16" t="s">
        <v>432</v>
      </c>
      <c r="C21" s="14">
        <v>28723.4</v>
      </c>
      <c r="D21" s="14">
        <f>D23-D22</f>
        <v>22598.699999999953</v>
      </c>
    </row>
    <row r="22" spans="1:4" s="10" customFormat="1" ht="25.5">
      <c r="A22" s="198" t="s">
        <v>975</v>
      </c>
      <c r="B22" s="200" t="s">
        <v>976</v>
      </c>
      <c r="C22" s="12">
        <v>1170275</v>
      </c>
      <c r="D22" s="14">
        <v>604721.8</v>
      </c>
    </row>
    <row r="23" spans="1:4" s="10" customFormat="1" ht="31.5" customHeight="1">
      <c r="A23" s="15" t="s">
        <v>434</v>
      </c>
      <c r="B23" s="16" t="s">
        <v>435</v>
      </c>
      <c r="C23" s="12">
        <v>1273654</v>
      </c>
      <c r="D23" s="12">
        <v>627320.5</v>
      </c>
    </row>
    <row r="24" spans="1:4" s="47" customFormat="1" ht="26.25" customHeight="1">
      <c r="A24" s="45" t="s">
        <v>19</v>
      </c>
      <c r="B24" s="42" t="s">
        <v>20</v>
      </c>
      <c r="C24" s="46">
        <f>C28+C36+C25</f>
        <v>-3249.9</v>
      </c>
      <c r="D24" s="46">
        <f>D28+D36+D25</f>
        <v>137</v>
      </c>
    </row>
    <row r="25" spans="1:4" ht="25.5">
      <c r="A25" s="11" t="s">
        <v>21</v>
      </c>
      <c r="B25" s="2" t="s">
        <v>22</v>
      </c>
      <c r="C25" s="14">
        <f>-C26</f>
        <v>-5000</v>
      </c>
      <c r="D25" s="14">
        <f>-D26</f>
        <v>0</v>
      </c>
    </row>
    <row r="26" spans="1:4" ht="89.25">
      <c r="A26" s="11" t="s">
        <v>23</v>
      </c>
      <c r="B26" s="1" t="s">
        <v>24</v>
      </c>
      <c r="C26" s="14">
        <f>C27</f>
        <v>5000</v>
      </c>
      <c r="D26" s="14">
        <f>D27</f>
        <v>0</v>
      </c>
    </row>
    <row r="27" spans="1:4" ht="102">
      <c r="A27" s="11" t="s">
        <v>429</v>
      </c>
      <c r="B27" s="1" t="s">
        <v>430</v>
      </c>
      <c r="C27" s="12">
        <v>5000</v>
      </c>
      <c r="D27" s="12">
        <v>0</v>
      </c>
    </row>
    <row r="28" spans="1:4" ht="14.25" customHeight="1">
      <c r="A28" s="13" t="s">
        <v>25</v>
      </c>
      <c r="B28" s="1" t="s">
        <v>26</v>
      </c>
      <c r="C28" s="17">
        <f>C32</f>
        <v>1700</v>
      </c>
      <c r="D28" s="17">
        <f>D32</f>
        <v>100</v>
      </c>
    </row>
    <row r="29" spans="1:4" ht="25.5" hidden="1">
      <c r="A29" s="13" t="s">
        <v>27</v>
      </c>
      <c r="B29" s="1" t="s">
        <v>28</v>
      </c>
      <c r="C29" s="17">
        <f>C30</f>
        <v>0</v>
      </c>
      <c r="D29" s="17">
        <f>D30</f>
        <v>0</v>
      </c>
    </row>
    <row r="30" spans="1:4" ht="25.5" hidden="1">
      <c r="A30" s="13" t="s">
        <v>29</v>
      </c>
      <c r="B30" s="1" t="s">
        <v>30</v>
      </c>
      <c r="C30" s="17">
        <f>C31</f>
        <v>0</v>
      </c>
      <c r="D30" s="17">
        <f>D31</f>
        <v>0</v>
      </c>
    </row>
    <row r="31" spans="1:4" ht="51" hidden="1">
      <c r="A31" s="13" t="s">
        <v>1</v>
      </c>
      <c r="B31" s="2" t="s">
        <v>31</v>
      </c>
      <c r="C31" s="12"/>
      <c r="D31" s="12"/>
    </row>
    <row r="32" spans="1:4" ht="25.5">
      <c r="A32" s="13" t="s">
        <v>32</v>
      </c>
      <c r="B32" s="2" t="s">
        <v>33</v>
      </c>
      <c r="C32" s="14">
        <f>C33</f>
        <v>1700</v>
      </c>
      <c r="D32" s="14">
        <f>D33</f>
        <v>100</v>
      </c>
    </row>
    <row r="33" spans="1:4" ht="25.5">
      <c r="A33" s="13" t="s">
        <v>261</v>
      </c>
      <c r="B33" s="1" t="s">
        <v>260</v>
      </c>
      <c r="C33" s="14">
        <f>C34+C35</f>
        <v>1700</v>
      </c>
      <c r="D33" s="14">
        <f>D34+D35</f>
        <v>100</v>
      </c>
    </row>
    <row r="34" spans="1:4" ht="51">
      <c r="A34" s="18" t="s">
        <v>1096</v>
      </c>
      <c r="B34" s="19" t="s">
        <v>431</v>
      </c>
      <c r="C34" s="14">
        <v>1500</v>
      </c>
      <c r="D34" s="14">
        <v>0</v>
      </c>
    </row>
    <row r="35" spans="1:4" ht="63.75">
      <c r="A35" s="18" t="s">
        <v>262</v>
      </c>
      <c r="B35" s="19" t="s">
        <v>263</v>
      </c>
      <c r="C35" s="14">
        <v>200</v>
      </c>
      <c r="D35" s="14">
        <v>100</v>
      </c>
    </row>
    <row r="36" spans="1:4" ht="12.75">
      <c r="A36" s="13" t="s">
        <v>265</v>
      </c>
      <c r="B36" s="1" t="s">
        <v>264</v>
      </c>
      <c r="C36" s="12">
        <f>C40</f>
        <v>50.1</v>
      </c>
      <c r="D36" s="12">
        <f>D40</f>
        <v>37</v>
      </c>
    </row>
    <row r="37" spans="1:4" ht="25.5" hidden="1">
      <c r="A37" s="13" t="s">
        <v>266</v>
      </c>
      <c r="B37" s="1" t="s">
        <v>28</v>
      </c>
      <c r="C37" s="12"/>
      <c r="D37" s="12"/>
    </row>
    <row r="38" spans="1:4" ht="25.5" hidden="1">
      <c r="A38" s="13" t="s">
        <v>29</v>
      </c>
      <c r="B38" s="1" t="s">
        <v>30</v>
      </c>
      <c r="C38" s="48"/>
      <c r="D38" s="48"/>
    </row>
    <row r="39" spans="1:4" ht="51" hidden="1">
      <c r="A39" s="13" t="s">
        <v>1</v>
      </c>
      <c r="B39" s="2" t="s">
        <v>31</v>
      </c>
      <c r="C39" s="48"/>
      <c r="D39" s="48"/>
    </row>
    <row r="40" spans="1:4" ht="12.75">
      <c r="A40" s="13" t="s">
        <v>267</v>
      </c>
      <c r="B40" s="2" t="s">
        <v>268</v>
      </c>
      <c r="C40" s="48">
        <f>C41</f>
        <v>50.1</v>
      </c>
      <c r="D40" s="258">
        <f>D41</f>
        <v>37</v>
      </c>
    </row>
    <row r="41" spans="1:4" ht="38.25">
      <c r="A41" s="13" t="s">
        <v>269</v>
      </c>
      <c r="B41" s="1" t="s">
        <v>270</v>
      </c>
      <c r="C41" s="14">
        <v>50.1</v>
      </c>
      <c r="D41" s="14">
        <v>37</v>
      </c>
    </row>
  </sheetData>
  <sheetProtection/>
  <mergeCells count="4">
    <mergeCell ref="C8:D8"/>
    <mergeCell ref="B8:B9"/>
    <mergeCell ref="A8:A9"/>
    <mergeCell ref="A6:D6"/>
  </mergeCells>
  <printOptions/>
  <pageMargins left="0.7086614173228347" right="0.5511811023622047" top="0.35433070866141736" bottom="0.31496062992125984" header="0.31496062992125984" footer="0.31496062992125984"/>
  <pageSetup firstPageNumber="13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8515625" style="202" customWidth="1"/>
    <col min="2" max="2" width="53.7109375" style="202" customWidth="1"/>
    <col min="3" max="3" width="11.7109375" style="202" hidden="1" customWidth="1"/>
    <col min="4" max="4" width="13.140625" style="202" customWidth="1"/>
    <col min="5" max="16384" width="9.140625" style="204" customWidth="1"/>
  </cols>
  <sheetData>
    <row r="1" spans="2:4" ht="12" customHeight="1">
      <c r="B1" s="244" t="s">
        <v>977</v>
      </c>
      <c r="C1" s="203"/>
      <c r="D1" s="203"/>
    </row>
    <row r="2" spans="2:4" ht="12.75" customHeight="1">
      <c r="B2" s="244" t="s">
        <v>522</v>
      </c>
      <c r="C2" s="203"/>
      <c r="D2" s="203"/>
    </row>
    <row r="3" spans="2:4" ht="12.75" customHeight="1">
      <c r="B3" s="244" t="s">
        <v>529</v>
      </c>
      <c r="C3" s="203"/>
      <c r="D3" s="203"/>
    </row>
    <row r="4" spans="2:4" ht="12.75" customHeight="1">
      <c r="B4" s="244" t="s">
        <v>1105</v>
      </c>
      <c r="C4" s="203"/>
      <c r="D4" s="203"/>
    </row>
    <row r="5" spans="1:2" ht="12.75" customHeight="1">
      <c r="A5" s="205"/>
      <c r="B5" s="206"/>
    </row>
    <row r="6" spans="1:4" ht="25.5" customHeight="1">
      <c r="A6" s="294" t="s">
        <v>1048</v>
      </c>
      <c r="B6" s="294"/>
      <c r="C6" s="294"/>
      <c r="D6" s="294"/>
    </row>
    <row r="7" ht="12.75" customHeight="1">
      <c r="B7" s="206"/>
    </row>
    <row r="8" spans="1:4" s="234" customFormat="1" ht="24" customHeight="1">
      <c r="A8" s="231" t="s">
        <v>978</v>
      </c>
      <c r="B8" s="232" t="s">
        <v>979</v>
      </c>
      <c r="C8" s="233"/>
      <c r="D8" s="231" t="s">
        <v>1013</v>
      </c>
    </row>
    <row r="9" spans="1:4" s="202" customFormat="1" ht="12.75">
      <c r="A9" s="207"/>
      <c r="B9" s="208"/>
      <c r="C9" s="209"/>
      <c r="D9" s="207"/>
    </row>
    <row r="10" spans="1:4" ht="12.75" customHeight="1">
      <c r="A10" s="210" t="s">
        <v>38</v>
      </c>
      <c r="B10" s="211" t="s">
        <v>930</v>
      </c>
      <c r="C10" s="212"/>
      <c r="D10" s="213">
        <f>SUM(D11:D22)</f>
        <v>293</v>
      </c>
    </row>
    <row r="11" spans="1:4" ht="12.75" customHeight="1" hidden="1">
      <c r="A11" s="198" t="s">
        <v>980</v>
      </c>
      <c r="B11" s="214" t="s">
        <v>981</v>
      </c>
      <c r="C11" s="199"/>
      <c r="D11" s="215"/>
    </row>
    <row r="12" spans="1:4" ht="12.75" customHeight="1" hidden="1">
      <c r="A12" s="216" t="s">
        <v>982</v>
      </c>
      <c r="B12" s="214" t="s">
        <v>983</v>
      </c>
      <c r="C12" s="199"/>
      <c r="D12" s="215"/>
    </row>
    <row r="13" spans="1:4" ht="12.75" customHeight="1">
      <c r="A13" s="198" t="s">
        <v>984</v>
      </c>
      <c r="B13" s="214" t="s">
        <v>985</v>
      </c>
      <c r="C13" s="199"/>
      <c r="D13" s="215">
        <v>11.1</v>
      </c>
    </row>
    <row r="14" spans="1:4" ht="12.75" customHeight="1">
      <c r="A14" s="198" t="s">
        <v>986</v>
      </c>
      <c r="B14" s="214" t="s">
        <v>987</v>
      </c>
      <c r="C14" s="199"/>
      <c r="D14" s="215">
        <v>13.7</v>
      </c>
    </row>
    <row r="15" spans="1:4" ht="12.75" customHeight="1" hidden="1">
      <c r="A15" s="198">
        <v>225</v>
      </c>
      <c r="B15" s="214" t="s">
        <v>988</v>
      </c>
      <c r="C15" s="199"/>
      <c r="D15" s="215"/>
    </row>
    <row r="16" spans="1:4" ht="12.75" customHeight="1">
      <c r="A16" s="198" t="s">
        <v>989</v>
      </c>
      <c r="B16" s="214" t="s">
        <v>990</v>
      </c>
      <c r="C16" s="199"/>
      <c r="D16" s="215">
        <v>2.6</v>
      </c>
    </row>
    <row r="17" spans="1:4" ht="25.5">
      <c r="A17" s="198" t="s">
        <v>991</v>
      </c>
      <c r="B17" s="226" t="s">
        <v>992</v>
      </c>
      <c r="C17" s="199"/>
      <c r="D17" s="215">
        <v>10</v>
      </c>
    </row>
    <row r="18" spans="1:4" ht="28.5" customHeight="1">
      <c r="A18" s="198" t="s">
        <v>1002</v>
      </c>
      <c r="B18" s="226" t="s">
        <v>1014</v>
      </c>
      <c r="C18" s="199"/>
      <c r="D18" s="215">
        <v>41</v>
      </c>
    </row>
    <row r="19" spans="1:4" ht="12.75" customHeight="1" hidden="1">
      <c r="A19" s="198" t="s">
        <v>993</v>
      </c>
      <c r="B19" s="214" t="s">
        <v>994</v>
      </c>
      <c r="C19" s="199"/>
      <c r="D19" s="215"/>
    </row>
    <row r="20" spans="1:4" ht="12.75" customHeight="1">
      <c r="A20" s="198" t="s">
        <v>995</v>
      </c>
      <c r="B20" s="214" t="s">
        <v>996</v>
      </c>
      <c r="C20" s="199"/>
      <c r="D20" s="215">
        <v>189.1</v>
      </c>
    </row>
    <row r="21" spans="1:4" ht="12.75" customHeight="1" hidden="1">
      <c r="A21" s="198" t="s">
        <v>997</v>
      </c>
      <c r="B21" s="214" t="s">
        <v>998</v>
      </c>
      <c r="C21" s="199"/>
      <c r="D21" s="215"/>
    </row>
    <row r="22" spans="1:4" ht="12.75" customHeight="1">
      <c r="A22" s="198" t="s">
        <v>999</v>
      </c>
      <c r="B22" s="214" t="s">
        <v>1000</v>
      </c>
      <c r="C22" s="199"/>
      <c r="D22" s="215">
        <v>25.5</v>
      </c>
    </row>
    <row r="23" spans="1:4" ht="12.75" customHeight="1" hidden="1">
      <c r="A23" s="198"/>
      <c r="B23" s="214"/>
      <c r="C23" s="199"/>
      <c r="D23" s="215"/>
    </row>
    <row r="24" spans="1:4" ht="12.75" customHeight="1" hidden="1">
      <c r="A24" s="198" t="s">
        <v>941</v>
      </c>
      <c r="B24" s="214" t="s">
        <v>942</v>
      </c>
      <c r="C24" s="199"/>
      <c r="D24" s="215">
        <f>SUM(D25:D25)</f>
        <v>0</v>
      </c>
    </row>
    <row r="25" spans="1:4" ht="12.75" customHeight="1" hidden="1">
      <c r="A25" s="198" t="s">
        <v>995</v>
      </c>
      <c r="B25" s="214" t="s">
        <v>996</v>
      </c>
      <c r="C25" s="199"/>
      <c r="D25" s="215"/>
    </row>
    <row r="26" spans="1:4" ht="12.75" customHeight="1" hidden="1">
      <c r="A26" s="198"/>
      <c r="B26" s="214"/>
      <c r="C26" s="199"/>
      <c r="D26" s="215"/>
    </row>
    <row r="27" spans="1:4" ht="12.75" customHeight="1" hidden="1">
      <c r="A27" s="210" t="s">
        <v>75</v>
      </c>
      <c r="B27" s="218" t="s">
        <v>945</v>
      </c>
      <c r="C27" s="212"/>
      <c r="D27" s="213">
        <f>SUM(D28:D35)</f>
        <v>0</v>
      </c>
    </row>
    <row r="28" spans="1:4" ht="12.75" customHeight="1" hidden="1">
      <c r="A28" s="198" t="s">
        <v>980</v>
      </c>
      <c r="B28" s="214" t="s">
        <v>981</v>
      </c>
      <c r="C28" s="199"/>
      <c r="D28" s="215"/>
    </row>
    <row r="29" spans="1:4" ht="12.75" customHeight="1" hidden="1">
      <c r="A29" s="198" t="s">
        <v>982</v>
      </c>
      <c r="B29" s="214" t="s">
        <v>983</v>
      </c>
      <c r="C29" s="199"/>
      <c r="D29" s="215"/>
    </row>
    <row r="30" spans="1:4" ht="12.75" customHeight="1" hidden="1">
      <c r="A30" s="198" t="s">
        <v>986</v>
      </c>
      <c r="B30" s="214" t="s">
        <v>987</v>
      </c>
      <c r="C30" s="199"/>
      <c r="D30" s="215"/>
    </row>
    <row r="31" spans="1:4" ht="12.75" customHeight="1" hidden="1">
      <c r="A31" s="198" t="s">
        <v>1001</v>
      </c>
      <c r="B31" s="214" t="s">
        <v>988</v>
      </c>
      <c r="C31" s="199"/>
      <c r="D31" s="215"/>
    </row>
    <row r="32" spans="1:4" ht="12.75" customHeight="1" hidden="1">
      <c r="A32" s="198" t="s">
        <v>989</v>
      </c>
      <c r="B32" s="214" t="s">
        <v>990</v>
      </c>
      <c r="C32" s="199"/>
      <c r="D32" s="215"/>
    </row>
    <row r="33" spans="1:4" ht="12.75" customHeight="1" hidden="1">
      <c r="A33" s="198" t="s">
        <v>995</v>
      </c>
      <c r="B33" s="214" t="s">
        <v>996</v>
      </c>
      <c r="C33" s="199"/>
      <c r="D33" s="215"/>
    </row>
    <row r="34" spans="1:4" ht="12.75" customHeight="1" hidden="1">
      <c r="A34" s="198" t="s">
        <v>997</v>
      </c>
      <c r="B34" s="214" t="s">
        <v>998</v>
      </c>
      <c r="C34" s="199"/>
      <c r="D34" s="215"/>
    </row>
    <row r="35" spans="1:4" ht="12.75" customHeight="1" hidden="1">
      <c r="A35" s="198" t="s">
        <v>999</v>
      </c>
      <c r="B35" s="214" t="s">
        <v>1000</v>
      </c>
      <c r="C35" s="199"/>
      <c r="D35" s="215"/>
    </row>
    <row r="36" spans="1:4" ht="12.75" customHeight="1">
      <c r="A36" s="198"/>
      <c r="B36" s="214"/>
      <c r="C36" s="199"/>
      <c r="D36" s="215"/>
    </row>
    <row r="37" spans="1:4" ht="12.75" customHeight="1">
      <c r="A37" s="210" t="s">
        <v>79</v>
      </c>
      <c r="B37" s="211" t="s">
        <v>949</v>
      </c>
      <c r="C37" s="212"/>
      <c r="D37" s="213">
        <f>SUM(D38:D42)</f>
        <v>8</v>
      </c>
    </row>
    <row r="38" spans="1:4" ht="12.75" customHeight="1">
      <c r="A38" s="198" t="s">
        <v>986</v>
      </c>
      <c r="B38" s="214" t="s">
        <v>987</v>
      </c>
      <c r="C38" s="212"/>
      <c r="D38" s="215">
        <v>8</v>
      </c>
    </row>
    <row r="39" spans="1:4" ht="12.75" customHeight="1" hidden="1">
      <c r="A39" s="198" t="s">
        <v>1001</v>
      </c>
      <c r="B39" s="214" t="s">
        <v>988</v>
      </c>
      <c r="C39" s="199"/>
      <c r="D39" s="215"/>
    </row>
    <row r="40" spans="1:4" ht="12.75" customHeight="1" hidden="1">
      <c r="A40" s="198" t="s">
        <v>989</v>
      </c>
      <c r="B40" s="214" t="s">
        <v>990</v>
      </c>
      <c r="C40" s="199"/>
      <c r="D40" s="215"/>
    </row>
    <row r="41" spans="1:4" ht="26.25" hidden="1">
      <c r="A41" s="198" t="s">
        <v>1002</v>
      </c>
      <c r="B41" s="60" t="s">
        <v>1003</v>
      </c>
      <c r="C41" s="199"/>
      <c r="D41" s="215"/>
    </row>
    <row r="42" spans="1:4" ht="12.75" customHeight="1" hidden="1">
      <c r="A42" s="198" t="s">
        <v>999</v>
      </c>
      <c r="B42" s="214" t="s">
        <v>1000</v>
      </c>
      <c r="C42" s="199"/>
      <c r="D42" s="215"/>
    </row>
    <row r="43" spans="1:4" ht="12.75" customHeight="1">
      <c r="A43" s="198"/>
      <c r="B43" s="214"/>
      <c r="C43" s="199"/>
      <c r="D43" s="215"/>
    </row>
    <row r="44" spans="1:4" s="219" customFormat="1" ht="12.75" customHeight="1" hidden="1">
      <c r="A44" s="210" t="s">
        <v>91</v>
      </c>
      <c r="B44" s="211" t="s">
        <v>955</v>
      </c>
      <c r="C44" s="212"/>
      <c r="D44" s="213">
        <f>D45</f>
        <v>0</v>
      </c>
    </row>
    <row r="45" spans="1:4" ht="12.75" customHeight="1" hidden="1">
      <c r="A45" s="198" t="s">
        <v>1004</v>
      </c>
      <c r="B45" s="214" t="s">
        <v>1005</v>
      </c>
      <c r="C45" s="199"/>
      <c r="D45" s="215"/>
    </row>
    <row r="46" spans="1:4" ht="12.75" customHeight="1" hidden="1">
      <c r="A46" s="198"/>
      <c r="B46" s="214"/>
      <c r="C46" s="199"/>
      <c r="D46" s="215"/>
    </row>
    <row r="47" spans="1:4" ht="15.75" hidden="1">
      <c r="A47" s="210" t="s">
        <v>93</v>
      </c>
      <c r="B47" s="211" t="s">
        <v>366</v>
      </c>
      <c r="C47" s="212"/>
      <c r="D47" s="213">
        <f>SUM(D48:D52)</f>
        <v>0</v>
      </c>
    </row>
    <row r="48" spans="1:4" ht="12.75" customHeight="1" hidden="1">
      <c r="A48" s="198" t="s">
        <v>986</v>
      </c>
      <c r="B48" s="214" t="s">
        <v>987</v>
      </c>
      <c r="C48" s="199"/>
      <c r="D48" s="215"/>
    </row>
    <row r="49" spans="1:4" ht="12.75" customHeight="1" hidden="1">
      <c r="A49" s="198" t="s">
        <v>989</v>
      </c>
      <c r="B49" s="214" t="s">
        <v>990</v>
      </c>
      <c r="C49" s="199"/>
      <c r="D49" s="215"/>
    </row>
    <row r="50" spans="1:4" ht="12.75" customHeight="1" hidden="1">
      <c r="A50" s="198" t="s">
        <v>991</v>
      </c>
      <c r="B50" s="60" t="s">
        <v>1006</v>
      </c>
      <c r="C50" s="199"/>
      <c r="D50" s="215"/>
    </row>
    <row r="51" spans="1:4" ht="12.75" customHeight="1" hidden="1">
      <c r="A51" s="198" t="s">
        <v>1002</v>
      </c>
      <c r="B51" s="60" t="s">
        <v>1003</v>
      </c>
      <c r="C51" s="199"/>
      <c r="D51" s="215"/>
    </row>
    <row r="52" spans="1:4" ht="12.75" customHeight="1" hidden="1">
      <c r="A52" s="198" t="s">
        <v>997</v>
      </c>
      <c r="B52" s="214" t="s">
        <v>998</v>
      </c>
      <c r="C52" s="199"/>
      <c r="D52" s="215"/>
    </row>
    <row r="53" spans="1:4" ht="12.75" customHeight="1" hidden="1">
      <c r="A53" s="198"/>
      <c r="B53" s="214"/>
      <c r="C53" s="199"/>
      <c r="D53" s="215"/>
    </row>
    <row r="54" spans="1:4" s="223" customFormat="1" ht="12.75" customHeight="1">
      <c r="A54" s="220" t="s">
        <v>97</v>
      </c>
      <c r="B54" s="218" t="s">
        <v>958</v>
      </c>
      <c r="C54" s="221"/>
      <c r="D54" s="222">
        <f>SUM(D55:D63)</f>
        <v>203.6</v>
      </c>
    </row>
    <row r="55" spans="1:4" s="223" customFormat="1" ht="12.75" customHeight="1" hidden="1">
      <c r="A55" s="216" t="s">
        <v>980</v>
      </c>
      <c r="B55" s="214" t="s">
        <v>981</v>
      </c>
      <c r="C55" s="200"/>
      <c r="D55" s="224"/>
    </row>
    <row r="56" spans="1:4" s="223" customFormat="1" ht="12.75" customHeight="1" hidden="1">
      <c r="A56" s="216" t="s">
        <v>1007</v>
      </c>
      <c r="B56" s="214" t="s">
        <v>1008</v>
      </c>
      <c r="C56" s="200"/>
      <c r="D56" s="224"/>
    </row>
    <row r="57" spans="1:4" s="223" customFormat="1" ht="12.75" customHeight="1" hidden="1">
      <c r="A57" s="216" t="s">
        <v>986</v>
      </c>
      <c r="B57" s="214" t="s">
        <v>987</v>
      </c>
      <c r="C57" s="200"/>
      <c r="D57" s="224"/>
    </row>
    <row r="58" spans="1:4" s="223" customFormat="1" ht="12.75" customHeight="1" hidden="1">
      <c r="A58" s="216" t="s">
        <v>1001</v>
      </c>
      <c r="B58" s="214" t="s">
        <v>988</v>
      </c>
      <c r="C58" s="200"/>
      <c r="D58" s="224"/>
    </row>
    <row r="59" spans="1:4" s="223" customFormat="1" ht="12.75" customHeight="1" hidden="1">
      <c r="A59" s="216" t="s">
        <v>989</v>
      </c>
      <c r="B59" s="214" t="s">
        <v>990</v>
      </c>
      <c r="C59" s="225"/>
      <c r="D59" s="224"/>
    </row>
    <row r="60" spans="1:4" s="223" customFormat="1" ht="25.5">
      <c r="A60" s="216" t="s">
        <v>991</v>
      </c>
      <c r="B60" s="217" t="s">
        <v>992</v>
      </c>
      <c r="C60" s="225"/>
      <c r="D60" s="224">
        <v>203.6</v>
      </c>
    </row>
    <row r="61" spans="1:4" s="223" customFormat="1" ht="12.75" customHeight="1" hidden="1">
      <c r="A61" s="216" t="s">
        <v>995</v>
      </c>
      <c r="B61" s="214" t="s">
        <v>996</v>
      </c>
      <c r="C61" s="225"/>
      <c r="D61" s="224"/>
    </row>
    <row r="62" spans="1:4" ht="12.75" customHeight="1" hidden="1">
      <c r="A62" s="198" t="s">
        <v>997</v>
      </c>
      <c r="B62" s="214" t="s">
        <v>998</v>
      </c>
      <c r="C62" s="199"/>
      <c r="D62" s="215"/>
    </row>
    <row r="63" spans="1:4" ht="14.25" customHeight="1" hidden="1">
      <c r="A63" s="198" t="s">
        <v>999</v>
      </c>
      <c r="B63" s="214" t="s">
        <v>1000</v>
      </c>
      <c r="C63" s="199"/>
      <c r="D63" s="215"/>
    </row>
    <row r="64" spans="1:4" ht="12.75" customHeight="1">
      <c r="A64" s="198"/>
      <c r="B64" s="214"/>
      <c r="C64" s="199"/>
      <c r="D64" s="215"/>
    </row>
    <row r="65" spans="1:4" ht="12.75" customHeight="1">
      <c r="A65" s="210" t="s">
        <v>111</v>
      </c>
      <c r="B65" s="218" t="s">
        <v>1009</v>
      </c>
      <c r="C65" s="212"/>
      <c r="D65" s="213">
        <f>SUM(D66:D74)</f>
        <v>15</v>
      </c>
    </row>
    <row r="66" spans="1:4" ht="12.75" customHeight="1" hidden="1">
      <c r="A66" s="198" t="s">
        <v>980</v>
      </c>
      <c r="B66" s="214" t="s">
        <v>981</v>
      </c>
      <c r="C66" s="199"/>
      <c r="D66" s="215"/>
    </row>
    <row r="67" spans="1:4" ht="12.75" customHeight="1" hidden="1">
      <c r="A67" s="198" t="s">
        <v>984</v>
      </c>
      <c r="B67" s="214" t="s">
        <v>985</v>
      </c>
      <c r="C67" s="199"/>
      <c r="D67" s="215"/>
    </row>
    <row r="68" spans="1:4" ht="12.75" customHeight="1" hidden="1">
      <c r="A68" s="216" t="s">
        <v>986</v>
      </c>
      <c r="B68" s="214" t="s">
        <v>987</v>
      </c>
      <c r="C68" s="199"/>
      <c r="D68" s="215"/>
    </row>
    <row r="69" spans="1:4" ht="12.75" customHeight="1" hidden="1">
      <c r="A69" s="198" t="s">
        <v>989</v>
      </c>
      <c r="B69" s="214" t="s">
        <v>990</v>
      </c>
      <c r="C69" s="199"/>
      <c r="D69" s="215"/>
    </row>
    <row r="70" spans="1:4" ht="12.75" customHeight="1" hidden="1">
      <c r="A70" s="216" t="s">
        <v>991</v>
      </c>
      <c r="B70" s="226" t="s">
        <v>992</v>
      </c>
      <c r="C70" s="199"/>
      <c r="D70" s="215"/>
    </row>
    <row r="71" spans="1:4" ht="25.5">
      <c r="A71" s="216" t="s">
        <v>1004</v>
      </c>
      <c r="B71" s="227" t="s">
        <v>1005</v>
      </c>
      <c r="C71" s="199"/>
      <c r="D71" s="215">
        <v>15</v>
      </c>
    </row>
    <row r="72" spans="1:4" ht="12.75" customHeight="1" hidden="1">
      <c r="A72" s="198" t="s">
        <v>995</v>
      </c>
      <c r="B72" s="214" t="s">
        <v>996</v>
      </c>
      <c r="C72" s="199"/>
      <c r="D72" s="215"/>
    </row>
    <row r="73" spans="1:4" ht="12.75" customHeight="1" hidden="1">
      <c r="A73" s="198" t="s">
        <v>997</v>
      </c>
      <c r="B73" s="214" t="s">
        <v>998</v>
      </c>
      <c r="C73" s="199"/>
      <c r="D73" s="215"/>
    </row>
    <row r="74" spans="1:4" ht="12.75" customHeight="1" hidden="1">
      <c r="A74" s="198" t="s">
        <v>999</v>
      </c>
      <c r="B74" s="214" t="s">
        <v>1000</v>
      </c>
      <c r="C74" s="199"/>
      <c r="D74" s="215"/>
    </row>
    <row r="75" spans="1:4" ht="12" customHeight="1" hidden="1">
      <c r="A75" s="198"/>
      <c r="B75" s="214"/>
      <c r="C75" s="199"/>
      <c r="D75" s="215"/>
    </row>
    <row r="76" spans="1:4" ht="12.75" customHeight="1" hidden="1">
      <c r="A76" s="210" t="s">
        <v>114</v>
      </c>
      <c r="B76" s="211" t="s">
        <v>1010</v>
      </c>
      <c r="C76" s="212"/>
      <c r="D76" s="213">
        <f>SUM(D77:D84)</f>
        <v>0</v>
      </c>
    </row>
    <row r="77" spans="1:4" ht="12.75" customHeight="1" hidden="1">
      <c r="A77" s="198" t="s">
        <v>980</v>
      </c>
      <c r="B77" s="214" t="s">
        <v>981</v>
      </c>
      <c r="C77" s="199"/>
      <c r="D77" s="215"/>
    </row>
    <row r="78" spans="1:4" ht="12.75" customHeight="1" hidden="1">
      <c r="A78" s="198" t="s">
        <v>982</v>
      </c>
      <c r="B78" s="214" t="s">
        <v>983</v>
      </c>
      <c r="C78" s="199"/>
      <c r="D78" s="215"/>
    </row>
    <row r="79" spans="1:4" ht="12.75" customHeight="1" hidden="1">
      <c r="A79" s="198" t="s">
        <v>1007</v>
      </c>
      <c r="B79" s="214" t="s">
        <v>1008</v>
      </c>
      <c r="C79" s="199"/>
      <c r="D79" s="215"/>
    </row>
    <row r="80" spans="1:4" ht="12.75" customHeight="1" hidden="1">
      <c r="A80" s="198" t="s">
        <v>986</v>
      </c>
      <c r="B80" s="214" t="s">
        <v>987</v>
      </c>
      <c r="C80" s="199"/>
      <c r="D80" s="215"/>
    </row>
    <row r="81" spans="1:4" ht="12.75" customHeight="1" hidden="1">
      <c r="A81" s="198" t="s">
        <v>989</v>
      </c>
      <c r="B81" s="214" t="s">
        <v>990</v>
      </c>
      <c r="C81" s="228"/>
      <c r="D81" s="215"/>
    </row>
    <row r="82" spans="1:4" ht="25.5" hidden="1">
      <c r="A82" s="198" t="s">
        <v>991</v>
      </c>
      <c r="B82" s="217" t="s">
        <v>992</v>
      </c>
      <c r="C82" s="228"/>
      <c r="D82" s="215"/>
    </row>
    <row r="83" spans="1:4" ht="12.75" customHeight="1" hidden="1">
      <c r="A83" s="198" t="s">
        <v>997</v>
      </c>
      <c r="B83" s="214" t="s">
        <v>998</v>
      </c>
      <c r="C83" s="228"/>
      <c r="D83" s="215"/>
    </row>
    <row r="84" spans="1:4" ht="12.75" customHeight="1" hidden="1">
      <c r="A84" s="198" t="s">
        <v>999</v>
      </c>
      <c r="B84" s="214" t="s">
        <v>1000</v>
      </c>
      <c r="C84" s="199"/>
      <c r="D84" s="215"/>
    </row>
    <row r="85" spans="1:4" ht="12.75" customHeight="1">
      <c r="A85" s="198"/>
      <c r="B85" s="214"/>
      <c r="C85" s="199"/>
      <c r="D85" s="215"/>
    </row>
    <row r="86" spans="1:4" ht="12.75" customHeight="1">
      <c r="A86" s="210" t="s">
        <v>118</v>
      </c>
      <c r="B86" s="211" t="s">
        <v>970</v>
      </c>
      <c r="C86" s="212"/>
      <c r="D86" s="213">
        <f>SUM(D87:D94)</f>
        <v>88.5</v>
      </c>
    </row>
    <row r="87" spans="1:4" ht="12.75" customHeight="1" hidden="1">
      <c r="A87" s="198" t="s">
        <v>984</v>
      </c>
      <c r="B87" s="214" t="s">
        <v>985</v>
      </c>
      <c r="C87" s="212"/>
      <c r="D87" s="215"/>
    </row>
    <row r="88" spans="1:4" ht="12.75" customHeight="1" hidden="1">
      <c r="A88" s="198" t="s">
        <v>989</v>
      </c>
      <c r="B88" s="214" t="s">
        <v>990</v>
      </c>
      <c r="C88" s="199"/>
      <c r="D88" s="215"/>
    </row>
    <row r="89" spans="1:4" ht="25.5">
      <c r="A89" s="198" t="s">
        <v>991</v>
      </c>
      <c r="B89" s="226" t="s">
        <v>992</v>
      </c>
      <c r="C89" s="199"/>
      <c r="D89" s="215">
        <v>10</v>
      </c>
    </row>
    <row r="90" spans="1:4" ht="12.75" customHeight="1" hidden="1">
      <c r="A90" s="198" t="s">
        <v>1004</v>
      </c>
      <c r="B90" s="227" t="s">
        <v>1005</v>
      </c>
      <c r="C90" s="199"/>
      <c r="D90" s="215"/>
    </row>
    <row r="91" spans="1:4" ht="12.75" customHeight="1">
      <c r="A91" s="198" t="s">
        <v>993</v>
      </c>
      <c r="B91" s="214" t="s">
        <v>994</v>
      </c>
      <c r="C91" s="199"/>
      <c r="D91" s="215">
        <v>78.5</v>
      </c>
    </row>
    <row r="92" spans="1:4" ht="12.75" customHeight="1" hidden="1">
      <c r="A92" s="198" t="s">
        <v>995</v>
      </c>
      <c r="B92" s="214" t="s">
        <v>996</v>
      </c>
      <c r="C92" s="199"/>
      <c r="D92" s="215"/>
    </row>
    <row r="93" spans="1:4" ht="12.75" customHeight="1" hidden="1">
      <c r="A93" s="198" t="s">
        <v>997</v>
      </c>
      <c r="B93" s="214" t="s">
        <v>998</v>
      </c>
      <c r="C93" s="212"/>
      <c r="D93" s="215"/>
    </row>
    <row r="94" spans="1:4" ht="12.75" customHeight="1" hidden="1">
      <c r="A94" s="198" t="s">
        <v>999</v>
      </c>
      <c r="B94" s="214" t="s">
        <v>1000</v>
      </c>
      <c r="C94" s="199"/>
      <c r="D94" s="215"/>
    </row>
    <row r="95" spans="1:4" ht="12.75" customHeight="1">
      <c r="A95" s="198"/>
      <c r="B95" s="214"/>
      <c r="C95" s="199"/>
      <c r="D95" s="215"/>
    </row>
    <row r="96" spans="1:4" ht="12.75" customHeight="1">
      <c r="A96" s="210" t="s">
        <v>128</v>
      </c>
      <c r="B96" s="211" t="s">
        <v>364</v>
      </c>
      <c r="C96" s="212"/>
      <c r="D96" s="213">
        <f>SUM(D97:D100)</f>
        <v>35.9</v>
      </c>
    </row>
    <row r="97" spans="1:4" ht="12.75" customHeight="1" hidden="1">
      <c r="A97" s="198" t="s">
        <v>986</v>
      </c>
      <c r="B97" s="214" t="s">
        <v>987</v>
      </c>
      <c r="C97" s="199"/>
      <c r="D97" s="215"/>
    </row>
    <row r="98" spans="1:4" ht="12.75" customHeight="1" hidden="1">
      <c r="A98" s="216" t="s">
        <v>989</v>
      </c>
      <c r="B98" s="214" t="s">
        <v>990</v>
      </c>
      <c r="C98" s="199"/>
      <c r="D98" s="215"/>
    </row>
    <row r="99" spans="1:4" ht="12.75" customHeight="1">
      <c r="A99" s="198" t="s">
        <v>991</v>
      </c>
      <c r="B99" s="217" t="s">
        <v>992</v>
      </c>
      <c r="C99" s="199"/>
      <c r="D99" s="215">
        <v>35.9</v>
      </c>
    </row>
    <row r="100" spans="1:4" ht="12.75" customHeight="1" hidden="1">
      <c r="A100" s="198" t="s">
        <v>999</v>
      </c>
      <c r="B100" s="214" t="s">
        <v>1000</v>
      </c>
      <c r="C100" s="199"/>
      <c r="D100" s="215"/>
    </row>
    <row r="101" spans="1:4" ht="12.75" customHeight="1" hidden="1">
      <c r="A101" s="198"/>
      <c r="B101" s="214"/>
      <c r="C101" s="199"/>
      <c r="D101" s="215"/>
    </row>
    <row r="102" spans="1:4" ht="12.75" customHeight="1" hidden="1">
      <c r="A102" s="210" t="s">
        <v>172</v>
      </c>
      <c r="B102" s="211" t="s">
        <v>1011</v>
      </c>
      <c r="C102" s="212"/>
      <c r="D102" s="213">
        <f>SUM(D103)</f>
        <v>0</v>
      </c>
    </row>
    <row r="103" spans="1:4" ht="25.5" hidden="1">
      <c r="A103" s="198" t="s">
        <v>991</v>
      </c>
      <c r="B103" s="217" t="s">
        <v>992</v>
      </c>
      <c r="C103" s="199"/>
      <c r="D103" s="215"/>
    </row>
    <row r="104" spans="1:4" ht="12.75" customHeight="1">
      <c r="A104" s="198"/>
      <c r="B104" s="214"/>
      <c r="C104" s="199"/>
      <c r="D104" s="215"/>
    </row>
    <row r="105" spans="1:4" ht="12.75" customHeight="1">
      <c r="A105" s="295" t="s">
        <v>973</v>
      </c>
      <c r="B105" s="296"/>
      <c r="C105" s="228"/>
      <c r="D105" s="229">
        <f>D10+D37+D54+D65+D86+D96</f>
        <v>644</v>
      </c>
    </row>
  </sheetData>
  <sheetProtection/>
  <mergeCells count="2">
    <mergeCell ref="A6:D6"/>
    <mergeCell ref="A105:B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4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00390625" style="0" customWidth="1"/>
    <col min="2" max="2" width="39.140625" style="0" customWidth="1"/>
    <col min="3" max="3" width="11.7109375" style="0" customWidth="1"/>
    <col min="4" max="4" width="10.00390625" style="0" customWidth="1"/>
    <col min="5" max="5" width="10.8515625" style="0" customWidth="1"/>
  </cols>
  <sheetData>
    <row r="1" spans="1:2" ht="15">
      <c r="A1" s="245"/>
      <c r="B1" s="246" t="s">
        <v>1082</v>
      </c>
    </row>
    <row r="2" spans="1:2" ht="15">
      <c r="A2" s="245"/>
      <c r="B2" s="246" t="s">
        <v>522</v>
      </c>
    </row>
    <row r="3" spans="1:2" ht="15">
      <c r="A3" s="245"/>
      <c r="B3" s="246" t="s">
        <v>529</v>
      </c>
    </row>
    <row r="4" spans="1:2" ht="15">
      <c r="A4" s="245"/>
      <c r="B4" s="246" t="s">
        <v>1105</v>
      </c>
    </row>
    <row r="5" spans="1:3" ht="15" hidden="1">
      <c r="A5" s="245"/>
      <c r="B5" s="246"/>
      <c r="C5" s="247"/>
    </row>
    <row r="6" spans="1:2" ht="15" hidden="1">
      <c r="A6" s="245"/>
      <c r="B6" s="246" t="s">
        <v>1082</v>
      </c>
    </row>
    <row r="7" spans="1:2" ht="15" hidden="1">
      <c r="A7" s="245"/>
      <c r="B7" s="246" t="s">
        <v>522</v>
      </c>
    </row>
    <row r="8" spans="1:2" ht="15" hidden="1">
      <c r="A8" s="245"/>
      <c r="B8" s="246" t="s">
        <v>529</v>
      </c>
    </row>
    <row r="9" spans="1:2" ht="15" hidden="1">
      <c r="A9" s="245"/>
      <c r="B9" s="246" t="s">
        <v>1017</v>
      </c>
    </row>
    <row r="10" spans="1:3" ht="15">
      <c r="A10" s="245"/>
      <c r="B10" s="245"/>
      <c r="C10" s="247"/>
    </row>
    <row r="11" spans="1:6" ht="30" customHeight="1">
      <c r="A11" s="297" t="s">
        <v>1088</v>
      </c>
      <c r="B11" s="297"/>
      <c r="C11" s="297"/>
      <c r="D11" s="297"/>
      <c r="E11" s="297"/>
      <c r="F11" s="297"/>
    </row>
    <row r="12" spans="1:3" ht="15">
      <c r="A12" s="245"/>
      <c r="B12" s="245"/>
      <c r="C12" s="245"/>
    </row>
    <row r="13" spans="1:6" ht="15">
      <c r="A13" s="298" t="s">
        <v>1083</v>
      </c>
      <c r="B13" s="300" t="s">
        <v>1084</v>
      </c>
      <c r="C13" s="283" t="s">
        <v>142</v>
      </c>
      <c r="D13" s="284"/>
      <c r="E13" s="285"/>
      <c r="F13" s="281" t="s">
        <v>520</v>
      </c>
    </row>
    <row r="14" spans="1:6" ht="33" customHeight="1">
      <c r="A14" s="299"/>
      <c r="B14" s="301"/>
      <c r="C14" s="51" t="s">
        <v>454</v>
      </c>
      <c r="D14" s="51" t="s">
        <v>455</v>
      </c>
      <c r="E14" s="51" t="s">
        <v>456</v>
      </c>
      <c r="F14" s="282"/>
    </row>
    <row r="15" spans="1:6" ht="51.75">
      <c r="A15" s="248" t="s">
        <v>1085</v>
      </c>
      <c r="B15" s="249" t="s">
        <v>401</v>
      </c>
      <c r="C15" s="250">
        <v>15712.9</v>
      </c>
      <c r="D15" s="250">
        <v>11964.9</v>
      </c>
      <c r="E15" s="250">
        <f>C15-D15</f>
        <v>3748</v>
      </c>
      <c r="F15" s="251">
        <f>D15/C15</f>
        <v>0.7614698750708017</v>
      </c>
    </row>
    <row r="16" spans="1:6" ht="64.5">
      <c r="A16" s="248" t="s">
        <v>1086</v>
      </c>
      <c r="B16" s="249" t="s">
        <v>402</v>
      </c>
      <c r="C16" s="250">
        <v>3711.6</v>
      </c>
      <c r="D16" s="252">
        <v>0</v>
      </c>
      <c r="E16" s="252">
        <f>C16-D16</f>
        <v>3711.6</v>
      </c>
      <c r="F16" s="251">
        <f>D16/C16</f>
        <v>0</v>
      </c>
    </row>
    <row r="17" spans="1:6" s="255" customFormat="1" ht="15">
      <c r="A17" s="302" t="s">
        <v>1087</v>
      </c>
      <c r="B17" s="303"/>
      <c r="C17" s="253">
        <f>SUM(C15:C16)</f>
        <v>19424.5</v>
      </c>
      <c r="D17" s="253">
        <f>SUM(D15:D16)</f>
        <v>11964.9</v>
      </c>
      <c r="E17" s="253">
        <f>C17-D17</f>
        <v>7459.6</v>
      </c>
      <c r="F17" s="254">
        <f>D17/C17</f>
        <v>0.6159695230250457</v>
      </c>
    </row>
    <row r="18" spans="1:3" ht="15.75">
      <c r="A18" s="256"/>
      <c r="B18" s="256"/>
      <c r="C18" s="256"/>
    </row>
    <row r="19" spans="1:3" ht="15.75">
      <c r="A19" s="256"/>
      <c r="B19" s="256"/>
      <c r="C19" s="256"/>
    </row>
    <row r="20" spans="1:3" ht="15.75">
      <c r="A20" s="256"/>
      <c r="B20" s="256"/>
      <c r="C20" s="256"/>
    </row>
    <row r="21" spans="1:3" ht="15.75">
      <c r="A21" s="256"/>
      <c r="B21" s="256"/>
      <c r="C21" s="256"/>
    </row>
    <row r="22" spans="1:3" ht="15.75">
      <c r="A22" s="256"/>
      <c r="B22" s="256"/>
      <c r="C22" s="256"/>
    </row>
    <row r="23" spans="1:3" ht="15.75">
      <c r="A23" s="256"/>
      <c r="B23" s="256"/>
      <c r="C23" s="256"/>
    </row>
    <row r="24" spans="1:3" ht="15.75">
      <c r="A24" s="256"/>
      <c r="B24" s="256"/>
      <c r="C24" s="256"/>
    </row>
    <row r="25" spans="1:3" ht="15.75">
      <c r="A25" s="256"/>
      <c r="B25" s="256"/>
      <c r="C25" s="256"/>
    </row>
    <row r="26" spans="1:3" ht="15.75">
      <c r="A26" s="256"/>
      <c r="B26" s="256"/>
      <c r="C26" s="256"/>
    </row>
    <row r="27" spans="1:3" ht="15.75">
      <c r="A27" s="256"/>
      <c r="B27" s="256"/>
      <c r="C27" s="256"/>
    </row>
    <row r="28" spans="1:3" ht="15.75">
      <c r="A28" s="256"/>
      <c r="B28" s="256"/>
      <c r="C28" s="256"/>
    </row>
    <row r="29" spans="1:3" ht="15.75">
      <c r="A29" s="256"/>
      <c r="B29" s="256"/>
      <c r="C29" s="256"/>
    </row>
    <row r="30" spans="1:3" ht="15.75">
      <c r="A30" s="256"/>
      <c r="B30" s="256"/>
      <c r="C30" s="256"/>
    </row>
    <row r="31" spans="1:3" ht="15.75">
      <c r="A31" s="256"/>
      <c r="B31" s="256"/>
      <c r="C31" s="256"/>
    </row>
    <row r="32" spans="1:3" ht="15.75">
      <c r="A32" s="256"/>
      <c r="B32" s="256"/>
      <c r="C32" s="256"/>
    </row>
    <row r="33" spans="1:3" ht="15.75">
      <c r="A33" s="256"/>
      <c r="B33" s="256"/>
      <c r="C33" s="256"/>
    </row>
    <row r="34" spans="1:3" ht="15.75">
      <c r="A34" s="256"/>
      <c r="B34" s="256"/>
      <c r="C34" s="256"/>
    </row>
    <row r="35" spans="1:3" ht="15.75">
      <c r="A35" s="256"/>
      <c r="B35" s="256"/>
      <c r="C35" s="256"/>
    </row>
    <row r="36" spans="1:3" ht="15.75">
      <c r="A36" s="256"/>
      <c r="B36" s="256"/>
      <c r="C36" s="256"/>
    </row>
    <row r="37" spans="1:3" ht="15.75">
      <c r="A37" s="256"/>
      <c r="B37" s="256"/>
      <c r="C37" s="256"/>
    </row>
    <row r="38" spans="1:3" ht="15.75">
      <c r="A38" s="256"/>
      <c r="B38" s="256"/>
      <c r="C38" s="256"/>
    </row>
    <row r="39" spans="1:3" ht="15.75">
      <c r="A39" s="256"/>
      <c r="B39" s="256"/>
      <c r="C39" s="256"/>
    </row>
    <row r="40" spans="1:3" ht="15.75">
      <c r="A40" s="256"/>
      <c r="B40" s="256"/>
      <c r="C40" s="256"/>
    </row>
    <row r="41" spans="1:3" ht="15.75">
      <c r="A41" s="256"/>
      <c r="B41" s="256"/>
      <c r="C41" s="256"/>
    </row>
    <row r="42" spans="1:3" ht="15.75">
      <c r="A42" s="256"/>
      <c r="B42" s="256"/>
      <c r="C42" s="256"/>
    </row>
    <row r="43" spans="1:3" ht="15.75">
      <c r="A43" s="256"/>
      <c r="B43" s="256"/>
      <c r="C43" s="256"/>
    </row>
    <row r="44" spans="1:3" ht="15.75">
      <c r="A44" s="256"/>
      <c r="B44" s="256"/>
      <c r="C44" s="256"/>
    </row>
    <row r="45" spans="1:3" ht="15.75">
      <c r="A45" s="256"/>
      <c r="B45" s="256"/>
      <c r="C45" s="256"/>
    </row>
    <row r="46" spans="1:3" ht="15.75">
      <c r="A46" s="256"/>
      <c r="B46" s="256"/>
      <c r="C46" s="256"/>
    </row>
    <row r="47" spans="1:3" ht="15.75">
      <c r="A47" s="256"/>
      <c r="B47" s="256"/>
      <c r="C47" s="256"/>
    </row>
  </sheetData>
  <sheetProtection/>
  <mergeCells count="6">
    <mergeCell ref="A11:F11"/>
    <mergeCell ref="A13:A14"/>
    <mergeCell ref="B13:B14"/>
    <mergeCell ref="C13:E13"/>
    <mergeCell ref="F13:F14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Анатольевна</dc:creator>
  <cp:keywords/>
  <dc:description/>
  <cp:lastModifiedBy>Пользователи сети ФУ</cp:lastModifiedBy>
  <cp:lastPrinted>2014-07-16T05:31:20Z</cp:lastPrinted>
  <dcterms:created xsi:type="dcterms:W3CDTF">2013-09-26T11:31:41Z</dcterms:created>
  <dcterms:modified xsi:type="dcterms:W3CDTF">2014-09-19T09:13:50Z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Приложения.xlsx</vt:lpwstr>
  </property>
</Properties>
</file>