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checkCompatibility="1"/>
  <bookViews>
    <workbookView xWindow="0" yWindow="8760" windowWidth="5445" windowHeight="10935" tabRatio="957"/>
  </bookViews>
  <sheets>
    <sheet name="Деф" sheetId="17" r:id="rId1"/>
    <sheet name="АдмДох" sheetId="47" r:id="rId2"/>
    <sheet name="АдмИст" sheetId="23" r:id="rId3"/>
    <sheet name="Норм" sheetId="56" state="hidden" r:id="rId4"/>
    <sheet name="Дох " sheetId="44" r:id="rId5"/>
    <sheet name="Вед21" sheetId="4" r:id="rId6"/>
    <sheet name="вед 22-23" sheetId="45" r:id="rId7"/>
    <sheet name="Фун21" sheetId="3" r:id="rId8"/>
    <sheet name="Фун 22-23" sheetId="48" r:id="rId9"/>
    <sheet name="ЦСР 21" sheetId="50" r:id="rId10"/>
    <sheet name="ЦСР 22-23" sheetId="49" r:id="rId11"/>
    <sheet name="публ" sheetId="26" r:id="rId12"/>
    <sheet name="пов зп 06" sheetId="69" state="hidden" r:id="rId13"/>
    <sheet name="благ" sheetId="68" state="hidden" r:id="rId14"/>
    <sheet name="налог п" sheetId="67" state="hidden" r:id="rId15"/>
    <sheet name="уч УДС" sheetId="70" state="hidden" r:id="rId16"/>
    <sheet name="благ м" sheetId="66" state="hidden" r:id="rId17"/>
    <sheet name="Полн" sheetId="24" r:id="rId18"/>
    <sheet name="сбал" sheetId="53" r:id="rId19"/>
    <sheet name="ФФП" sheetId="6" r:id="rId20"/>
    <sheet name="Молод" sheetId="18" r:id="rId21"/>
    <sheet name="адм к" sheetId="35" r:id="rId22"/>
    <sheet name="ВУС" sheetId="12" r:id="rId23"/>
    <sheet name="ак" sheetId="52" r:id="rId24"/>
    <sheet name="Заим" sheetId="20" r:id="rId25"/>
    <sheet name="переч субс" sheetId="59" r:id="rId26"/>
    <sheet name="дороги с" sheetId="58" r:id="rId27"/>
    <sheet name="дороги к" sheetId="60" r:id="rId28"/>
    <sheet name="пожарка" sheetId="62" r:id="rId29"/>
    <sheet name="софин" sheetId="61" r:id="rId30"/>
    <sheet name="гор ср" sheetId="63" state="hidden" r:id="rId31"/>
    <sheet name="БДД" sheetId="65" r:id="rId32"/>
    <sheet name="пов зп 10" sheetId="72" state="hidden" r:id="rId33"/>
    <sheet name="рег вып" sheetId="64" state="hidden" r:id="rId34"/>
    <sheet name="спр" sheetId="21" r:id="rId35"/>
    <sheet name="Лист1" sheetId="54" state="hidden" r:id="rId36"/>
    <sheet name="Лист2" sheetId="71" r:id="rId37"/>
  </sheets>
  <definedNames>
    <definedName name="_xlnm._FilterDatabase" localSheetId="1" hidden="1">АдмДох!$A$4:$I$272</definedName>
    <definedName name="_xlnm._FilterDatabase" localSheetId="6" hidden="1">'вед 22-23'!$A$6:$I$1321</definedName>
    <definedName name="_xlnm._FilterDatabase" localSheetId="5" hidden="1">Вед21!$A$6:$H$1415</definedName>
    <definedName name="_xlnm._FilterDatabase" localSheetId="4" hidden="1">'Дох '!$A$7:$M$285</definedName>
    <definedName name="_xlnm._FilterDatabase" localSheetId="35" hidden="1">Лист1!$A$1:$B$211</definedName>
    <definedName name="_xlnm._FilterDatabase" localSheetId="34" hidden="1">спр!$A$8:$B$46</definedName>
    <definedName name="_xlnm._FilterDatabase" localSheetId="8" hidden="1">'Фун 22-23'!$A$6:$E$54</definedName>
    <definedName name="_xlnm._FilterDatabase" localSheetId="7" hidden="1">Фун21!$A$6:$D$55</definedName>
    <definedName name="_xlnm._FilterDatabase" localSheetId="9" hidden="1">'ЦСР 21'!$A$6:$E$1349</definedName>
    <definedName name="_xlnm._FilterDatabase" localSheetId="10" hidden="1">'ЦСР 22-23'!$A$6:$F$1150</definedName>
    <definedName name="H1благ">спр!$B$43</definedName>
    <definedName name="H1благмалое">спр!$B$41</definedName>
    <definedName name="H1ДК">спр!$B$39</definedName>
    <definedName name="H1зппов">спр!$B$44</definedName>
    <definedName name="H1пожар">спр!$B$36</definedName>
    <definedName name="H1потенциал">спр!$B$42</definedName>
    <definedName name="H1УДС">спр!$C$45</definedName>
    <definedName name="H2благ">спр!$C$43</definedName>
    <definedName name="H2благмалое">спр!$C$41</definedName>
    <definedName name="H2ДК">спр!$C$39</definedName>
    <definedName name="H2зппов">спр!$C$44</definedName>
    <definedName name="H2пожар">спр!$C$36</definedName>
    <definedName name="H2потенциал">спр!$C$42</definedName>
    <definedName name="H2УДС">спр!$B$45</definedName>
    <definedName name="вцп13">#REF!</definedName>
    <definedName name="вцпПлПер">#REF!</definedName>
    <definedName name="год" localSheetId="1">спр!$B$1</definedName>
    <definedName name="год">спр!$B$1</definedName>
    <definedName name="_xlnm.Print_Titles" localSheetId="21">'адм к'!$5:$5</definedName>
    <definedName name="_xlnm.Print_Titles" localSheetId="1">АдмДох!$4:$4</definedName>
    <definedName name="_xlnm.Print_Titles" localSheetId="2">АдмИст!$6:$6</definedName>
    <definedName name="_xlnm.Print_Titles" localSheetId="6">'вед 22-23'!$5:$6</definedName>
    <definedName name="_xlnm.Print_Titles" localSheetId="5">Вед21!$5:$6</definedName>
    <definedName name="_xlnm.Print_Titles" localSheetId="22">ВУС!$5:$5</definedName>
    <definedName name="_xlnm.Print_Titles" localSheetId="0">Деф!$5:$5</definedName>
    <definedName name="_xlnm.Print_Titles" localSheetId="4">'Дох '!$8:$8</definedName>
    <definedName name="_xlnm.Print_Titles" localSheetId="20">Молод!$5:$5</definedName>
    <definedName name="_xlnm.Print_Titles" localSheetId="17">Полн!$5:$6</definedName>
    <definedName name="_xlnm.Print_Titles" localSheetId="7">Фун21!$5:$6</definedName>
    <definedName name="_xlnm.Print_Titles" localSheetId="19">ФФП!$6:$6</definedName>
    <definedName name="_xlnm.Print_Titles" localSheetId="9">'ЦСР 21'!$5:$6</definedName>
    <definedName name="кбк">#REF!</definedName>
    <definedName name="квр13" localSheetId="1">Вед21!$E$8:$E$575</definedName>
    <definedName name="квр13">Вед21!$E$8:$E$3920</definedName>
    <definedName name="кврПлПер" localSheetId="1">'вед 22-23'!$E$8:$E$361</definedName>
    <definedName name="кврПлПер">'вед 22-23'!$E$8:$E$361</definedName>
    <definedName name="Н1адох" localSheetId="1">спр!$B$11</definedName>
    <definedName name="Н1адох">спр!$B$11</definedName>
    <definedName name="Н1аист" localSheetId="1">спр!$B$12</definedName>
    <definedName name="Н1аист">спр!$B$12</definedName>
    <definedName name="Н1акк">спр!$B$31</definedName>
    <definedName name="Н1Бл">#REF!</definedName>
    <definedName name="Н1благ">спр!$B$38</definedName>
    <definedName name="Н1вед" localSheetId="1">спр!$B$15</definedName>
    <definedName name="Н1вед">спр!$B$15</definedName>
    <definedName name="Н1вед1" localSheetId="1">спр!$B$16</definedName>
    <definedName name="Н1вед1">спр!$B$16</definedName>
    <definedName name="Н1вод">спр!$B$36</definedName>
    <definedName name="Н1вус" localSheetId="1">спр!$B$28</definedName>
    <definedName name="Н1вус">спр!$B$28</definedName>
    <definedName name="Н1вцп" localSheetId="1">спр!#REF!</definedName>
    <definedName name="Н1вцп">спр!#REF!</definedName>
    <definedName name="Н1гранты">спр!$B$36</definedName>
    <definedName name="Н1деф" localSheetId="1">спр!$B$10</definedName>
    <definedName name="Н1деф">спр!$B$10</definedName>
    <definedName name="Н1Дор" localSheetId="1">#REF!</definedName>
    <definedName name="Н1Дор">спр!$B$32</definedName>
    <definedName name="Н1доркап">спр!$B$34</definedName>
    <definedName name="Н1Дороги">спр!$B$33</definedName>
    <definedName name="Н1дох" localSheetId="1">спр!$B$14</definedName>
    <definedName name="Н1дох">спр!$B$14</definedName>
    <definedName name="Н1займ" localSheetId="1">спр!#REF!</definedName>
    <definedName name="Н1займ">спр!$B$30</definedName>
    <definedName name="Н1инв" localSheetId="1">#REF!</definedName>
    <definedName name="Н1инв">спр!#REF!</definedName>
    <definedName name="Н1ком" localSheetId="1">спр!#REF!</definedName>
    <definedName name="Н1ком">спр!$B$26</definedName>
    <definedName name="Н1Мдор">#REF!</definedName>
    <definedName name="Н1метвус" localSheetId="1">#REF!</definedName>
    <definedName name="Н1метвус">спр!$B$29</definedName>
    <definedName name="Н1мин">спр!$B$35</definedName>
    <definedName name="Н1мол" localSheetId="1">спр!#REF!</definedName>
    <definedName name="Н1мол">спр!$B$25</definedName>
    <definedName name="Н1нал">#REF!</definedName>
    <definedName name="Н1Норм">спр!$B$13</definedName>
    <definedName name="Н1Перес">спр!$B$32</definedName>
    <definedName name="Н1Пересел">спр!$B$32</definedName>
    <definedName name="Н1пож" localSheetId="1">#REF!</definedName>
    <definedName name="Н1пож">спр!$B$33</definedName>
    <definedName name="Н1пожар">спр!$B$36</definedName>
    <definedName name="Н1пол" localSheetId="1">спр!#REF!</definedName>
    <definedName name="Н1пол">спр!$B$22</definedName>
    <definedName name="Н1поощ">спр!$B$34</definedName>
    <definedName name="Н1Пот" localSheetId="1">спр!#REF!</definedName>
    <definedName name="Н1Пот">спр!#REF!</definedName>
    <definedName name="Н1потенц">спр!$B$40</definedName>
    <definedName name="Н1Публ" localSheetId="1">спр!$B$21</definedName>
    <definedName name="Н1Публ">спр!$B$21</definedName>
    <definedName name="Н1рцп" localSheetId="1">#REF!</definedName>
    <definedName name="Н1рцп">спр!#REF!</definedName>
    <definedName name="Н1сбал" localSheetId="1">спр!#REF!</definedName>
    <definedName name="Н1сбал">спр!$B$23</definedName>
    <definedName name="Н1софин">спр!$B$35</definedName>
    <definedName name="Н1фун" localSheetId="1">спр!#REF!</definedName>
    <definedName name="Н1фун">спр!$B$17</definedName>
    <definedName name="Н1фун1">спр!$B$18</definedName>
    <definedName name="Н1ффп" localSheetId="1">спр!$B$24</definedName>
    <definedName name="Н1ффп">спр!$B$24</definedName>
    <definedName name="Н1цср">спр!$B$19</definedName>
    <definedName name="Н1цср1">спр!$B$20</definedName>
    <definedName name="Н1эф">#REF!</definedName>
    <definedName name="Н2адох">спр!$C$11</definedName>
    <definedName name="Н2аист">спр!$C$12</definedName>
    <definedName name="Н2акк">спр!$C$31</definedName>
    <definedName name="Н2Бл">#REF!</definedName>
    <definedName name="Н2благ">спр!$C$38</definedName>
    <definedName name="Н2вед">спр!$C$15</definedName>
    <definedName name="Н2вед1">спр!$C$16</definedName>
    <definedName name="Н2вод">спр!$C$36</definedName>
    <definedName name="Н2вус">спр!$C$28</definedName>
    <definedName name="Н2вцп">#REF!</definedName>
    <definedName name="Н2гранты">спр!$C$36</definedName>
    <definedName name="Н2деф">спр!$C$10</definedName>
    <definedName name="Н2дор">спр!$C$32</definedName>
    <definedName name="Н2доркап">спр!$C$34</definedName>
    <definedName name="Н2Дороги">спр!$C$33</definedName>
    <definedName name="Н2дох">спр!$C$14</definedName>
    <definedName name="Н2займ">спр!$C$30</definedName>
    <definedName name="Н2инв">#REF!</definedName>
    <definedName name="Н2ком">спр!$C$26</definedName>
    <definedName name="Н2Мдор">#REF!</definedName>
    <definedName name="Н2метвус">спр!$C$29</definedName>
    <definedName name="Н2мин">спр!$C$35</definedName>
    <definedName name="Н2мол">спр!$C$25</definedName>
    <definedName name="Н2нал">#REF!</definedName>
    <definedName name="Н2Норм">спр!$C$13</definedName>
    <definedName name="Н2Перес">спр!$C$32</definedName>
    <definedName name="Н2Пересел">спр!$C$32</definedName>
    <definedName name="Н2пож">спр!$C$33</definedName>
    <definedName name="Н2пожар">спр!$C$35</definedName>
    <definedName name="Н2пол">спр!$C$22</definedName>
    <definedName name="Н2поощ">спр!$C$34</definedName>
    <definedName name="Н2потенц">спр!$C$40</definedName>
    <definedName name="Н2публ">спр!$C$21</definedName>
    <definedName name="Н2рцп">#REF!</definedName>
    <definedName name="Н2сбал">спр!$C$23</definedName>
    <definedName name="Н2софин">спр!$C$35</definedName>
    <definedName name="Н2фун">спр!$C$17</definedName>
    <definedName name="Н2фун1">спр!$C$18</definedName>
    <definedName name="Н2ффп">спр!$C$24</definedName>
    <definedName name="Н2цср">спр!$C$19</definedName>
    <definedName name="Н2цср1">спр!$C$20</definedName>
    <definedName name="Н2эф">#REF!</definedName>
    <definedName name="Надох" localSheetId="1">#REF!</definedName>
    <definedName name="Надох">спр!$B$11</definedName>
    <definedName name="_xlnm.Print_Area" localSheetId="21">'адм к'!$A:$E</definedName>
    <definedName name="_xlnm.Print_Area" localSheetId="1">АдмДох!$A:$D</definedName>
    <definedName name="_xlnm.Print_Area" localSheetId="2">АдмИст!$A:$D</definedName>
    <definedName name="_xlnm.Print_Area" localSheetId="23">ак!$A$2:$D$14</definedName>
    <definedName name="_xlnm.Print_Area" localSheetId="31">БДД!$A$1:$D$10</definedName>
    <definedName name="_xlnm.Print_Area" localSheetId="6">'вед 22-23'!$A:$G</definedName>
    <definedName name="_xlnm.Print_Area" localSheetId="5">Вед21!$A:$F</definedName>
    <definedName name="_xlnm.Print_Area" localSheetId="22">ВУС!$A:$D</definedName>
    <definedName name="_xlnm.Print_Area" localSheetId="30">'гор ср'!$A$1:$B$9</definedName>
    <definedName name="_xlnm.Print_Area" localSheetId="0">Деф!$A:$E</definedName>
    <definedName name="_xlnm.Print_Area" localSheetId="4">'Дох '!$A$1:$K$285</definedName>
    <definedName name="_xlnm.Print_Area" localSheetId="24">Заим!$A:$D</definedName>
    <definedName name="_xlnm.Print_Area" localSheetId="20">Молод!$A:$D</definedName>
    <definedName name="_xlnm.Print_Area" localSheetId="28">пожарка!$A$2:$D$25</definedName>
    <definedName name="_xlnm.Print_Area" localSheetId="17">Полн!$A:$F</definedName>
    <definedName name="_xlnm.Print_Area" localSheetId="11">публ!$A:$F</definedName>
    <definedName name="_xlnm.Print_Area" localSheetId="18">сбал!$A$2:$D$24</definedName>
    <definedName name="_xlnm.Print_Area" localSheetId="7">Фун21!$A:$D</definedName>
    <definedName name="_xlnm.Print_Area" localSheetId="19">ФФП!$A:$D</definedName>
    <definedName name="ПлПер" localSheetId="1">спр!$B$2</definedName>
    <definedName name="ПлПер">спр!$B$2</definedName>
    <definedName name="Р1дата" localSheetId="1">спр!$B$3</definedName>
    <definedName name="Р1дата">спр!$B$3</definedName>
    <definedName name="Р1номер" localSheetId="1">спр!$B$4</definedName>
    <definedName name="Р1номер">спр!$B$4</definedName>
    <definedName name="Р2дата">спр!$B$5</definedName>
    <definedName name="Р2номер">спр!$B$6</definedName>
    <definedName name="РзПз" localSheetId="1">Вед21!$G$8:$G$8828</definedName>
    <definedName name="РзПз">Вед21!$G$8:$G$9031</definedName>
    <definedName name="РзПзПлПер" localSheetId="1">'вед 22-23'!$H$8:$H$459</definedName>
    <definedName name="РзПзПлПер">'вед 22-23'!$H$8:$H$4720</definedName>
    <definedName name="спрВЦП">#REF!</definedName>
    <definedName name="сум" localSheetId="1">#REF!</definedName>
    <definedName name="сум">#REF!</definedName>
    <definedName name="СумВед" localSheetId="1">Вед21!$F$8:$F$4308</definedName>
    <definedName name="СумВед">Вед21!$F$8:$F$5520</definedName>
    <definedName name="СумВед14" localSheetId="1">'вед 22-23'!$F$8:$F$361</definedName>
    <definedName name="СумВед14">'вед 22-23'!$F$8:$F$361</definedName>
    <definedName name="СумВед15" localSheetId="1">'вед 22-23'!$G$8:$G$361</definedName>
    <definedName name="СумВед15">'вед 22-23'!$G$8:$G$361</definedName>
    <definedName name="сумма13">#REF!</definedName>
    <definedName name="цср">Лист1!$A$2:$B$211</definedName>
    <definedName name="цср1">Лист1!$A$2:$B$2840</definedName>
  </definedNames>
  <calcPr calcId="145621"/>
</workbook>
</file>

<file path=xl/calcChain.xml><?xml version="1.0" encoding="utf-8"?>
<calcChain xmlns="http://schemas.openxmlformats.org/spreadsheetml/2006/main">
  <c r="F6" i="61" l="1"/>
  <c r="F7" i="49" l="1"/>
  <c r="E7" i="49"/>
  <c r="E7" i="48"/>
  <c r="D7" i="48"/>
  <c r="G7" i="45"/>
  <c r="F7" i="45"/>
  <c r="G1409" i="4"/>
  <c r="G1410" i="4"/>
  <c r="G1411" i="4"/>
  <c r="G1412" i="4"/>
  <c r="G1413" i="4"/>
  <c r="G1414" i="4"/>
  <c r="G1415" i="4"/>
  <c r="L40" i="21" l="1"/>
  <c r="K40" i="21"/>
  <c r="J40" i="21"/>
  <c r="L18" i="21"/>
  <c r="K18" i="21"/>
  <c r="J18" i="21"/>
  <c r="L8" i="21"/>
  <c r="K8" i="21" l="1"/>
  <c r="J8" i="21"/>
  <c r="B6" i="64" l="1"/>
  <c r="A2" i="64" l="1"/>
  <c r="A1" i="64"/>
  <c r="D6" i="72"/>
  <c r="C6" i="72"/>
  <c r="B6" i="72"/>
  <c r="D6" i="65"/>
  <c r="C6" i="65" l="1"/>
  <c r="B6" i="65"/>
  <c r="A2" i="65"/>
  <c r="A1" i="65"/>
  <c r="B6" i="63"/>
  <c r="A2" i="63"/>
  <c r="A1" i="63"/>
  <c r="E18" i="61" l="1"/>
  <c r="E6" i="61" s="1"/>
  <c r="D18" i="61"/>
  <c r="D6" i="61" s="1"/>
  <c r="B3" i="61" l="1"/>
  <c r="B2" i="61"/>
  <c r="B1" i="61"/>
  <c r="D25" i="62"/>
  <c r="C25" i="62"/>
  <c r="B25" i="62"/>
  <c r="D24" i="62"/>
  <c r="C24" i="62"/>
  <c r="B24" i="62"/>
  <c r="D23" i="62"/>
  <c r="C23" i="62"/>
  <c r="B23" i="62"/>
  <c r="D22" i="62"/>
  <c r="C22" i="62"/>
  <c r="B22" i="62"/>
  <c r="D21" i="62"/>
  <c r="C21" i="62"/>
  <c r="B21" i="62"/>
  <c r="D20" i="62"/>
  <c r="C20" i="62"/>
  <c r="B20" i="62"/>
  <c r="D19" i="62"/>
  <c r="C19" i="62"/>
  <c r="B19" i="62"/>
  <c r="D18" i="62"/>
  <c r="C18" i="62"/>
  <c r="B18" i="62"/>
  <c r="D17" i="62"/>
  <c r="C17" i="62"/>
  <c r="B17" i="62"/>
  <c r="D16" i="62"/>
  <c r="C16" i="62"/>
  <c r="B16" i="62"/>
  <c r="D15" i="62"/>
  <c r="C15" i="62"/>
  <c r="B15" i="62"/>
  <c r="D14" i="62"/>
  <c r="C14" i="62"/>
  <c r="B14" i="62"/>
  <c r="D13" i="62"/>
  <c r="C13" i="62"/>
  <c r="B13" i="62"/>
  <c r="D12" i="62"/>
  <c r="C12" i="62"/>
  <c r="B12" i="62"/>
  <c r="D11" i="62"/>
  <c r="C11" i="62"/>
  <c r="B11" i="62"/>
  <c r="D10" i="62"/>
  <c r="C10" i="62"/>
  <c r="B10" i="62"/>
  <c r="D9" i="62"/>
  <c r="C9" i="62"/>
  <c r="B9" i="62"/>
  <c r="D8" i="62"/>
  <c r="C8" i="62"/>
  <c r="B8" i="62"/>
  <c r="D7" i="62" l="1"/>
  <c r="C7" i="62"/>
  <c r="B7" i="62"/>
  <c r="A2" i="62" l="1"/>
  <c r="A1" i="62" l="1"/>
  <c r="E6" i="60"/>
  <c r="D6" i="60"/>
  <c r="C6" i="60"/>
  <c r="A2" i="60"/>
  <c r="A1" i="60"/>
  <c r="D24" i="58"/>
  <c r="C24" i="58"/>
  <c r="B24" i="58"/>
  <c r="D23" i="58"/>
  <c r="C23" i="58"/>
  <c r="B23" i="58"/>
  <c r="D22" i="58"/>
  <c r="C22" i="58"/>
  <c r="B22" i="58"/>
  <c r="D21" i="58"/>
  <c r="C21" i="58"/>
  <c r="B21" i="58"/>
  <c r="D20" i="58"/>
  <c r="C20" i="58"/>
  <c r="B20" i="58"/>
  <c r="D19" i="58"/>
  <c r="C19" i="58"/>
  <c r="B19" i="58"/>
  <c r="D18" i="58"/>
  <c r="C18" i="58"/>
  <c r="B18" i="58"/>
  <c r="D17" i="58"/>
  <c r="B17" i="58"/>
  <c r="D16" i="58"/>
  <c r="C16" i="58"/>
  <c r="B16" i="58"/>
  <c r="D15" i="58"/>
  <c r="C15" i="58"/>
  <c r="B15" i="58"/>
  <c r="D14" i="58"/>
  <c r="C14" i="58"/>
  <c r="B14" i="58"/>
  <c r="D13" i="58"/>
  <c r="C13" i="58"/>
  <c r="B13" i="58"/>
  <c r="D12" i="58"/>
  <c r="C12" i="58"/>
  <c r="B12" i="58"/>
  <c r="D11" i="58"/>
  <c r="C11" i="58"/>
  <c r="B11" i="58"/>
  <c r="D10" i="58"/>
  <c r="C10" i="58"/>
  <c r="B10" i="58"/>
  <c r="D9" i="58"/>
  <c r="C9" i="58"/>
  <c r="B9" i="58"/>
  <c r="D8" i="58"/>
  <c r="C8" i="58"/>
  <c r="B8" i="58"/>
  <c r="D7" i="58"/>
  <c r="D6" i="58" s="1"/>
  <c r="C7" i="58"/>
  <c r="C6" i="58" s="1"/>
  <c r="B7" i="58"/>
  <c r="B6" i="58" l="1"/>
  <c r="A2" i="58"/>
  <c r="A1" i="58"/>
  <c r="G15" i="59"/>
  <c r="F15" i="59" l="1"/>
  <c r="E15" i="59"/>
  <c r="G10" i="59"/>
  <c r="F10" i="59"/>
  <c r="E10" i="59"/>
  <c r="G8" i="59"/>
  <c r="F8" i="59"/>
  <c r="E8" i="59"/>
  <c r="A2" i="59"/>
  <c r="G23" i="59" l="1"/>
  <c r="E23" i="59"/>
  <c r="F23" i="59"/>
  <c r="A1" i="59"/>
  <c r="D9" i="20"/>
  <c r="C9" i="20"/>
  <c r="B9" i="20"/>
  <c r="D6" i="20"/>
  <c r="C6" i="20" l="1"/>
  <c r="B6" i="20"/>
  <c r="A3" i="20"/>
  <c r="A2" i="20"/>
  <c r="A1" i="20"/>
  <c r="D6" i="52" l="1"/>
  <c r="C6" i="52"/>
  <c r="B6" i="52"/>
  <c r="A3" i="52"/>
  <c r="A2" i="52"/>
  <c r="A1" i="52"/>
  <c r="C23" i="12"/>
  <c r="B23" i="12"/>
  <c r="C22" i="12"/>
  <c r="B22" i="12"/>
  <c r="C21" i="12"/>
  <c r="B21" i="12"/>
  <c r="C20" i="12"/>
  <c r="B20" i="12"/>
  <c r="C19" i="12"/>
  <c r="B19" i="12"/>
  <c r="C18" i="12"/>
  <c r="B18" i="12"/>
  <c r="C17" i="12"/>
  <c r="B17" i="12"/>
  <c r="C16" i="12"/>
  <c r="B16" i="12"/>
  <c r="C15" i="12"/>
  <c r="B15" i="12"/>
  <c r="C14" i="12"/>
  <c r="B14" i="12"/>
  <c r="C13" i="12"/>
  <c r="B13" i="12"/>
  <c r="C12" i="12"/>
  <c r="B12" i="12"/>
  <c r="C11" i="12"/>
  <c r="B11" i="12"/>
  <c r="C10" i="12"/>
  <c r="B10" i="12"/>
  <c r="C9" i="12"/>
  <c r="B9" i="12"/>
  <c r="C8" i="12"/>
  <c r="B8" i="12"/>
  <c r="C7" i="12"/>
  <c r="B7" i="12"/>
  <c r="D6" i="12" l="1"/>
  <c r="C6" i="12"/>
  <c r="B6" i="12"/>
  <c r="A2" i="12"/>
  <c r="A1" i="12" l="1"/>
  <c r="E24" i="35"/>
  <c r="D24" i="35"/>
  <c r="C24" i="35"/>
  <c r="E23" i="35"/>
  <c r="D23" i="35"/>
  <c r="C23" i="35"/>
  <c r="E22" i="35"/>
  <c r="D22" i="35"/>
  <c r="C22" i="35"/>
  <c r="E21" i="35"/>
  <c r="D21" i="35"/>
  <c r="C21" i="35"/>
  <c r="E20" i="35"/>
  <c r="D20" i="35"/>
  <c r="C20" i="35"/>
  <c r="E19" i="35"/>
  <c r="D19" i="35"/>
  <c r="C19" i="35"/>
  <c r="E18" i="35"/>
  <c r="D18" i="35"/>
  <c r="C18" i="35"/>
  <c r="E17" i="35"/>
  <c r="D17" i="35"/>
  <c r="C17" i="35"/>
  <c r="E16" i="35"/>
  <c r="D16" i="35"/>
  <c r="C16" i="35"/>
  <c r="E15" i="35"/>
  <c r="D15" i="35"/>
  <c r="C15" i="35"/>
  <c r="E14" i="35"/>
  <c r="D14" i="35"/>
  <c r="C14" i="35"/>
  <c r="E13" i="35"/>
  <c r="D13" i="35"/>
  <c r="C13" i="35"/>
  <c r="E12" i="35"/>
  <c r="D12" i="35"/>
  <c r="C12" i="35"/>
  <c r="E11" i="35"/>
  <c r="D11" i="35"/>
  <c r="C11" i="35"/>
  <c r="E10" i="35"/>
  <c r="D10" i="35"/>
  <c r="C10" i="35"/>
  <c r="E9" i="35"/>
  <c r="D9" i="35"/>
  <c r="C9" i="35"/>
  <c r="E8" i="35"/>
  <c r="D8" i="35"/>
  <c r="C8" i="35"/>
  <c r="E7" i="35"/>
  <c r="D7" i="35"/>
  <c r="C7" i="35"/>
  <c r="E6" i="35" l="1"/>
  <c r="D6" i="35"/>
  <c r="C6" i="35"/>
  <c r="A2" i="35"/>
  <c r="A1" i="35"/>
  <c r="D6" i="18"/>
  <c r="C6" i="18"/>
  <c r="B6" i="18"/>
  <c r="A2" i="18"/>
  <c r="A1" i="18"/>
  <c r="B63" i="6"/>
  <c r="B62" i="6"/>
  <c r="B61" i="6"/>
  <c r="B60" i="6"/>
  <c r="B59" i="6"/>
  <c r="B58" i="6"/>
  <c r="B57" i="6"/>
  <c r="B56" i="6"/>
  <c r="B55" i="6"/>
  <c r="B54" i="6"/>
  <c r="B53" i="6"/>
  <c r="B52" i="6"/>
  <c r="B51" i="6"/>
  <c r="B50" i="6"/>
  <c r="B49" i="6"/>
  <c r="B48" i="6"/>
  <c r="B47" i="6"/>
  <c r="B46" i="6"/>
  <c r="B45" i="6" s="1"/>
  <c r="D45" i="6"/>
  <c r="C45" i="6"/>
  <c r="B44" i="6"/>
  <c r="B43" i="6"/>
  <c r="B42" i="6"/>
  <c r="B41" i="6"/>
  <c r="B40" i="6"/>
  <c r="B39" i="6"/>
  <c r="B38" i="6"/>
  <c r="B37" i="6"/>
  <c r="B36" i="6"/>
  <c r="B35" i="6"/>
  <c r="B34" i="6"/>
  <c r="B33" i="6"/>
  <c r="B32" i="6"/>
  <c r="B31" i="6"/>
  <c r="B30" i="6"/>
  <c r="B29" i="6"/>
  <c r="B28" i="6"/>
  <c r="B27" i="6"/>
  <c r="B26" i="6" s="1"/>
  <c r="D26" i="6"/>
  <c r="C26" i="6"/>
  <c r="B25" i="6"/>
  <c r="B24" i="6"/>
  <c r="B23" i="6"/>
  <c r="B22" i="6"/>
  <c r="B21" i="6"/>
  <c r="B20" i="6"/>
  <c r="B19" i="6"/>
  <c r="B18" i="6"/>
  <c r="B17" i="6"/>
  <c r="B16" i="6"/>
  <c r="B15" i="6"/>
  <c r="B14" i="6"/>
  <c r="B13" i="6"/>
  <c r="B12" i="6"/>
  <c r="B11" i="6"/>
  <c r="B10" i="6"/>
  <c r="B9" i="6"/>
  <c r="B8" i="6"/>
  <c r="D7" i="6"/>
  <c r="C7" i="6"/>
  <c r="B7" i="6" l="1"/>
  <c r="A3" i="6" l="1"/>
  <c r="A2" i="6"/>
  <c r="A1" i="6"/>
  <c r="B24" i="53"/>
  <c r="B23" i="53"/>
  <c r="B22" i="53"/>
  <c r="B21" i="53"/>
  <c r="B19" i="53"/>
  <c r="B18" i="53"/>
  <c r="B16" i="53"/>
  <c r="B14" i="53"/>
  <c r="B13" i="53"/>
  <c r="B12" i="53"/>
  <c r="D11" i="53"/>
  <c r="C11" i="53"/>
  <c r="B11" i="53"/>
  <c r="B8" i="53" l="1"/>
  <c r="D7" i="53"/>
  <c r="D6" i="53" s="1"/>
  <c r="C7" i="53"/>
  <c r="B7" i="53"/>
  <c r="C6" i="53"/>
  <c r="B6" i="53" l="1"/>
  <c r="A3" i="53" l="1"/>
  <c r="A2" i="53"/>
  <c r="A1" i="53"/>
  <c r="E63" i="24"/>
  <c r="B63" i="24" s="1"/>
  <c r="C63" i="24"/>
  <c r="E62" i="24"/>
  <c r="C62" i="24"/>
  <c r="B62" i="24" s="1"/>
  <c r="E61" i="24"/>
  <c r="C61" i="24"/>
  <c r="B61" i="24"/>
  <c r="E60" i="24"/>
  <c r="C60" i="24"/>
  <c r="B60" i="24" s="1"/>
  <c r="E59" i="24"/>
  <c r="B59" i="24" s="1"/>
  <c r="C59" i="24"/>
  <c r="E58" i="24"/>
  <c r="C58" i="24"/>
  <c r="B58" i="24" s="1"/>
  <c r="E57" i="24"/>
  <c r="C57" i="24"/>
  <c r="B57" i="24"/>
  <c r="E56" i="24"/>
  <c r="B56" i="24"/>
  <c r="E55" i="24"/>
  <c r="C55" i="24"/>
  <c r="B55" i="24" s="1"/>
  <c r="E54" i="24"/>
  <c r="C54" i="24"/>
  <c r="B54" i="24"/>
  <c r="E53" i="24"/>
  <c r="C53" i="24"/>
  <c r="B53" i="24" s="1"/>
  <c r="E52" i="24"/>
  <c r="B52" i="24" s="1"/>
  <c r="C52" i="24"/>
  <c r="E51" i="24"/>
  <c r="C51" i="24"/>
  <c r="B51" i="24" s="1"/>
  <c r="E50" i="24"/>
  <c r="C50" i="24"/>
  <c r="B50" i="24"/>
  <c r="F49" i="24"/>
  <c r="E49" i="24"/>
  <c r="C49" i="24"/>
  <c r="B49" i="24"/>
  <c r="E48" i="24"/>
  <c r="D48" i="24"/>
  <c r="D45" i="24" s="1"/>
  <c r="C48" i="24"/>
  <c r="B48" i="24"/>
  <c r="E47" i="24"/>
  <c r="C47" i="24"/>
  <c r="B47" i="24" s="1"/>
  <c r="E46" i="24"/>
  <c r="B46" i="24" s="1"/>
  <c r="C46" i="24"/>
  <c r="F45" i="24"/>
  <c r="E45" i="24"/>
  <c r="E44" i="24"/>
  <c r="C44" i="24"/>
  <c r="B44" i="24" s="1"/>
  <c r="E43" i="24"/>
  <c r="C43" i="24"/>
  <c r="B43" i="24"/>
  <c r="E42" i="24"/>
  <c r="C42" i="24"/>
  <c r="B42" i="24" s="1"/>
  <c r="E41" i="24"/>
  <c r="B41" i="24" s="1"/>
  <c r="C41" i="24"/>
  <c r="E40" i="24"/>
  <c r="C40" i="24"/>
  <c r="B40" i="24" s="1"/>
  <c r="E39" i="24"/>
  <c r="C39" i="24"/>
  <c r="B39" i="24"/>
  <c r="E38" i="24"/>
  <c r="C38" i="24"/>
  <c r="B38" i="24" s="1"/>
  <c r="E37" i="24"/>
  <c r="B37" i="24" s="1"/>
  <c r="E36" i="24"/>
  <c r="C36" i="24"/>
  <c r="B36" i="24"/>
  <c r="E35" i="24"/>
  <c r="C35" i="24"/>
  <c r="B35" i="24" s="1"/>
  <c r="E34" i="24"/>
  <c r="B34" i="24" s="1"/>
  <c r="C34" i="24"/>
  <c r="E33" i="24"/>
  <c r="C33" i="24"/>
  <c r="B33" i="24" s="1"/>
  <c r="E32" i="24"/>
  <c r="C32" i="24"/>
  <c r="B32" i="24"/>
  <c r="E31" i="24"/>
  <c r="C31" i="24"/>
  <c r="B31" i="24" s="1"/>
  <c r="F30" i="24"/>
  <c r="F26" i="24" s="1"/>
  <c r="E30" i="24"/>
  <c r="C30" i="24"/>
  <c r="B30" i="24" s="1"/>
  <c r="E29" i="24"/>
  <c r="D29" i="24"/>
  <c r="C29" i="24"/>
  <c r="B29" i="24" s="1"/>
  <c r="E28" i="24"/>
  <c r="B28" i="24" s="1"/>
  <c r="C28" i="24"/>
  <c r="E27" i="24"/>
  <c r="C27" i="24"/>
  <c r="B27" i="24" s="1"/>
  <c r="D26" i="24"/>
  <c r="M25" i="24"/>
  <c r="E25" i="24"/>
  <c r="B25" i="24" s="1"/>
  <c r="C25" i="24"/>
  <c r="M24" i="24"/>
  <c r="E24" i="24"/>
  <c r="B24" i="24" s="1"/>
  <c r="C24" i="24"/>
  <c r="J23" i="24"/>
  <c r="E23" i="24"/>
  <c r="C23" i="24"/>
  <c r="M23" i="24" s="1"/>
  <c r="M22" i="24"/>
  <c r="I22" i="24"/>
  <c r="E22" i="24"/>
  <c r="C22" i="24"/>
  <c r="B22" i="24"/>
  <c r="B23" i="24" l="1"/>
  <c r="E26" i="24"/>
  <c r="C45" i="24"/>
  <c r="B45" i="24" s="1"/>
  <c r="C26" i="24"/>
  <c r="B26" i="24" s="1"/>
  <c r="I21" i="24"/>
  <c r="E21" i="24"/>
  <c r="K21" i="24" s="1"/>
  <c r="C21" i="24"/>
  <c r="M21" i="24" s="1"/>
  <c r="E20" i="24"/>
  <c r="C20" i="24"/>
  <c r="B20" i="24" s="1"/>
  <c r="E19" i="24"/>
  <c r="C19" i="24"/>
  <c r="B19" i="24" s="1"/>
  <c r="M18" i="24"/>
  <c r="E18" i="24"/>
  <c r="B18" i="24"/>
  <c r="E17" i="24"/>
  <c r="C17" i="24"/>
  <c r="M17" i="24" s="1"/>
  <c r="B17" i="24"/>
  <c r="E16" i="24"/>
  <c r="C16" i="24"/>
  <c r="M16" i="24" s="1"/>
  <c r="B16" i="24"/>
  <c r="E15" i="24"/>
  <c r="C15" i="24"/>
  <c r="M15" i="24" s="1"/>
  <c r="B15" i="24"/>
  <c r="E14" i="24"/>
  <c r="C14" i="24"/>
  <c r="M14" i="24" s="1"/>
  <c r="B14" i="24"/>
  <c r="E13" i="24"/>
  <c r="C13" i="24"/>
  <c r="M13" i="24" s="1"/>
  <c r="B13" i="24"/>
  <c r="E12" i="24"/>
  <c r="C12" i="24"/>
  <c r="M12" i="24" s="1"/>
  <c r="B12" i="24"/>
  <c r="F11" i="24"/>
  <c r="E11" i="24"/>
  <c r="C11" i="24"/>
  <c r="M11" i="24" s="1"/>
  <c r="M10" i="24"/>
  <c r="E10" i="24"/>
  <c r="D10" i="24"/>
  <c r="B10" i="24" s="1"/>
  <c r="C10" i="24"/>
  <c r="E9" i="24"/>
  <c r="B9" i="24" s="1"/>
  <c r="C9" i="24"/>
  <c r="M9" i="24" s="1"/>
  <c r="M19" i="24" l="1"/>
  <c r="M20" i="24"/>
  <c r="B11" i="24"/>
  <c r="B21" i="24"/>
  <c r="M8" i="24"/>
  <c r="E8" i="24"/>
  <c r="B8" i="24" s="1"/>
  <c r="C8" i="24"/>
  <c r="L7" i="24"/>
  <c r="F7" i="24" l="1"/>
  <c r="E7" i="24" l="1"/>
  <c r="D7" i="24"/>
  <c r="C7" i="24"/>
  <c r="B7" i="24" l="1"/>
  <c r="M7" i="24"/>
  <c r="A3" i="24"/>
  <c r="A2" i="24"/>
  <c r="A1" i="24"/>
  <c r="D6" i="66" l="1"/>
  <c r="C6" i="66"/>
  <c r="B6" i="66"/>
  <c r="A2" i="66"/>
  <c r="A1" i="66"/>
  <c r="D6" i="70" l="1"/>
  <c r="C6" i="70"/>
  <c r="B6" i="70"/>
  <c r="A2" i="70"/>
  <c r="A1" i="70"/>
  <c r="D6" i="67"/>
  <c r="C6" i="67"/>
  <c r="B6" i="67"/>
  <c r="A2" i="67"/>
  <c r="A1" i="67"/>
  <c r="D6" i="68"/>
  <c r="C6" i="68"/>
  <c r="B6" i="68"/>
  <c r="A2" i="68"/>
  <c r="A1" i="68"/>
  <c r="D6" i="69"/>
  <c r="C6" i="69"/>
  <c r="B6" i="69"/>
  <c r="A2" i="69"/>
  <c r="A1" i="69"/>
  <c r="M8" i="26"/>
  <c r="L8" i="26"/>
  <c r="K8" i="26" l="1"/>
  <c r="J8" i="26"/>
  <c r="I8" i="26"/>
  <c r="F8" i="26" l="1"/>
  <c r="E8" i="26"/>
  <c r="D8" i="26"/>
  <c r="M7" i="26"/>
  <c r="L7" i="26"/>
  <c r="K7" i="26"/>
  <c r="J7" i="26"/>
  <c r="I7" i="26"/>
  <c r="M6" i="26"/>
  <c r="L6" i="26"/>
  <c r="K6" i="26"/>
  <c r="J6" i="26" l="1"/>
  <c r="I6" i="26"/>
  <c r="F6" i="26"/>
  <c r="F10" i="26" s="1"/>
  <c r="E6" i="26"/>
  <c r="D6" i="26"/>
  <c r="A3" i="26"/>
  <c r="A2" i="26"/>
  <c r="A1" i="26"/>
  <c r="A2" i="49"/>
  <c r="A1" i="49"/>
  <c r="A3" i="50"/>
  <c r="A2" i="50"/>
  <c r="A1" i="50"/>
  <c r="A3" i="48"/>
  <c r="A2" i="48"/>
  <c r="A1" i="48"/>
  <c r="A3" i="3"/>
  <c r="A2" i="3"/>
  <c r="A1" i="3"/>
  <c r="H1314" i="45"/>
  <c r="H1313" i="45"/>
  <c r="H1312" i="45"/>
  <c r="H1311" i="45"/>
  <c r="H1310" i="45"/>
  <c r="H1309" i="45"/>
  <c r="H1308" i="45"/>
  <c r="H1307" i="45"/>
  <c r="H1306" i="45"/>
  <c r="H1305" i="45"/>
  <c r="H1304" i="45"/>
  <c r="H1303" i="45"/>
  <c r="H1302" i="45"/>
  <c r="H1301" i="45"/>
  <c r="H1300" i="45"/>
  <c r="H1299" i="45"/>
  <c r="H1298" i="45"/>
  <c r="H1297" i="45"/>
  <c r="H1296" i="45"/>
  <c r="H1295" i="45"/>
  <c r="H1294" i="45"/>
  <c r="H1293" i="45"/>
  <c r="H1292" i="45"/>
  <c r="H1291" i="45"/>
  <c r="H1290" i="45"/>
  <c r="H1289" i="45"/>
  <c r="H1288" i="45"/>
  <c r="H1287" i="45"/>
  <c r="H1286" i="45"/>
  <c r="H1285" i="45"/>
  <c r="H1284" i="45"/>
  <c r="H1283" i="45"/>
  <c r="H1282" i="45"/>
  <c r="H1281" i="45"/>
  <c r="H1280" i="45"/>
  <c r="H1279" i="45"/>
  <c r="H1278" i="45"/>
  <c r="H1277" i="45"/>
  <c r="H1276" i="45"/>
  <c r="H1275" i="45"/>
  <c r="H1274" i="45"/>
  <c r="H1273" i="45"/>
  <c r="H1272" i="45"/>
  <c r="H1271" i="45"/>
  <c r="H1270" i="45"/>
  <c r="H1269" i="45"/>
  <c r="H1268" i="45"/>
  <c r="H1267" i="45"/>
  <c r="H1266" i="45"/>
  <c r="H1265" i="45"/>
  <c r="H1264" i="45"/>
  <c r="H1263" i="45"/>
  <c r="H1262" i="45"/>
  <c r="H1261" i="45"/>
  <c r="H1260" i="45"/>
  <c r="H1259" i="45"/>
  <c r="H1258" i="45"/>
  <c r="H1257" i="45"/>
  <c r="H1256" i="45"/>
  <c r="H1255" i="45"/>
  <c r="H1254" i="45"/>
  <c r="H1253" i="45"/>
  <c r="H1252" i="45"/>
  <c r="H1251" i="45"/>
  <c r="H1250" i="45"/>
  <c r="H1249" i="45"/>
  <c r="H1248" i="45"/>
  <c r="H1247" i="45"/>
  <c r="H1246" i="45"/>
  <c r="H1245" i="45"/>
  <c r="H1244" i="45"/>
  <c r="H1243" i="45"/>
  <c r="H1242" i="45"/>
  <c r="H1241" i="45"/>
  <c r="H1240" i="45"/>
  <c r="H1239" i="45"/>
  <c r="H1238" i="45"/>
  <c r="H1237" i="45"/>
  <c r="H1236" i="45"/>
  <c r="H1235" i="45"/>
  <c r="H1234" i="45"/>
  <c r="H1233" i="45"/>
  <c r="H1232" i="45"/>
  <c r="H1231" i="45"/>
  <c r="H1230" i="45"/>
  <c r="H1229" i="45"/>
  <c r="H1228" i="45"/>
  <c r="H1227" i="45"/>
  <c r="H1226" i="45"/>
  <c r="H1225" i="45"/>
  <c r="H1224" i="45"/>
  <c r="H1223" i="45"/>
  <c r="H1222" i="45"/>
  <c r="H1221" i="45"/>
  <c r="H1220" i="45"/>
  <c r="H1219" i="45"/>
  <c r="H1218" i="45"/>
  <c r="H1217" i="45"/>
  <c r="H1216" i="45"/>
  <c r="H1215" i="45"/>
  <c r="H1214" i="45"/>
  <c r="H1213" i="45"/>
  <c r="H1212" i="45"/>
  <c r="H1211" i="45"/>
  <c r="H1210" i="45"/>
  <c r="H1209" i="45"/>
  <c r="H1208" i="45"/>
  <c r="H1207" i="45"/>
  <c r="H1206" i="45"/>
  <c r="H1205" i="45"/>
  <c r="H1204" i="45"/>
  <c r="H1203" i="45"/>
  <c r="H1202" i="45"/>
  <c r="H1201" i="45"/>
  <c r="H1200" i="45"/>
  <c r="H1199" i="45"/>
  <c r="H1198" i="45"/>
  <c r="H1197" i="45"/>
  <c r="H1196" i="45"/>
  <c r="H1195" i="45"/>
  <c r="H1194" i="45"/>
  <c r="H1193" i="45"/>
  <c r="H1192" i="45"/>
  <c r="H1191" i="45"/>
  <c r="H1190" i="45"/>
  <c r="H1189" i="45"/>
  <c r="H1188" i="45"/>
  <c r="H1187" i="45"/>
  <c r="H1186" i="45"/>
  <c r="H1185" i="45"/>
  <c r="H1184" i="45"/>
  <c r="H1183" i="45"/>
  <c r="H1182" i="45"/>
  <c r="H1181" i="45"/>
  <c r="H1180" i="45"/>
  <c r="H1179" i="45"/>
  <c r="H1178" i="45"/>
  <c r="H1177" i="45"/>
  <c r="H1176" i="45"/>
  <c r="H1175" i="45"/>
  <c r="H1174" i="45"/>
  <c r="H1173" i="45"/>
  <c r="H1172" i="45"/>
  <c r="H1171" i="45"/>
  <c r="H1170" i="45"/>
  <c r="H1169" i="45"/>
  <c r="H1168" i="45"/>
  <c r="H1167" i="45"/>
  <c r="H1166" i="45"/>
  <c r="H1165" i="45"/>
  <c r="H1164" i="45"/>
  <c r="H1163" i="45"/>
  <c r="H1162" i="45"/>
  <c r="H1161" i="45"/>
  <c r="H1160" i="45"/>
  <c r="H1159" i="45"/>
  <c r="H1158" i="45"/>
  <c r="H1157" i="45"/>
  <c r="H1156" i="45"/>
  <c r="H1155" i="45"/>
  <c r="H1154" i="45"/>
  <c r="H1153" i="45"/>
  <c r="H1152" i="45"/>
  <c r="H1151" i="45"/>
  <c r="H1150" i="45"/>
  <c r="H1149" i="45"/>
  <c r="H1148" i="45"/>
  <c r="H1147" i="45"/>
  <c r="H1146" i="45"/>
  <c r="H1145" i="45"/>
  <c r="H1144" i="45"/>
  <c r="H1143" i="45"/>
  <c r="H1142" i="45"/>
  <c r="H1141" i="45"/>
  <c r="H1140" i="45"/>
  <c r="H1139" i="45"/>
  <c r="H1138" i="45"/>
  <c r="H1137" i="45"/>
  <c r="H1136" i="45"/>
  <c r="H1135" i="45"/>
  <c r="H1134" i="45"/>
  <c r="H1133" i="45"/>
  <c r="H1132" i="45"/>
  <c r="H1131" i="45"/>
  <c r="H1130" i="45"/>
  <c r="H1129" i="45"/>
  <c r="H1128" i="45"/>
  <c r="H1127" i="45"/>
  <c r="H1126" i="45"/>
  <c r="H1125" i="45"/>
  <c r="H1124" i="45"/>
  <c r="H1123" i="45"/>
  <c r="H1122" i="45"/>
  <c r="H1121" i="45"/>
  <c r="H1120" i="45"/>
  <c r="H1119" i="45"/>
  <c r="H1118" i="45"/>
  <c r="H1117" i="45"/>
  <c r="H1116" i="45"/>
  <c r="H1115" i="45"/>
  <c r="H1114" i="45"/>
  <c r="H1113" i="45"/>
  <c r="H1112" i="45"/>
  <c r="H1111" i="45"/>
  <c r="H1110" i="45"/>
  <c r="H1109" i="45"/>
  <c r="H1108" i="45"/>
  <c r="H1107" i="45"/>
  <c r="E10" i="26" l="1"/>
  <c r="H8" i="26"/>
  <c r="H1106" i="45"/>
  <c r="H1105" i="45"/>
  <c r="H1104" i="45"/>
  <c r="H1103" i="45"/>
  <c r="H1102" i="45"/>
  <c r="H1101" i="45"/>
  <c r="H1100" i="45"/>
  <c r="H1099" i="45"/>
  <c r="H1098" i="45"/>
  <c r="H1097" i="45"/>
  <c r="H1096" i="45"/>
  <c r="H1095" i="45"/>
  <c r="H1094" i="45"/>
  <c r="H1093" i="45"/>
  <c r="H1092" i="45"/>
  <c r="H1091" i="45"/>
  <c r="H1090" i="45"/>
  <c r="H1089" i="45"/>
  <c r="H1088" i="45"/>
  <c r="H1087" i="45"/>
  <c r="H1086" i="45"/>
  <c r="H1085" i="45"/>
  <c r="H1084" i="45"/>
  <c r="H1083" i="45"/>
  <c r="H1082" i="45"/>
  <c r="H1081" i="45"/>
  <c r="H1080" i="45"/>
  <c r="H1079" i="45"/>
  <c r="H1078" i="45"/>
  <c r="H1077" i="45"/>
  <c r="H1076" i="45"/>
  <c r="H1075" i="45"/>
  <c r="H1074" i="45"/>
  <c r="H1073" i="45"/>
  <c r="H1072" i="45"/>
  <c r="H1071" i="45"/>
  <c r="H1070" i="45"/>
  <c r="H1069" i="45"/>
  <c r="H1068" i="45"/>
  <c r="H1067" i="45"/>
  <c r="H1066" i="45"/>
  <c r="H1065" i="45"/>
  <c r="H1064" i="45"/>
  <c r="H1063" i="45"/>
  <c r="H1062" i="45"/>
  <c r="H1061" i="45"/>
  <c r="H1060" i="45"/>
  <c r="H1059" i="45"/>
  <c r="H1058" i="45"/>
  <c r="H1057" i="45"/>
  <c r="H1056" i="45"/>
  <c r="H1055" i="45"/>
  <c r="H1054" i="45"/>
  <c r="H1053" i="45"/>
  <c r="H1052" i="45"/>
  <c r="H1051" i="45"/>
  <c r="H1050" i="45"/>
  <c r="H1049" i="45"/>
  <c r="H1048" i="45"/>
  <c r="H1047" i="45"/>
  <c r="H1046" i="45"/>
  <c r="H1045" i="45"/>
  <c r="H1044" i="45"/>
  <c r="H1043" i="45"/>
  <c r="H1042" i="45"/>
  <c r="H1041" i="45"/>
  <c r="H1040" i="45"/>
  <c r="H1039" i="45"/>
  <c r="H1038" i="45"/>
  <c r="H1037" i="45"/>
  <c r="H1036" i="45"/>
  <c r="H1035" i="45"/>
  <c r="H1034" i="45"/>
  <c r="H1033" i="45"/>
  <c r="H1032" i="45"/>
  <c r="H1031" i="45"/>
  <c r="H1030" i="45"/>
  <c r="H1029" i="45"/>
  <c r="H1028" i="45"/>
  <c r="H1027" i="45"/>
  <c r="H1026" i="45"/>
  <c r="H1025" i="45"/>
  <c r="H1024" i="45"/>
  <c r="H1023" i="45"/>
  <c r="H1022" i="45"/>
  <c r="H1021" i="45"/>
  <c r="H1020" i="45"/>
  <c r="H1019" i="45"/>
  <c r="H1018" i="45"/>
  <c r="H1017" i="45"/>
  <c r="H1016" i="45"/>
  <c r="H1015" i="45"/>
  <c r="H1014" i="45"/>
  <c r="H1013" i="45"/>
  <c r="H1012" i="45"/>
  <c r="H1011" i="45"/>
  <c r="H1010" i="45"/>
  <c r="H1009" i="45"/>
  <c r="H1008" i="45"/>
  <c r="H1007" i="45"/>
  <c r="H1006" i="45"/>
  <c r="H1005" i="45"/>
  <c r="H1004" i="45"/>
  <c r="H1003" i="45"/>
  <c r="H1002" i="45"/>
  <c r="H1001" i="45"/>
  <c r="H1000" i="45"/>
  <c r="H999" i="45"/>
  <c r="H998" i="45"/>
  <c r="H997" i="45"/>
  <c r="H996" i="45"/>
  <c r="H995" i="45"/>
  <c r="H994" i="45"/>
  <c r="H993" i="45"/>
  <c r="H992" i="45"/>
  <c r="H991" i="45"/>
  <c r="H990" i="45"/>
  <c r="H989" i="45"/>
  <c r="H988" i="45"/>
  <c r="H987" i="45"/>
  <c r="H986" i="45"/>
  <c r="H985" i="45"/>
  <c r="H984" i="45"/>
  <c r="H983" i="45"/>
  <c r="H982" i="45"/>
  <c r="H981" i="45"/>
  <c r="H980" i="45"/>
  <c r="H979" i="45"/>
  <c r="H978" i="45"/>
  <c r="H977" i="45"/>
  <c r="H976" i="45"/>
  <c r="H975" i="45"/>
  <c r="H974" i="45"/>
  <c r="H973" i="45"/>
  <c r="H972" i="45"/>
  <c r="H971" i="45"/>
  <c r="H970" i="45"/>
  <c r="H969" i="45"/>
  <c r="H968" i="45"/>
  <c r="H967" i="45"/>
  <c r="H966" i="45"/>
  <c r="H965" i="45"/>
  <c r="H964" i="45"/>
  <c r="H963" i="45"/>
  <c r="H962" i="45"/>
  <c r="H961" i="45"/>
  <c r="H960" i="45"/>
  <c r="H959" i="45"/>
  <c r="H958" i="45"/>
  <c r="H957" i="45"/>
  <c r="H956" i="45"/>
  <c r="H955" i="45"/>
  <c r="H954" i="45"/>
  <c r="H953" i="45"/>
  <c r="H952" i="45"/>
  <c r="H951" i="45"/>
  <c r="H950" i="45"/>
  <c r="H949" i="45"/>
  <c r="H948" i="45"/>
  <c r="H947" i="45"/>
  <c r="H946" i="45"/>
  <c r="H945" i="45"/>
  <c r="H944" i="45"/>
  <c r="H943" i="45"/>
  <c r="H942" i="45"/>
  <c r="H941" i="45"/>
  <c r="H940" i="45"/>
  <c r="H939" i="45"/>
  <c r="H938" i="45"/>
  <c r="H937" i="45"/>
  <c r="H936" i="45"/>
  <c r="H935" i="45"/>
  <c r="H934" i="45"/>
  <c r="H933" i="45"/>
  <c r="H932" i="45"/>
  <c r="H931" i="45"/>
  <c r="H930" i="45"/>
  <c r="H929" i="45"/>
  <c r="H928" i="45"/>
  <c r="H927" i="45"/>
  <c r="H926" i="45"/>
  <c r="H925" i="45"/>
  <c r="H924" i="45"/>
  <c r="H923" i="45"/>
  <c r="H922" i="45"/>
  <c r="H921" i="45"/>
  <c r="H920" i="45"/>
  <c r="H919" i="45"/>
  <c r="H918" i="45"/>
  <c r="H917" i="45"/>
  <c r="H916" i="45"/>
  <c r="H915" i="45"/>
  <c r="H914" i="45"/>
  <c r="H913" i="45"/>
  <c r="H912" i="45"/>
  <c r="H911" i="45"/>
  <c r="H910" i="45"/>
  <c r="H909" i="45"/>
  <c r="H908" i="45"/>
  <c r="H907" i="45"/>
  <c r="H906" i="45"/>
  <c r="H905" i="45"/>
  <c r="H904" i="45"/>
  <c r="H903" i="45"/>
  <c r="H902" i="45"/>
  <c r="H901" i="45"/>
  <c r="H900" i="45"/>
  <c r="H899" i="45"/>
  <c r="H898" i="45"/>
  <c r="H897" i="45"/>
  <c r="H896" i="45"/>
  <c r="H895" i="45"/>
  <c r="H894" i="45"/>
  <c r="H893" i="45"/>
  <c r="H892" i="45"/>
  <c r="H891" i="45"/>
  <c r="H890" i="45"/>
  <c r="H889" i="45"/>
  <c r="H888" i="45"/>
  <c r="H887" i="45"/>
  <c r="H886" i="45"/>
  <c r="H885" i="45"/>
  <c r="H884" i="45"/>
  <c r="H883" i="45"/>
  <c r="H882" i="45"/>
  <c r="H881" i="45"/>
  <c r="H880" i="45"/>
  <c r="H879" i="45"/>
  <c r="H878" i="45"/>
  <c r="H877" i="45"/>
  <c r="H876" i="45"/>
  <c r="H875" i="45"/>
  <c r="H874" i="45"/>
  <c r="H873" i="45"/>
  <c r="H872" i="45"/>
  <c r="H871" i="45"/>
  <c r="H870" i="45"/>
  <c r="H869" i="45"/>
  <c r="H868" i="45"/>
  <c r="H867" i="45"/>
  <c r="H866" i="45"/>
  <c r="H865" i="45"/>
  <c r="H864" i="45"/>
  <c r="H863" i="45"/>
  <c r="H862" i="45"/>
  <c r="H861" i="45"/>
  <c r="H860" i="45"/>
  <c r="H859" i="45"/>
  <c r="H858" i="45"/>
  <c r="H857" i="45"/>
  <c r="H856" i="45"/>
  <c r="H855" i="45"/>
  <c r="H854" i="45"/>
  <c r="H853" i="45"/>
  <c r="H852" i="45"/>
  <c r="H851" i="45"/>
  <c r="H850" i="45"/>
  <c r="H849" i="45"/>
  <c r="H848" i="45"/>
  <c r="H847" i="45"/>
  <c r="H846" i="45"/>
  <c r="H845" i="45"/>
  <c r="H844" i="45"/>
  <c r="H843" i="45"/>
  <c r="H842" i="45"/>
  <c r="H841" i="45"/>
  <c r="H840" i="45"/>
  <c r="H839" i="45"/>
  <c r="H838" i="45"/>
  <c r="H837" i="45"/>
  <c r="H836" i="45"/>
  <c r="H835" i="45"/>
  <c r="H834" i="45"/>
  <c r="H833" i="45"/>
  <c r="H832" i="45"/>
  <c r="H831" i="45"/>
  <c r="H830" i="45"/>
  <c r="H829" i="45"/>
  <c r="H828" i="45"/>
  <c r="H827" i="45"/>
  <c r="H826" i="45"/>
  <c r="H825" i="45"/>
  <c r="H824" i="45"/>
  <c r="H823" i="45"/>
  <c r="H822" i="45"/>
  <c r="H821" i="45"/>
  <c r="H820" i="45"/>
  <c r="H819" i="45"/>
  <c r="H818" i="45"/>
  <c r="H817" i="45"/>
  <c r="H816" i="45"/>
  <c r="H815" i="45"/>
  <c r="H814" i="45"/>
  <c r="H813" i="45"/>
  <c r="H812" i="45"/>
  <c r="H811" i="45"/>
  <c r="H810" i="45"/>
  <c r="H809" i="45"/>
  <c r="H808" i="45"/>
  <c r="H807" i="45"/>
  <c r="H806" i="45"/>
  <c r="H805" i="45"/>
  <c r="H804" i="45"/>
  <c r="H803" i="45"/>
  <c r="H802" i="45"/>
  <c r="H801" i="45"/>
  <c r="H800" i="45"/>
  <c r="H799" i="45"/>
  <c r="H798" i="45"/>
  <c r="H797" i="45"/>
  <c r="H796" i="45"/>
  <c r="H795" i="45"/>
  <c r="H794" i="45"/>
  <c r="H793" i="45"/>
  <c r="H792" i="45"/>
  <c r="H791" i="45"/>
  <c r="H790" i="45"/>
  <c r="H789" i="45"/>
  <c r="H788" i="45"/>
  <c r="H787" i="45"/>
  <c r="H786" i="45"/>
  <c r="H785" i="45"/>
  <c r="H784" i="45"/>
  <c r="H783" i="45"/>
  <c r="H782" i="45"/>
  <c r="H781" i="45"/>
  <c r="H780" i="45"/>
  <c r="H779" i="45"/>
  <c r="H778" i="45"/>
  <c r="H777" i="45"/>
  <c r="H776" i="45"/>
  <c r="H775" i="45"/>
  <c r="H774" i="45"/>
  <c r="H773" i="45"/>
  <c r="H772" i="45"/>
  <c r="H771" i="45"/>
  <c r="H770" i="45"/>
  <c r="H769" i="45"/>
  <c r="H768" i="45"/>
  <c r="H767" i="45"/>
  <c r="H766" i="45"/>
  <c r="H765" i="45"/>
  <c r="H764" i="45"/>
  <c r="H763" i="45"/>
  <c r="H762" i="45"/>
  <c r="H761" i="45"/>
  <c r="H760" i="45"/>
  <c r="H759" i="45"/>
  <c r="H758" i="45"/>
  <c r="H757" i="45"/>
  <c r="H756" i="45"/>
  <c r="H755" i="45"/>
  <c r="H754" i="45"/>
  <c r="H753" i="45"/>
  <c r="H752" i="45"/>
  <c r="H751" i="45"/>
  <c r="H750" i="45"/>
  <c r="H749" i="45"/>
  <c r="H748" i="45"/>
  <c r="H747" i="45"/>
  <c r="H746" i="45"/>
  <c r="H745" i="45"/>
  <c r="H744" i="45"/>
  <c r="H743" i="45"/>
  <c r="H742" i="45"/>
  <c r="H741" i="45"/>
  <c r="H740" i="45"/>
  <c r="H739" i="45"/>
  <c r="H738" i="45"/>
  <c r="H737" i="45"/>
  <c r="H736" i="45"/>
  <c r="H735" i="45"/>
  <c r="H734" i="45"/>
  <c r="H733" i="45"/>
  <c r="H732" i="45"/>
  <c r="H731" i="45"/>
  <c r="H730" i="45"/>
  <c r="H729" i="45"/>
  <c r="H728" i="45"/>
  <c r="H727" i="45"/>
  <c r="H726" i="45"/>
  <c r="H725" i="45"/>
  <c r="H724" i="45"/>
  <c r="H723" i="45"/>
  <c r="H722" i="45"/>
  <c r="H721" i="45"/>
  <c r="H720" i="45"/>
  <c r="H719" i="45"/>
  <c r="H718" i="45"/>
  <c r="H717" i="45"/>
  <c r="H716" i="45"/>
  <c r="H715" i="45"/>
  <c r="H714" i="45"/>
  <c r="H713" i="45"/>
  <c r="H712" i="45"/>
  <c r="H711" i="45"/>
  <c r="H710" i="45"/>
  <c r="H709" i="45"/>
  <c r="H708" i="45"/>
  <c r="H707" i="45"/>
  <c r="H706" i="45"/>
  <c r="H705" i="45"/>
  <c r="H704" i="45"/>
  <c r="H703" i="45"/>
  <c r="H702" i="45"/>
  <c r="H701" i="45"/>
  <c r="H700" i="45"/>
  <c r="H699" i="45"/>
  <c r="H698" i="45"/>
  <c r="H697" i="45"/>
  <c r="H696" i="45"/>
  <c r="H695" i="45"/>
  <c r="H694" i="45"/>
  <c r="H693" i="45"/>
  <c r="H692" i="45"/>
  <c r="H691" i="45"/>
  <c r="H690" i="45"/>
  <c r="H689" i="45"/>
  <c r="H688" i="45"/>
  <c r="H687" i="45"/>
  <c r="H686" i="45"/>
  <c r="H685" i="45"/>
  <c r="H684" i="45"/>
  <c r="H683" i="45"/>
  <c r="H682" i="45"/>
  <c r="H681" i="45"/>
  <c r="H680" i="45"/>
  <c r="D10" i="26" l="1"/>
  <c r="H6" i="26" s="1"/>
  <c r="H7" i="26"/>
  <c r="H679" i="45"/>
  <c r="H678" i="45"/>
  <c r="H677" i="45" l="1"/>
  <c r="H676" i="45"/>
  <c r="H675" i="45"/>
  <c r="H674" i="45"/>
  <c r="H673" i="45"/>
  <c r="H672" i="45"/>
  <c r="H671" i="45"/>
  <c r="H670" i="45"/>
  <c r="H669" i="45"/>
  <c r="H668" i="45"/>
  <c r="H667" i="45"/>
  <c r="H666" i="45"/>
  <c r="H665" i="45"/>
  <c r="H664" i="45"/>
  <c r="H663" i="45"/>
  <c r="H662" i="45"/>
  <c r="H661" i="45"/>
  <c r="H660" i="45"/>
  <c r="H659" i="45"/>
  <c r="H658" i="45"/>
  <c r="H657" i="45"/>
  <c r="H656" i="45"/>
  <c r="H655" i="45"/>
  <c r="H654" i="45"/>
  <c r="H653" i="45"/>
  <c r="H652" i="45"/>
  <c r="H651" i="45"/>
  <c r="H650" i="45"/>
  <c r="H649" i="45"/>
  <c r="H648" i="45"/>
  <c r="H647" i="45"/>
  <c r="H646" i="45"/>
  <c r="H645" i="45"/>
  <c r="H644" i="45"/>
  <c r="H643" i="45"/>
  <c r="H642" i="45"/>
  <c r="H641" i="45"/>
  <c r="H640" i="45"/>
  <c r="H639" i="45"/>
  <c r="H638" i="45"/>
  <c r="H637" i="45"/>
  <c r="H636" i="45"/>
  <c r="H635" i="45"/>
  <c r="H634" i="45"/>
  <c r="H633" i="45"/>
  <c r="H632" i="45"/>
  <c r="H631" i="45"/>
  <c r="H630" i="45"/>
  <c r="H629" i="45"/>
  <c r="H628" i="45"/>
  <c r="H627" i="45"/>
  <c r="H626" i="45"/>
  <c r="H625" i="45"/>
  <c r="H624" i="45"/>
  <c r="H623" i="45"/>
  <c r="H622" i="45"/>
  <c r="H621" i="45"/>
  <c r="H620" i="45"/>
  <c r="H619" i="45"/>
  <c r="H618" i="45"/>
  <c r="H617" i="45"/>
  <c r="H616" i="45"/>
  <c r="H615" i="45"/>
  <c r="H614" i="45"/>
  <c r="H613" i="45"/>
  <c r="H612" i="45"/>
  <c r="H611" i="45"/>
  <c r="H610" i="45"/>
  <c r="H609" i="45"/>
  <c r="H608" i="45"/>
  <c r="H607" i="45"/>
  <c r="H606" i="45"/>
  <c r="H605" i="45"/>
  <c r="H604" i="45"/>
  <c r="H603" i="45"/>
  <c r="H602" i="45"/>
  <c r="H601" i="45"/>
  <c r="H600" i="45"/>
  <c r="H599" i="45"/>
  <c r="H598" i="45"/>
  <c r="H597" i="45"/>
  <c r="H596" i="45"/>
  <c r="H595" i="45"/>
  <c r="H594" i="45"/>
  <c r="H593" i="45"/>
  <c r="H592" i="45"/>
  <c r="H591" i="45"/>
  <c r="H590" i="45"/>
  <c r="H589" i="45"/>
  <c r="H588" i="45"/>
  <c r="H587" i="45"/>
  <c r="H586" i="45"/>
  <c r="H585" i="45"/>
  <c r="H584" i="45"/>
  <c r="H583" i="45"/>
  <c r="H582" i="45"/>
  <c r="H581" i="45"/>
  <c r="H580" i="45"/>
  <c r="H579" i="45"/>
  <c r="H578" i="45"/>
  <c r="H577" i="45"/>
  <c r="H576" i="45"/>
  <c r="H575" i="45"/>
  <c r="H574" i="45"/>
  <c r="H573" i="45"/>
  <c r="H572" i="45"/>
  <c r="H571" i="45"/>
  <c r="H570" i="45"/>
  <c r="H569" i="45"/>
  <c r="H568" i="45"/>
  <c r="H567" i="45"/>
  <c r="H566" i="45"/>
  <c r="H565" i="45"/>
  <c r="H564" i="45"/>
  <c r="H563" i="45"/>
  <c r="H562" i="45"/>
  <c r="H561" i="45"/>
  <c r="H560" i="45"/>
  <c r="H559" i="45"/>
  <c r="H558" i="45"/>
  <c r="H557" i="45"/>
  <c r="H556" i="45"/>
  <c r="H555" i="45"/>
  <c r="H554" i="45"/>
  <c r="H553" i="45"/>
  <c r="H552" i="45"/>
  <c r="H551" i="45"/>
  <c r="H550" i="45"/>
  <c r="H549" i="45"/>
  <c r="H548" i="45"/>
  <c r="H547" i="45"/>
  <c r="H546" i="45"/>
  <c r="H545" i="45"/>
  <c r="H544" i="45"/>
  <c r="H543" i="45"/>
  <c r="H542" i="45"/>
  <c r="H541" i="45"/>
  <c r="H540" i="45"/>
  <c r="H539" i="45"/>
  <c r="H538" i="45"/>
  <c r="H537" i="45"/>
  <c r="H536" i="45"/>
  <c r="H535" i="45"/>
  <c r="H534" i="45"/>
  <c r="H533" i="45"/>
  <c r="H532" i="45"/>
  <c r="H531" i="45"/>
  <c r="H530" i="45"/>
  <c r="H529" i="45"/>
  <c r="H528" i="45"/>
  <c r="H527" i="45"/>
  <c r="H526" i="45"/>
  <c r="H525" i="45"/>
  <c r="H524" i="45"/>
  <c r="H523" i="45"/>
  <c r="H522" i="45"/>
  <c r="H521" i="45"/>
  <c r="H520" i="45"/>
  <c r="H519" i="45"/>
  <c r="H518" i="45"/>
  <c r="H517" i="45"/>
  <c r="H516" i="45"/>
  <c r="H515" i="45"/>
  <c r="H514" i="45"/>
  <c r="H513" i="45"/>
  <c r="H512" i="45"/>
  <c r="H511" i="45"/>
  <c r="H510" i="45"/>
  <c r="H509" i="45"/>
  <c r="H508" i="45"/>
  <c r="H507" i="45"/>
  <c r="H506" i="45"/>
  <c r="H505" i="45"/>
  <c r="H504" i="45"/>
  <c r="H503" i="45"/>
  <c r="H502" i="45"/>
  <c r="H501" i="45"/>
  <c r="H500" i="45"/>
  <c r="H499" i="45"/>
  <c r="H498" i="45"/>
  <c r="H497" i="45"/>
  <c r="H496" i="45"/>
  <c r="H495" i="45"/>
  <c r="H494" i="45"/>
  <c r="H493" i="45"/>
  <c r="H492" i="45"/>
  <c r="H491" i="45"/>
  <c r="H490" i="45"/>
  <c r="H489" i="45"/>
  <c r="H488" i="45"/>
  <c r="H487" i="45"/>
  <c r="H486" i="45"/>
  <c r="H485" i="45"/>
  <c r="H484" i="45"/>
  <c r="H483" i="45"/>
  <c r="H482" i="45"/>
  <c r="H481" i="45"/>
  <c r="H480" i="45"/>
  <c r="H479" i="45"/>
  <c r="H478" i="45"/>
  <c r="H477" i="45"/>
  <c r="H476" i="45"/>
  <c r="H475" i="45"/>
  <c r="H474" i="45"/>
  <c r="H473" i="45"/>
  <c r="H472" i="45"/>
  <c r="H471" i="45"/>
  <c r="H470" i="45"/>
  <c r="H469" i="45"/>
  <c r="H468" i="45"/>
  <c r="H467" i="45"/>
  <c r="H466" i="45"/>
  <c r="H465" i="45"/>
  <c r="H464" i="45"/>
  <c r="H463" i="45"/>
  <c r="H462" i="45"/>
  <c r="H461" i="45"/>
  <c r="H460" i="45"/>
  <c r="H459" i="45"/>
  <c r="H458" i="45"/>
  <c r="H457" i="45"/>
  <c r="H456" i="45"/>
  <c r="H455" i="45"/>
  <c r="H454" i="45"/>
  <c r="H453" i="45"/>
  <c r="H452" i="45"/>
  <c r="H451" i="45"/>
  <c r="H450" i="45"/>
  <c r="H449" i="45"/>
  <c r="H448" i="45"/>
  <c r="H447" i="45"/>
  <c r="H446" i="45"/>
  <c r="H445" i="45"/>
  <c r="H444" i="45"/>
  <c r="H443" i="45"/>
  <c r="H442" i="45"/>
  <c r="H441" i="45" l="1"/>
  <c r="H440" i="45"/>
  <c r="H439" i="45"/>
  <c r="H437" i="45"/>
  <c r="H436" i="45"/>
  <c r="H435" i="45"/>
  <c r="H434" i="45"/>
  <c r="H433" i="45"/>
  <c r="H432" i="45"/>
  <c r="H431" i="45"/>
  <c r="H430" i="45"/>
  <c r="H429" i="45"/>
  <c r="H428" i="45"/>
  <c r="H427" i="45"/>
  <c r="H426" i="45"/>
  <c r="H425" i="45"/>
  <c r="H424" i="45"/>
  <c r="H423" i="45"/>
  <c r="H422" i="45"/>
  <c r="H421" i="45"/>
  <c r="H420" i="45"/>
  <c r="H419" i="45"/>
  <c r="H418" i="45"/>
  <c r="H417" i="45"/>
  <c r="H416" i="45"/>
  <c r="H415" i="45"/>
  <c r="H414" i="45"/>
  <c r="H413" i="45"/>
  <c r="H412" i="45"/>
  <c r="H411" i="45"/>
  <c r="H410" i="45"/>
  <c r="H409" i="45"/>
  <c r="H408" i="45"/>
  <c r="H407" i="45"/>
  <c r="H406" i="45"/>
  <c r="H405" i="45"/>
  <c r="H404" i="45"/>
  <c r="H403" i="45"/>
  <c r="H402" i="45"/>
  <c r="H401" i="45"/>
  <c r="H400" i="45"/>
  <c r="H399" i="45"/>
  <c r="H398" i="45"/>
  <c r="H397" i="45"/>
  <c r="H396" i="45"/>
  <c r="H395" i="45"/>
  <c r="H394" i="45"/>
  <c r="H393" i="45"/>
  <c r="H392" i="45"/>
  <c r="H391" i="45"/>
  <c r="H390" i="45"/>
  <c r="H389" i="45"/>
  <c r="H388" i="45"/>
  <c r="H387" i="45"/>
  <c r="H386" i="45"/>
  <c r="H385" i="45"/>
  <c r="H384" i="45"/>
  <c r="H383" i="45"/>
  <c r="H382" i="45"/>
  <c r="H381" i="45"/>
  <c r="H380" i="45"/>
  <c r="H379" i="45"/>
  <c r="H378" i="45"/>
  <c r="H377" i="45"/>
  <c r="H376" i="45"/>
  <c r="H375" i="45"/>
  <c r="H374" i="45"/>
  <c r="H373" i="45"/>
  <c r="H372" i="45"/>
  <c r="H371" i="45"/>
  <c r="H370" i="45"/>
  <c r="H369" i="45"/>
  <c r="H368" i="45"/>
  <c r="H367" i="45"/>
  <c r="H366" i="45"/>
  <c r="H365" i="45"/>
  <c r="H364" i="45"/>
  <c r="H363" i="45"/>
  <c r="H362" i="45"/>
  <c r="H361" i="45"/>
  <c r="H360" i="45"/>
  <c r="H359" i="45"/>
  <c r="H358" i="45"/>
  <c r="H357" i="45"/>
  <c r="H356" i="45"/>
  <c r="H355" i="45"/>
  <c r="H354" i="45"/>
  <c r="H353" i="45"/>
  <c r="H352" i="45"/>
  <c r="H351" i="45"/>
  <c r="H350" i="45"/>
  <c r="H347" i="45"/>
  <c r="H346" i="45"/>
  <c r="H345" i="45"/>
  <c r="H344" i="45"/>
  <c r="H343" i="45"/>
  <c r="H342" i="45"/>
  <c r="H341" i="45"/>
  <c r="H340" i="45"/>
  <c r="H339" i="45"/>
  <c r="H338" i="45"/>
  <c r="H337" i="45"/>
  <c r="H336" i="45"/>
  <c r="H335" i="45"/>
  <c r="H334" i="45"/>
  <c r="H333" i="45"/>
  <c r="H332" i="45"/>
  <c r="H331" i="45"/>
  <c r="H330" i="45"/>
  <c r="H329" i="45"/>
  <c r="H328" i="45"/>
  <c r="H327" i="45"/>
  <c r="H326" i="45"/>
  <c r="H325" i="45"/>
  <c r="H324" i="45"/>
  <c r="H323" i="45"/>
  <c r="H322" i="45"/>
  <c r="H321" i="45"/>
  <c r="H320" i="45"/>
  <c r="H319" i="45"/>
  <c r="H318" i="45"/>
  <c r="H317" i="45"/>
  <c r="H316" i="45"/>
  <c r="H315" i="45"/>
  <c r="H314" i="45"/>
  <c r="H313" i="45"/>
  <c r="H312" i="45"/>
  <c r="H311" i="45"/>
  <c r="H310" i="45"/>
  <c r="H309" i="45"/>
  <c r="H308" i="45"/>
  <c r="H307" i="45"/>
  <c r="H306" i="45"/>
  <c r="H305" i="45"/>
  <c r="H304" i="45"/>
  <c r="H303" i="45"/>
  <c r="H302" i="45"/>
  <c r="H301" i="45"/>
  <c r="H300" i="45"/>
  <c r="H299" i="45"/>
  <c r="H298" i="45"/>
  <c r="H297" i="45"/>
  <c r="H296" i="45"/>
  <c r="H295" i="45"/>
  <c r="H294" i="45"/>
  <c r="H293" i="45"/>
  <c r="H292" i="45"/>
  <c r="H291" i="45"/>
  <c r="H290" i="45"/>
  <c r="H289" i="45"/>
  <c r="H288" i="45"/>
  <c r="H287" i="45"/>
  <c r="H286" i="45"/>
  <c r="H285" i="45"/>
  <c r="H284" i="45"/>
  <c r="H283" i="45"/>
  <c r="H282" i="45"/>
  <c r="H281" i="45"/>
  <c r="H280" i="45"/>
  <c r="H279" i="45"/>
  <c r="H278" i="45"/>
  <c r="H277" i="45"/>
  <c r="H276" i="45"/>
  <c r="H275" i="45"/>
  <c r="H274" i="45"/>
  <c r="H273" i="45"/>
  <c r="H272" i="45"/>
  <c r="H271" i="45"/>
  <c r="H270" i="45"/>
  <c r="H269" i="45"/>
  <c r="H268" i="45"/>
  <c r="H267" i="45"/>
  <c r="H266" i="45"/>
  <c r="H265" i="45"/>
  <c r="H264" i="45"/>
  <c r="H263" i="45"/>
  <c r="H262" i="45"/>
  <c r="H261" i="45"/>
  <c r="H260" i="45"/>
  <c r="H259" i="45"/>
  <c r="H258" i="45"/>
  <c r="H257" i="45"/>
  <c r="H254" i="45"/>
  <c r="H253" i="45"/>
  <c r="H252" i="45"/>
  <c r="H251" i="45" l="1"/>
  <c r="H250" i="45"/>
  <c r="H249" i="45"/>
  <c r="H248" i="45"/>
  <c r="H247" i="45"/>
  <c r="H246" i="45"/>
  <c r="H245" i="45"/>
  <c r="H244" i="45"/>
  <c r="H243" i="45"/>
  <c r="H242" i="45"/>
  <c r="H241" i="45"/>
  <c r="H240" i="45"/>
  <c r="H239" i="45"/>
  <c r="H238" i="45"/>
  <c r="H237" i="45"/>
  <c r="H236" i="45"/>
  <c r="H235" i="45"/>
  <c r="H234" i="45"/>
  <c r="H233" i="45"/>
  <c r="H232" i="45"/>
  <c r="H231" i="45"/>
  <c r="H230" i="45"/>
  <c r="H229" i="45"/>
  <c r="H228" i="45"/>
  <c r="H227" i="45"/>
  <c r="H226" i="45"/>
  <c r="H225" i="45"/>
  <c r="H224" i="45"/>
  <c r="H223" i="45"/>
  <c r="H222" i="45"/>
  <c r="H221" i="45"/>
  <c r="H220" i="45"/>
  <c r="H219" i="45"/>
  <c r="H218" i="45"/>
  <c r="H217" i="45"/>
  <c r="H216" i="45"/>
  <c r="H215" i="45"/>
  <c r="H214" i="45"/>
  <c r="H213" i="45"/>
  <c r="H212" i="45"/>
  <c r="H211" i="45"/>
  <c r="H210" i="45"/>
  <c r="H209" i="45"/>
  <c r="H208" i="45"/>
  <c r="H207" i="45"/>
  <c r="H206" i="45"/>
  <c r="H205" i="45"/>
  <c r="H204" i="45"/>
  <c r="H203" i="45"/>
  <c r="H202" i="45"/>
  <c r="H201" i="45"/>
  <c r="H200" i="45"/>
  <c r="H199" i="45"/>
  <c r="H198" i="45"/>
  <c r="H197" i="45"/>
  <c r="H196" i="45"/>
  <c r="H195" i="45"/>
  <c r="H194" i="45"/>
  <c r="H193" i="45"/>
  <c r="H192" i="45"/>
  <c r="H191" i="45"/>
  <c r="H190" i="45"/>
  <c r="H189" i="45"/>
  <c r="H188" i="45"/>
  <c r="H187" i="45"/>
  <c r="H186" i="45"/>
  <c r="H185" i="45"/>
  <c r="H184" i="45"/>
  <c r="H183" i="45"/>
  <c r="H182" i="45"/>
  <c r="H181" i="45"/>
  <c r="H180" i="45"/>
  <c r="H179" i="45"/>
  <c r="H178" i="45"/>
  <c r="H177" i="45"/>
  <c r="H176" i="45"/>
  <c r="H175" i="45"/>
  <c r="H174" i="45"/>
  <c r="H173" i="45"/>
  <c r="H172" i="45"/>
  <c r="H171" i="45"/>
  <c r="H170" i="45"/>
  <c r="H169" i="45"/>
  <c r="H168" i="45"/>
  <c r="H167" i="45"/>
  <c r="H166" i="45"/>
  <c r="H165" i="45"/>
  <c r="H164" i="45"/>
  <c r="H163" i="45"/>
  <c r="H162" i="45"/>
  <c r="H161" i="45"/>
  <c r="H160" i="45"/>
  <c r="H159" i="45"/>
  <c r="H158" i="45"/>
  <c r="H157" i="45"/>
  <c r="H156" i="45"/>
  <c r="H155" i="45"/>
  <c r="H154" i="45"/>
  <c r="H153" i="45"/>
  <c r="H152" i="45"/>
  <c r="H151" i="45"/>
  <c r="H150" i="45"/>
  <c r="H149" i="45"/>
  <c r="H148" i="45"/>
  <c r="H147" i="45"/>
  <c r="H146" i="45"/>
  <c r="H145" i="45"/>
  <c r="H144" i="45"/>
  <c r="H143" i="45"/>
  <c r="H142" i="45"/>
  <c r="H141" i="45"/>
  <c r="H140" i="45"/>
  <c r="H139" i="45"/>
  <c r="H138" i="45"/>
  <c r="H137" i="45"/>
  <c r="H136" i="45"/>
  <c r="H135" i="45"/>
  <c r="H134" i="45"/>
  <c r="H133" i="45"/>
  <c r="H132" i="45"/>
  <c r="H131" i="45"/>
  <c r="H130" i="45"/>
  <c r="H129" i="45"/>
  <c r="H128" i="45"/>
  <c r="H127" i="45"/>
  <c r="H126" i="45"/>
  <c r="H125" i="45"/>
  <c r="H124" i="45"/>
  <c r="H123" i="45"/>
  <c r="H122" i="45"/>
  <c r="H121" i="45"/>
  <c r="H120" i="45"/>
  <c r="H119" i="45"/>
  <c r="H118" i="45"/>
  <c r="H117" i="45"/>
  <c r="H116" i="45"/>
  <c r="H115" i="45"/>
  <c r="H114" i="45"/>
  <c r="H113" i="45"/>
  <c r="H112" i="45"/>
  <c r="H111" i="45"/>
  <c r="H110" i="45"/>
  <c r="H109" i="45"/>
  <c r="H108" i="45"/>
  <c r="H107" i="45"/>
  <c r="H106" i="45"/>
  <c r="H105" i="45"/>
  <c r="H104" i="45"/>
  <c r="H103" i="45"/>
  <c r="H102" i="45"/>
  <c r="H101" i="45"/>
  <c r="H100" i="45"/>
  <c r="H99" i="45"/>
  <c r="H98" i="45"/>
  <c r="H97" i="45"/>
  <c r="H96" i="45"/>
  <c r="H95" i="45"/>
  <c r="H94" i="45"/>
  <c r="H93" i="45"/>
  <c r="H92" i="45"/>
  <c r="H91" i="45"/>
  <c r="H90" i="45"/>
  <c r="H89" i="45"/>
  <c r="H88" i="45"/>
  <c r="H87" i="45"/>
  <c r="H86" i="45"/>
  <c r="H85" i="45"/>
  <c r="H84" i="45"/>
  <c r="H83" i="45"/>
  <c r="H82" i="45"/>
  <c r="H81" i="45"/>
  <c r="H80" i="45"/>
  <c r="H79" i="45"/>
  <c r="H78" i="45"/>
  <c r="H77" i="45"/>
  <c r="H76" i="45"/>
  <c r="H75" i="45"/>
  <c r="H74" i="45"/>
  <c r="H73" i="45"/>
  <c r="H72" i="45"/>
  <c r="H71" i="45"/>
  <c r="H70" i="45"/>
  <c r="H69" i="45"/>
  <c r="H68" i="45"/>
  <c r="H67" i="45"/>
  <c r="H66" i="45"/>
  <c r="H65" i="45"/>
  <c r="H64" i="45"/>
  <c r="H63" i="45"/>
  <c r="H62" i="45"/>
  <c r="H61" i="45"/>
  <c r="H60" i="45"/>
  <c r="H59" i="45"/>
  <c r="H58" i="45"/>
  <c r="H57" i="45"/>
  <c r="H56" i="45"/>
  <c r="H55" i="45"/>
  <c r="H54" i="45"/>
  <c r="H53" i="45"/>
  <c r="H52" i="45"/>
  <c r="H51" i="45"/>
  <c r="H50" i="45"/>
  <c r="H49" i="45"/>
  <c r="H48" i="45"/>
  <c r="H47" i="45"/>
  <c r="H46" i="45"/>
  <c r="H45" i="45"/>
  <c r="H44" i="45"/>
  <c r="H43" i="45"/>
  <c r="H42" i="45"/>
  <c r="H41" i="45"/>
  <c r="H40" i="45"/>
  <c r="H39" i="45"/>
  <c r="H38" i="45"/>
  <c r="H37" i="45"/>
  <c r="H36" i="45"/>
  <c r="H35" i="45"/>
  <c r="H34" i="45"/>
  <c r="H33" i="45"/>
  <c r="H32" i="45"/>
  <c r="H31" i="45"/>
  <c r="H30" i="45"/>
  <c r="H29" i="45"/>
  <c r="H28" i="45"/>
  <c r="H27" i="45"/>
  <c r="H26" i="45"/>
  <c r="H25" i="45"/>
  <c r="H24" i="45"/>
  <c r="H23" i="45"/>
  <c r="H22" i="45"/>
  <c r="H21" i="45"/>
  <c r="H20" i="45"/>
  <c r="H19" i="45"/>
  <c r="H18" i="45"/>
  <c r="H17" i="45"/>
  <c r="H16" i="45"/>
  <c r="H15" i="45"/>
  <c r="H14" i="45"/>
  <c r="H13" i="45"/>
  <c r="H12" i="45"/>
  <c r="H11" i="45"/>
  <c r="H10" i="45"/>
  <c r="H9" i="45"/>
  <c r="A3" i="45"/>
  <c r="A2" i="45"/>
  <c r="A1" i="45"/>
  <c r="G1408" i="4"/>
  <c r="G1407" i="4"/>
  <c r="G1406" i="4"/>
  <c r="G1405" i="4"/>
  <c r="G1404" i="4"/>
  <c r="G1403" i="4"/>
  <c r="G1402" i="4"/>
  <c r="G1401" i="4"/>
  <c r="G1400" i="4"/>
  <c r="G1399" i="4"/>
  <c r="G1398" i="4"/>
  <c r="G1397" i="4"/>
  <c r="G1396" i="4"/>
  <c r="G1395" i="4"/>
  <c r="G1394" i="4"/>
  <c r="G1393" i="4"/>
  <c r="G1392" i="4"/>
  <c r="G1391" i="4"/>
  <c r="G1390" i="4"/>
  <c r="G1389" i="4"/>
  <c r="G1388" i="4"/>
  <c r="G1387" i="4"/>
  <c r="G1386" i="4"/>
  <c r="G1385" i="4"/>
  <c r="G1384" i="4"/>
  <c r="G1383" i="4"/>
  <c r="G1382" i="4"/>
  <c r="G1381" i="4"/>
  <c r="G1380" i="4"/>
  <c r="G1379" i="4"/>
  <c r="G1378" i="4"/>
  <c r="G1377" i="4"/>
  <c r="G1376" i="4"/>
  <c r="G1375" i="4"/>
  <c r="G1374" i="4"/>
  <c r="G1373" i="4"/>
  <c r="G1372" i="4"/>
  <c r="G1371" i="4"/>
  <c r="G1370" i="4"/>
  <c r="G1369" i="4"/>
  <c r="G1368" i="4"/>
  <c r="G1367" i="4"/>
  <c r="G1366" i="4"/>
  <c r="G1365" i="4"/>
  <c r="G1364" i="4"/>
  <c r="G1363" i="4"/>
  <c r="G1362" i="4"/>
  <c r="G1361" i="4"/>
  <c r="G1360" i="4"/>
  <c r="G1359" i="4"/>
  <c r="G1358" i="4"/>
  <c r="G1357" i="4"/>
  <c r="G1356" i="4"/>
  <c r="G1355" i="4"/>
  <c r="G1354" i="4"/>
  <c r="G1353" i="4"/>
  <c r="G1352" i="4"/>
  <c r="G1351" i="4"/>
  <c r="G1350" i="4"/>
  <c r="G1349" i="4"/>
  <c r="G1348" i="4"/>
  <c r="G1347" i="4"/>
  <c r="G1346" i="4"/>
  <c r="G1345" i="4"/>
  <c r="G1344" i="4"/>
  <c r="G1343" i="4"/>
  <c r="G1342" i="4"/>
  <c r="G1341" i="4"/>
  <c r="G1340" i="4"/>
  <c r="G1339" i="4"/>
  <c r="G1338" i="4"/>
  <c r="G1337" i="4"/>
  <c r="G1336" i="4"/>
  <c r="G1335" i="4"/>
  <c r="G1334" i="4"/>
  <c r="G1333" i="4"/>
  <c r="G1332" i="4"/>
  <c r="G1331" i="4"/>
  <c r="G1330" i="4"/>
  <c r="G1329" i="4"/>
  <c r="G1328" i="4"/>
  <c r="G1327" i="4"/>
  <c r="G1326" i="4"/>
  <c r="G1325" i="4"/>
  <c r="G1324" i="4"/>
  <c r="G1323" i="4"/>
  <c r="G1322" i="4"/>
  <c r="G1321" i="4"/>
  <c r="G1320" i="4"/>
  <c r="G1319" i="4"/>
  <c r="G1318" i="4"/>
  <c r="G1317" i="4"/>
  <c r="G1316" i="4"/>
  <c r="G1315" i="4"/>
  <c r="G1314" i="4"/>
  <c r="G1313" i="4"/>
  <c r="G1312" i="4"/>
  <c r="G1311" i="4"/>
  <c r="G1310" i="4"/>
  <c r="G1309" i="4"/>
  <c r="G1308" i="4"/>
  <c r="G1307" i="4"/>
  <c r="G1306" i="4"/>
  <c r="G1305" i="4"/>
  <c r="G1304" i="4"/>
  <c r="G1303" i="4"/>
  <c r="G1302" i="4"/>
  <c r="G1301" i="4"/>
  <c r="G1300" i="4"/>
  <c r="G1299" i="4"/>
  <c r="G1298" i="4"/>
  <c r="G1297" i="4"/>
  <c r="G1296" i="4"/>
  <c r="G1295" i="4"/>
  <c r="G1294" i="4"/>
  <c r="G1293" i="4"/>
  <c r="G1292" i="4"/>
  <c r="G1291" i="4"/>
  <c r="G1290" i="4"/>
  <c r="G1289" i="4"/>
  <c r="G1288" i="4"/>
  <c r="G1287" i="4"/>
  <c r="G1286" i="4"/>
  <c r="G1285" i="4"/>
  <c r="G1284" i="4"/>
  <c r="G1283" i="4"/>
  <c r="G1282" i="4"/>
  <c r="G1281" i="4"/>
  <c r="G1280" i="4"/>
  <c r="G1279" i="4"/>
  <c r="G1278" i="4"/>
  <c r="G1277" i="4"/>
  <c r="G1276" i="4"/>
  <c r="G1275" i="4"/>
  <c r="G1274" i="4"/>
  <c r="G1273" i="4"/>
  <c r="G1272" i="4"/>
  <c r="G1271" i="4"/>
  <c r="G1270" i="4"/>
  <c r="G1269" i="4"/>
  <c r="G1268" i="4"/>
  <c r="G1267" i="4"/>
  <c r="G1266" i="4"/>
  <c r="G1265" i="4"/>
  <c r="G1264" i="4"/>
  <c r="G1263" i="4"/>
  <c r="G1262" i="4"/>
  <c r="G1261" i="4"/>
  <c r="G1260" i="4"/>
  <c r="G1259" i="4"/>
  <c r="G6" i="52" l="1"/>
  <c r="F6" i="52"/>
  <c r="G6" i="12"/>
  <c r="F8" i="35"/>
  <c r="F7" i="35"/>
  <c r="G8" i="6"/>
  <c r="G9" i="6"/>
  <c r="F8" i="6"/>
  <c r="F9" i="6"/>
  <c r="F8" i="18"/>
  <c r="F7" i="18" s="1"/>
  <c r="E7" i="53"/>
  <c r="E8" i="53"/>
  <c r="G1258" i="4"/>
  <c r="G1257" i="4"/>
  <c r="G1256" i="4"/>
  <c r="G1255" i="4"/>
  <c r="G1254" i="4"/>
  <c r="G1253" i="4"/>
  <c r="G1252" i="4"/>
  <c r="G1251" i="4"/>
  <c r="G1250" i="4"/>
  <c r="G1249" i="4"/>
  <c r="G1248" i="4"/>
  <c r="G1247" i="4"/>
  <c r="G1246" i="4"/>
  <c r="G1245" i="4"/>
  <c r="G1244" i="4"/>
  <c r="G1243" i="4"/>
  <c r="G1242" i="4"/>
  <c r="G1241" i="4"/>
  <c r="G1240" i="4"/>
  <c r="G1239" i="4"/>
  <c r="G1238" i="4"/>
  <c r="G1237" i="4"/>
  <c r="G1236" i="4"/>
  <c r="G1235" i="4"/>
  <c r="G1234" i="4"/>
  <c r="G1233" i="4"/>
  <c r="G1232" i="4"/>
  <c r="G1231" i="4"/>
  <c r="G1230" i="4"/>
  <c r="G1229" i="4"/>
  <c r="G1228" i="4"/>
  <c r="G1227" i="4"/>
  <c r="G1226" i="4"/>
  <c r="G1225" i="4"/>
  <c r="G1224" i="4"/>
  <c r="G1223" i="4"/>
  <c r="G1222" i="4"/>
  <c r="G1221" i="4"/>
  <c r="G1220" i="4"/>
  <c r="G1219" i="4"/>
  <c r="G1218" i="4"/>
  <c r="G1217" i="4"/>
  <c r="G1216" i="4"/>
  <c r="G1215" i="4"/>
  <c r="G1214" i="4"/>
  <c r="G1213" i="4"/>
  <c r="G1212" i="4"/>
  <c r="G1211" i="4"/>
  <c r="G1210" i="4"/>
  <c r="G1209" i="4"/>
  <c r="G1208" i="4"/>
  <c r="G1207" i="4"/>
  <c r="G1206" i="4"/>
  <c r="G1205" i="4"/>
  <c r="G1204" i="4"/>
  <c r="G1203" i="4"/>
  <c r="G1202" i="4"/>
  <c r="G1201" i="4"/>
  <c r="G1200" i="4"/>
  <c r="G1199" i="4"/>
  <c r="G1198" i="4"/>
  <c r="G1197" i="4"/>
  <c r="G1196" i="4"/>
  <c r="G1195" i="4"/>
  <c r="G1194" i="4"/>
  <c r="G1193" i="4"/>
  <c r="G1192" i="4"/>
  <c r="G1191" i="4"/>
  <c r="G1190" i="4"/>
  <c r="G1189" i="4"/>
  <c r="G1188" i="4"/>
  <c r="G1187" i="4"/>
  <c r="G1186" i="4"/>
  <c r="G1185" i="4"/>
  <c r="G1184" i="4"/>
  <c r="G1183" i="4"/>
  <c r="G1182" i="4"/>
  <c r="G1181" i="4"/>
  <c r="G1180" i="4"/>
  <c r="G1179" i="4"/>
  <c r="G1178" i="4"/>
  <c r="G1177" i="4"/>
  <c r="G1176" i="4"/>
  <c r="G1175" i="4"/>
  <c r="G1174" i="4"/>
  <c r="G1173" i="4"/>
  <c r="G1172" i="4"/>
  <c r="G1171" i="4"/>
  <c r="G1170" i="4"/>
  <c r="G1169" i="4"/>
  <c r="G1168" i="4"/>
  <c r="G1167" i="4"/>
  <c r="G1166" i="4"/>
  <c r="G1165" i="4"/>
  <c r="G1164" i="4"/>
  <c r="G1163" i="4"/>
  <c r="G1162" i="4"/>
  <c r="G1161" i="4"/>
  <c r="G1160" i="4"/>
  <c r="G1159" i="4"/>
  <c r="G1158" i="4"/>
  <c r="G1157" i="4"/>
  <c r="G1156" i="4"/>
  <c r="G1155" i="4"/>
  <c r="G1154" i="4"/>
  <c r="G1153" i="4"/>
  <c r="G1152" i="4"/>
  <c r="G1151" i="4"/>
  <c r="G1150" i="4"/>
  <c r="G1149" i="4"/>
  <c r="G1148" i="4"/>
  <c r="G1147" i="4"/>
  <c r="G1146" i="4"/>
  <c r="G1145" i="4"/>
  <c r="G1144" i="4"/>
  <c r="G1143" i="4"/>
  <c r="G1142" i="4"/>
  <c r="G1141" i="4"/>
  <c r="G1140" i="4"/>
  <c r="G1139" i="4"/>
  <c r="G1138" i="4"/>
  <c r="G1137" i="4"/>
  <c r="G1136" i="4"/>
  <c r="G1135" i="4"/>
  <c r="G1134" i="4"/>
  <c r="G1133" i="4"/>
  <c r="G1132" i="4"/>
  <c r="G1131" i="4"/>
  <c r="G1130" i="4"/>
  <c r="G1129" i="4"/>
  <c r="G1128" i="4"/>
  <c r="G1127" i="4"/>
  <c r="G1126" i="4"/>
  <c r="G1125" i="4"/>
  <c r="G1124" i="4"/>
  <c r="G1123" i="4"/>
  <c r="G1122" i="4"/>
  <c r="G1121" i="4"/>
  <c r="G1120" i="4"/>
  <c r="G1119" i="4"/>
  <c r="G1118" i="4"/>
  <c r="G1117" i="4"/>
  <c r="G1116" i="4"/>
  <c r="G1115" i="4"/>
  <c r="G1114" i="4"/>
  <c r="G1113" i="4"/>
  <c r="G1112" i="4"/>
  <c r="G1111" i="4"/>
  <c r="G1110" i="4"/>
  <c r="G1109" i="4"/>
  <c r="G1108" i="4"/>
  <c r="G1107" i="4"/>
  <c r="G1106" i="4"/>
  <c r="G1105" i="4"/>
  <c r="G1104" i="4"/>
  <c r="G1103" i="4"/>
  <c r="G1102" i="4"/>
  <c r="G1101" i="4"/>
  <c r="G1100" i="4"/>
  <c r="G1099" i="4"/>
  <c r="G1098" i="4"/>
  <c r="G1097" i="4"/>
  <c r="G1096" i="4"/>
  <c r="G1095" i="4"/>
  <c r="G1094" i="4"/>
  <c r="G1093" i="4"/>
  <c r="G1092" i="4"/>
  <c r="G1091" i="4"/>
  <c r="G1090" i="4"/>
  <c r="G1089" i="4"/>
  <c r="G1088" i="4"/>
  <c r="G1087" i="4"/>
  <c r="G1086" i="4"/>
  <c r="G1085" i="4"/>
  <c r="G1084" i="4"/>
  <c r="G1083" i="4"/>
  <c r="G1082" i="4"/>
  <c r="G1081" i="4"/>
  <c r="G1080" i="4"/>
  <c r="G1079" i="4"/>
  <c r="G1078" i="4"/>
  <c r="G1077" i="4"/>
  <c r="G1076" i="4"/>
  <c r="G1075" i="4"/>
  <c r="G1074" i="4"/>
  <c r="G1073" i="4"/>
  <c r="G1072" i="4"/>
  <c r="G1071" i="4"/>
  <c r="G1070" i="4"/>
  <c r="G1069" i="4"/>
  <c r="G1068" i="4"/>
  <c r="G1067" i="4"/>
  <c r="G1066" i="4"/>
  <c r="G1065" i="4"/>
  <c r="G1064" i="4"/>
  <c r="G1063" i="4"/>
  <c r="G1062" i="4"/>
  <c r="G1061" i="4"/>
  <c r="G1060" i="4"/>
  <c r="G1059" i="4"/>
  <c r="G1058" i="4"/>
  <c r="G1057" i="4"/>
  <c r="G1056" i="4"/>
  <c r="G1055" i="4"/>
  <c r="G1054" i="4"/>
  <c r="G1053" i="4"/>
  <c r="G1052" i="4"/>
  <c r="G1051" i="4"/>
  <c r="G1050" i="4"/>
  <c r="G1049" i="4"/>
  <c r="G1048" i="4"/>
  <c r="G1047" i="4"/>
  <c r="G1046" i="4"/>
  <c r="G1045" i="4"/>
  <c r="G1044" i="4"/>
  <c r="G1043" i="4"/>
  <c r="G1042" i="4"/>
  <c r="G1041" i="4"/>
  <c r="G1040" i="4"/>
  <c r="G1039" i="4"/>
  <c r="G1038" i="4"/>
  <c r="G1037" i="4"/>
  <c r="G1036" i="4"/>
  <c r="G1035" i="4"/>
  <c r="G1034" i="4"/>
  <c r="G1033" i="4"/>
  <c r="G1032" i="4"/>
  <c r="G1031" i="4"/>
  <c r="G1030" i="4"/>
  <c r="G1029" i="4"/>
  <c r="G1028" i="4"/>
  <c r="G1027" i="4"/>
  <c r="G1026" i="4"/>
  <c r="G1025" i="4"/>
  <c r="G1024" i="4"/>
  <c r="G1023" i="4"/>
  <c r="G1022" i="4"/>
  <c r="G1021" i="4"/>
  <c r="G1020" i="4"/>
  <c r="G1019" i="4"/>
  <c r="G1018" i="4"/>
  <c r="G1017" i="4"/>
  <c r="G1016" i="4"/>
  <c r="G1015" i="4"/>
  <c r="G1014" i="4"/>
  <c r="G1013" i="4"/>
  <c r="G1012" i="4"/>
  <c r="G1011" i="4"/>
  <c r="G1010" i="4"/>
  <c r="G1009" i="4"/>
  <c r="G1008" i="4"/>
  <c r="G1007" i="4"/>
  <c r="G1006" i="4"/>
  <c r="G1005" i="4"/>
  <c r="G1004" i="4"/>
  <c r="G1003" i="4"/>
  <c r="G1002" i="4"/>
  <c r="G1001" i="4"/>
  <c r="G1000" i="4"/>
  <c r="G999" i="4"/>
  <c r="G998" i="4"/>
  <c r="G997" i="4"/>
  <c r="G996" i="4"/>
  <c r="G995" i="4"/>
  <c r="G994" i="4"/>
  <c r="G993" i="4"/>
  <c r="G992" i="4"/>
  <c r="G991" i="4"/>
  <c r="G990" i="4"/>
  <c r="G989" i="4"/>
  <c r="G988" i="4"/>
  <c r="G987" i="4"/>
  <c r="G986" i="4"/>
  <c r="G985" i="4"/>
  <c r="G984" i="4"/>
  <c r="G983" i="4"/>
  <c r="G982" i="4"/>
  <c r="G981" i="4"/>
  <c r="G980" i="4"/>
  <c r="G979" i="4"/>
  <c r="G978" i="4"/>
  <c r="G977" i="4"/>
  <c r="G976" i="4"/>
  <c r="G975" i="4"/>
  <c r="G974" i="4"/>
  <c r="G973" i="4"/>
  <c r="G972" i="4"/>
  <c r="G971" i="4"/>
  <c r="G970" i="4"/>
  <c r="G969" i="4"/>
  <c r="G968" i="4"/>
  <c r="G967" i="4"/>
  <c r="G966" i="4"/>
  <c r="G965" i="4"/>
  <c r="G964" i="4"/>
  <c r="G963" i="4"/>
  <c r="G962" i="4"/>
  <c r="G961" i="4"/>
  <c r="G960" i="4"/>
  <c r="G959" i="4"/>
  <c r="G958" i="4"/>
  <c r="G957" i="4"/>
  <c r="G956" i="4"/>
  <c r="G955" i="4"/>
  <c r="G954" i="4"/>
  <c r="G953" i="4"/>
  <c r="G952" i="4"/>
  <c r="G951" i="4"/>
  <c r="G950" i="4"/>
  <c r="G949" i="4"/>
  <c r="G948" i="4"/>
  <c r="G947" i="4"/>
  <c r="G946" i="4"/>
  <c r="G945" i="4"/>
  <c r="G944" i="4"/>
  <c r="G943" i="4"/>
  <c r="G942" i="4"/>
  <c r="G941" i="4"/>
  <c r="G940" i="4"/>
  <c r="G939" i="4"/>
  <c r="G938" i="4"/>
  <c r="G937" i="4"/>
  <c r="G936" i="4"/>
  <c r="G935" i="4"/>
  <c r="G934" i="4"/>
  <c r="G933" i="4"/>
  <c r="G932" i="4"/>
  <c r="G931" i="4"/>
  <c r="G930" i="4"/>
  <c r="G929" i="4"/>
  <c r="G928" i="4"/>
  <c r="G927" i="4"/>
  <c r="G926" i="4"/>
  <c r="G925" i="4"/>
  <c r="G924" i="4"/>
  <c r="G923" i="4"/>
  <c r="G922" i="4"/>
  <c r="G921" i="4"/>
  <c r="G920" i="4"/>
  <c r="G919" i="4"/>
  <c r="G918" i="4"/>
  <c r="G917" i="4"/>
  <c r="G916" i="4"/>
  <c r="G915" i="4"/>
  <c r="G914" i="4"/>
  <c r="G913" i="4"/>
  <c r="G912" i="4"/>
  <c r="G911" i="4"/>
  <c r="G910" i="4"/>
  <c r="G909" i="4"/>
  <c r="G908" i="4"/>
  <c r="G907" i="4"/>
  <c r="G906" i="4"/>
  <c r="G905" i="4"/>
  <c r="G904" i="4"/>
  <c r="G903" i="4"/>
  <c r="G902" i="4"/>
  <c r="G901" i="4"/>
  <c r="G900" i="4"/>
  <c r="G899" i="4"/>
  <c r="G898" i="4"/>
  <c r="G897" i="4"/>
  <c r="G896" i="4"/>
  <c r="G895" i="4"/>
  <c r="G894" i="4"/>
  <c r="G893" i="4"/>
  <c r="G892" i="4"/>
  <c r="G891" i="4"/>
  <c r="G890" i="4"/>
  <c r="G889" i="4"/>
  <c r="G888" i="4"/>
  <c r="G887" i="4"/>
  <c r="G886" i="4"/>
  <c r="G885" i="4"/>
  <c r="G884" i="4"/>
  <c r="G883" i="4"/>
  <c r="G882" i="4"/>
  <c r="G881" i="4"/>
  <c r="G880" i="4"/>
  <c r="G879" i="4"/>
  <c r="G878" i="4"/>
  <c r="G877" i="4"/>
  <c r="G876" i="4"/>
  <c r="G875" i="4"/>
  <c r="G874" i="4"/>
  <c r="G873" i="4"/>
  <c r="G872" i="4"/>
  <c r="G871" i="4"/>
  <c r="G870" i="4"/>
  <c r="G869" i="4"/>
  <c r="G868" i="4"/>
  <c r="G867" i="4"/>
  <c r="G866" i="4"/>
  <c r="G865" i="4"/>
  <c r="G864" i="4"/>
  <c r="G863" i="4"/>
  <c r="G862" i="4"/>
  <c r="G861" i="4"/>
  <c r="G860" i="4"/>
  <c r="G859" i="4"/>
  <c r="G858" i="4"/>
  <c r="G857" i="4"/>
  <c r="G856" i="4"/>
  <c r="G855" i="4"/>
  <c r="G854" i="4"/>
  <c r="G853" i="4"/>
  <c r="G852" i="4"/>
  <c r="G851" i="4"/>
  <c r="G850" i="4"/>
  <c r="G849" i="4"/>
  <c r="G848" i="4"/>
  <c r="G847" i="4"/>
  <c r="G846" i="4"/>
  <c r="G845" i="4"/>
  <c r="G844" i="4"/>
  <c r="G843" i="4"/>
  <c r="G842" i="4"/>
  <c r="G841" i="4"/>
  <c r="G840" i="4"/>
  <c r="G839" i="4"/>
  <c r="G838" i="4"/>
  <c r="G837" i="4"/>
  <c r="G836" i="4"/>
  <c r="G835" i="4"/>
  <c r="G834" i="4"/>
  <c r="G833" i="4"/>
  <c r="G832" i="4"/>
  <c r="G831" i="4"/>
  <c r="G830" i="4"/>
  <c r="G829" i="4"/>
  <c r="G828" i="4"/>
  <c r="G827" i="4"/>
  <c r="G826" i="4"/>
  <c r="G825" i="4"/>
  <c r="G824" i="4"/>
  <c r="G823" i="4"/>
  <c r="G822" i="4"/>
  <c r="G821" i="4"/>
  <c r="G820" i="4"/>
  <c r="G819" i="4"/>
  <c r="G818" i="4"/>
  <c r="G817" i="4"/>
  <c r="G816" i="4"/>
  <c r="G815" i="4"/>
  <c r="G814" i="4"/>
  <c r="G813" i="4"/>
  <c r="G812" i="4"/>
  <c r="G811" i="4"/>
  <c r="G810" i="4"/>
  <c r="G809" i="4"/>
  <c r="G808" i="4"/>
  <c r="G807" i="4"/>
  <c r="G806" i="4"/>
  <c r="G805" i="4"/>
  <c r="G804" i="4"/>
  <c r="G803" i="4"/>
  <c r="G802" i="4"/>
  <c r="G801" i="4"/>
  <c r="G800" i="4"/>
  <c r="G799" i="4"/>
  <c r="G798" i="4"/>
  <c r="G797" i="4"/>
  <c r="G796" i="4"/>
  <c r="G795" i="4"/>
  <c r="G794" i="4"/>
  <c r="G793" i="4"/>
  <c r="G792" i="4"/>
  <c r="G791" i="4"/>
  <c r="G790" i="4"/>
  <c r="G789" i="4"/>
  <c r="G788" i="4"/>
  <c r="G787" i="4"/>
  <c r="G786" i="4"/>
  <c r="G785" i="4"/>
  <c r="G784" i="4"/>
  <c r="G783" i="4"/>
  <c r="G782" i="4"/>
  <c r="G781" i="4"/>
  <c r="G780" i="4"/>
  <c r="G779" i="4"/>
  <c r="G778" i="4"/>
  <c r="G777" i="4"/>
  <c r="G776" i="4"/>
  <c r="G775" i="4"/>
  <c r="G774" i="4"/>
  <c r="G773" i="4"/>
  <c r="G772" i="4"/>
  <c r="G771" i="4"/>
  <c r="G770" i="4"/>
  <c r="G769" i="4"/>
  <c r="G768" i="4"/>
  <c r="G767" i="4"/>
  <c r="G766" i="4"/>
  <c r="G765" i="4"/>
  <c r="G764" i="4"/>
  <c r="G763" i="4"/>
  <c r="G762" i="4"/>
  <c r="G761" i="4"/>
  <c r="G760" i="4"/>
  <c r="G759" i="4"/>
  <c r="G758" i="4"/>
  <c r="G757" i="4"/>
  <c r="G756" i="4"/>
  <c r="G755" i="4"/>
  <c r="G754" i="4"/>
  <c r="G753" i="4"/>
  <c r="G752" i="4"/>
  <c r="G751" i="4"/>
  <c r="G750" i="4"/>
  <c r="G749" i="4"/>
  <c r="G748" i="4"/>
  <c r="G747" i="4"/>
  <c r="G746" i="4"/>
  <c r="G745" i="4"/>
  <c r="G744" i="4"/>
  <c r="G743" i="4"/>
  <c r="G742" i="4"/>
  <c r="G741" i="4"/>
  <c r="G740" i="4"/>
  <c r="G739" i="4"/>
  <c r="G738" i="4"/>
  <c r="G737" i="4"/>
  <c r="G736" i="4"/>
  <c r="G735" i="4"/>
  <c r="G734" i="4"/>
  <c r="G733" i="4"/>
  <c r="G732" i="4"/>
  <c r="G731" i="4"/>
  <c r="G730" i="4"/>
  <c r="G729" i="4"/>
  <c r="G728" i="4"/>
  <c r="G727" i="4"/>
  <c r="G726" i="4" l="1"/>
  <c r="G725" i="4"/>
  <c r="G724" i="4"/>
  <c r="G723" i="4"/>
  <c r="G722" i="4"/>
  <c r="G721" i="4"/>
  <c r="G720" i="4"/>
  <c r="G719" i="4"/>
  <c r="G718" i="4" l="1"/>
  <c r="G717" i="4"/>
  <c r="G716" i="4"/>
  <c r="G715" i="4"/>
  <c r="G714" i="4"/>
  <c r="G713" i="4"/>
  <c r="G712" i="4"/>
  <c r="G711" i="4"/>
  <c r="G710" i="4"/>
  <c r="G709" i="4"/>
  <c r="G708" i="4"/>
  <c r="G707" i="4"/>
  <c r="G706" i="4"/>
  <c r="G705" i="4"/>
  <c r="G704" i="4"/>
  <c r="G703" i="4"/>
  <c r="G702" i="4"/>
  <c r="G701" i="4"/>
  <c r="G700" i="4"/>
  <c r="G699" i="4"/>
  <c r="G698" i="4"/>
  <c r="G697" i="4"/>
  <c r="G696" i="4"/>
  <c r="G695" i="4"/>
  <c r="G694" i="4"/>
  <c r="G693" i="4"/>
  <c r="G692" i="4"/>
  <c r="G691" i="4"/>
  <c r="G690" i="4"/>
  <c r="G689" i="4"/>
  <c r="G688" i="4"/>
  <c r="G687" i="4"/>
  <c r="G686" i="4"/>
  <c r="G685" i="4"/>
  <c r="G684" i="4"/>
  <c r="G683" i="4"/>
  <c r="G682" i="4"/>
  <c r="G681" i="4"/>
  <c r="G680" i="4"/>
  <c r="G679" i="4"/>
  <c r="G678" i="4"/>
  <c r="G677" i="4"/>
  <c r="G676" i="4"/>
  <c r="G675" i="4"/>
  <c r="G674" i="4"/>
  <c r="G673" i="4"/>
  <c r="G672" i="4"/>
  <c r="G671" i="4"/>
  <c r="G670" i="4"/>
  <c r="G669" i="4"/>
  <c r="G668" i="4"/>
  <c r="G667" i="4"/>
  <c r="G666" i="4"/>
  <c r="G665" i="4"/>
  <c r="G664" i="4"/>
  <c r="G663" i="4"/>
  <c r="G662" i="4"/>
  <c r="G661" i="4"/>
  <c r="G660" i="4"/>
  <c r="G659" i="4"/>
  <c r="G658" i="4"/>
  <c r="G657" i="4"/>
  <c r="G656" i="4"/>
  <c r="G655" i="4"/>
  <c r="G654" i="4"/>
  <c r="G653" i="4"/>
  <c r="G652" i="4"/>
  <c r="G651" i="4"/>
  <c r="G650" i="4"/>
  <c r="G649" i="4"/>
  <c r="G648" i="4"/>
  <c r="G647" i="4"/>
  <c r="G646" i="4"/>
  <c r="G645" i="4"/>
  <c r="G644" i="4"/>
  <c r="G643" i="4"/>
  <c r="G642" i="4"/>
  <c r="G641" i="4"/>
  <c r="G640" i="4"/>
  <c r="G639" i="4"/>
  <c r="G638" i="4"/>
  <c r="G637" i="4"/>
  <c r="G636" i="4"/>
  <c r="G635" i="4"/>
  <c r="G634" i="4"/>
  <c r="G633" i="4"/>
  <c r="G632" i="4"/>
  <c r="G631" i="4"/>
  <c r="G630" i="4"/>
  <c r="G629" i="4"/>
  <c r="G628" i="4"/>
  <c r="G627" i="4"/>
  <c r="G626" i="4"/>
  <c r="G625" i="4"/>
  <c r="G624" i="4"/>
  <c r="G623" i="4"/>
  <c r="G622" i="4"/>
  <c r="G621" i="4"/>
  <c r="G620" i="4"/>
  <c r="G619" i="4"/>
  <c r="G618" i="4"/>
  <c r="G617" i="4"/>
  <c r="G616" i="4"/>
  <c r="G615" i="4"/>
  <c r="G614" i="4"/>
  <c r="G613" i="4"/>
  <c r="G612" i="4"/>
  <c r="G611" i="4"/>
  <c r="G610" i="4"/>
  <c r="G609" i="4"/>
  <c r="G608" i="4"/>
  <c r="G607" i="4"/>
  <c r="G606" i="4"/>
  <c r="G605" i="4"/>
  <c r="G604" i="4"/>
  <c r="G603" i="4"/>
  <c r="G602" i="4"/>
  <c r="G601" i="4"/>
  <c r="G600" i="4"/>
  <c r="G599" i="4"/>
  <c r="G598" i="4"/>
  <c r="G597" i="4"/>
  <c r="G596" i="4"/>
  <c r="G595" i="4"/>
  <c r="G594" i="4"/>
  <c r="G593" i="4"/>
  <c r="G592" i="4"/>
  <c r="G591" i="4"/>
  <c r="G590" i="4"/>
  <c r="G589" i="4"/>
  <c r="G588" i="4"/>
  <c r="G587" i="4"/>
  <c r="G586" i="4"/>
  <c r="G585" i="4"/>
  <c r="G584" i="4"/>
  <c r="G583" i="4"/>
  <c r="G582" i="4"/>
  <c r="G581" i="4"/>
  <c r="G580" i="4"/>
  <c r="G579" i="4"/>
  <c r="G578" i="4"/>
  <c r="G577" i="4"/>
  <c r="G576" i="4"/>
  <c r="G575" i="4"/>
  <c r="G574" i="4"/>
  <c r="G573" i="4"/>
  <c r="G572" i="4"/>
  <c r="G571" i="4"/>
  <c r="G570" i="4"/>
  <c r="G569" i="4"/>
  <c r="G568" i="4"/>
  <c r="G567" i="4"/>
  <c r="G566" i="4"/>
  <c r="G565" i="4"/>
  <c r="G564" i="4"/>
  <c r="G563" i="4"/>
  <c r="G562" i="4"/>
  <c r="G561" i="4"/>
  <c r="G560" i="4"/>
  <c r="G559" i="4"/>
  <c r="G558" i="4"/>
  <c r="G557" i="4"/>
  <c r="G556" i="4"/>
  <c r="G555" i="4"/>
  <c r="G554" i="4"/>
  <c r="G553" i="4"/>
  <c r="G552" i="4"/>
  <c r="G551" i="4"/>
  <c r="G550" i="4"/>
  <c r="G549" i="4"/>
  <c r="G548" i="4"/>
  <c r="G547" i="4"/>
  <c r="G546" i="4"/>
  <c r="G545" i="4"/>
  <c r="G544" i="4"/>
  <c r="G543" i="4"/>
  <c r="G542" i="4"/>
  <c r="G541" i="4"/>
  <c r="G540" i="4"/>
  <c r="G539" i="4"/>
  <c r="G538" i="4"/>
  <c r="G537" i="4"/>
  <c r="G536" i="4"/>
  <c r="G535" i="4"/>
  <c r="G534" i="4"/>
  <c r="G533" i="4"/>
  <c r="G532" i="4"/>
  <c r="G531" i="4"/>
  <c r="G530" i="4"/>
  <c r="G529" i="4"/>
  <c r="G528" i="4"/>
  <c r="G527" i="4"/>
  <c r="G526" i="4"/>
  <c r="G525" i="4"/>
  <c r="G524" i="4"/>
  <c r="G523" i="4"/>
  <c r="G522" i="4"/>
  <c r="G521" i="4"/>
  <c r="G520" i="4"/>
  <c r="G519" i="4"/>
  <c r="G518" i="4"/>
  <c r="G517" i="4"/>
  <c r="G516" i="4"/>
  <c r="G515" i="4"/>
  <c r="G514" i="4"/>
  <c r="G513" i="4"/>
  <c r="G512" i="4"/>
  <c r="G511" i="4"/>
  <c r="G510" i="4"/>
  <c r="G509" i="4"/>
  <c r="G508" i="4"/>
  <c r="G507" i="4"/>
  <c r="G506" i="4"/>
  <c r="G505" i="4"/>
  <c r="G504" i="4"/>
  <c r="G503" i="4"/>
  <c r="G502" i="4"/>
  <c r="G501" i="4"/>
  <c r="G500" i="4"/>
  <c r="G499" i="4"/>
  <c r="G498" i="4"/>
  <c r="G497" i="4"/>
  <c r="G496" i="4"/>
  <c r="G495" i="4"/>
  <c r="G494" i="4"/>
  <c r="G493" i="4"/>
  <c r="G492" i="4"/>
  <c r="G491" i="4"/>
  <c r="G490" i="4"/>
  <c r="G489" i="4"/>
  <c r="G488" i="4"/>
  <c r="G487" i="4"/>
  <c r="G486" i="4"/>
  <c r="G485" i="4"/>
  <c r="G484" i="4"/>
  <c r="G483" i="4"/>
  <c r="G482" i="4"/>
  <c r="G481" i="4"/>
  <c r="G480" i="4"/>
  <c r="G479" i="4"/>
  <c r="G478" i="4"/>
  <c r="G477" i="4"/>
  <c r="G476" i="4"/>
  <c r="G475" i="4"/>
  <c r="G474" i="4"/>
  <c r="G473" i="4"/>
  <c r="G472" i="4"/>
  <c r="G471" i="4"/>
  <c r="G470" i="4"/>
  <c r="G469" i="4"/>
  <c r="G468" i="4"/>
  <c r="G467" i="4"/>
  <c r="G466" i="4"/>
  <c r="G465" i="4"/>
  <c r="G464" i="4"/>
  <c r="G463" i="4"/>
  <c r="G462" i="4"/>
  <c r="G461" i="4"/>
  <c r="G460" i="4"/>
  <c r="G459" i="4"/>
  <c r="G458" i="4"/>
  <c r="G457" i="4"/>
  <c r="G456" i="4"/>
  <c r="G455" i="4"/>
  <c r="G454" i="4"/>
  <c r="G453" i="4"/>
  <c r="G452" i="4"/>
  <c r="G451" i="4"/>
  <c r="G450" i="4"/>
  <c r="G449" i="4"/>
  <c r="G448" i="4"/>
  <c r="G447" i="4"/>
  <c r="G446" i="4"/>
  <c r="G445" i="4"/>
  <c r="G444" i="4"/>
  <c r="G443" i="4"/>
  <c r="G442" i="4"/>
  <c r="G441" i="4"/>
  <c r="G440" i="4"/>
  <c r="G439" i="4"/>
  <c r="G438" i="4"/>
  <c r="G437" i="4"/>
  <c r="G436" i="4"/>
  <c r="G435" i="4"/>
  <c r="G434" i="4"/>
  <c r="G433" i="4"/>
  <c r="G432" i="4"/>
  <c r="G431" i="4"/>
  <c r="G430" i="4"/>
  <c r="G429" i="4"/>
  <c r="G428" i="4"/>
  <c r="G427" i="4"/>
  <c r="G426" i="4"/>
  <c r="G425" i="4"/>
  <c r="G424" i="4"/>
  <c r="G423" i="4"/>
  <c r="G422" i="4"/>
  <c r="G421" i="4"/>
  <c r="G420" i="4"/>
  <c r="G419" i="4"/>
  <c r="G418" i="4"/>
  <c r="G417" i="4"/>
  <c r="G416" i="4"/>
  <c r="G415" i="4"/>
  <c r="G414" i="4"/>
  <c r="G413" i="4"/>
  <c r="G412" i="4"/>
  <c r="G411" i="4"/>
  <c r="G410" i="4"/>
  <c r="G409" i="4"/>
  <c r="G408" i="4"/>
  <c r="G407" i="4"/>
  <c r="G406" i="4"/>
  <c r="G405" i="4"/>
  <c r="G404" i="4"/>
  <c r="G403" i="4"/>
  <c r="G402" i="4"/>
  <c r="G401" i="4"/>
  <c r="G400" i="4"/>
  <c r="G399" i="4"/>
  <c r="G398" i="4"/>
  <c r="G397" i="4"/>
  <c r="G396" i="4"/>
  <c r="G395" i="4"/>
  <c r="G394" i="4"/>
  <c r="G393" i="4"/>
  <c r="G392" i="4"/>
  <c r="G391" i="4"/>
  <c r="G390" i="4"/>
  <c r="G389" i="4"/>
  <c r="G388" i="4"/>
  <c r="G387" i="4"/>
  <c r="G386" i="4"/>
  <c r="G385" i="4"/>
  <c r="G384" i="4"/>
  <c r="G383" i="4"/>
  <c r="G382" i="4"/>
  <c r="G381" i="4"/>
  <c r="G380" i="4"/>
  <c r="G379" i="4"/>
  <c r="G378" i="4"/>
  <c r="G377" i="4"/>
  <c r="G376" i="4"/>
  <c r="G375" i="4"/>
  <c r="G374" i="4"/>
  <c r="G373" i="4"/>
  <c r="G372" i="4"/>
  <c r="G371" i="4"/>
  <c r="G370" i="4"/>
  <c r="G369" i="4"/>
  <c r="G368" i="4"/>
  <c r="G367" i="4"/>
  <c r="G366" i="4"/>
  <c r="G365" i="4"/>
  <c r="G364" i="4"/>
  <c r="G363" i="4"/>
  <c r="G362" i="4"/>
  <c r="G361" i="4"/>
  <c r="G360" i="4"/>
  <c r="G359" i="4"/>
  <c r="G358" i="4"/>
  <c r="G357" i="4"/>
  <c r="G356" i="4"/>
  <c r="G355" i="4"/>
  <c r="G354" i="4"/>
  <c r="G353" i="4"/>
  <c r="G352" i="4"/>
  <c r="G351" i="4"/>
  <c r="G350" i="4"/>
  <c r="G349" i="4"/>
  <c r="G348" i="4"/>
  <c r="G347" i="4"/>
  <c r="G346" i="4"/>
  <c r="G345" i="4"/>
  <c r="G344" i="4"/>
  <c r="G343" i="4"/>
  <c r="G342" i="4"/>
  <c r="G341" i="4"/>
  <c r="G340" i="4"/>
  <c r="G339" i="4"/>
  <c r="G338" i="4"/>
  <c r="G337" i="4"/>
  <c r="G336" i="4"/>
  <c r="G335" i="4"/>
  <c r="G334" i="4"/>
  <c r="G333" i="4"/>
  <c r="G332" i="4"/>
  <c r="G331" i="4"/>
  <c r="G330" i="4"/>
  <c r="G329" i="4"/>
  <c r="G328" i="4"/>
  <c r="G327" i="4"/>
  <c r="G326" i="4"/>
  <c r="G325" i="4"/>
  <c r="G324" i="4"/>
  <c r="G323" i="4"/>
  <c r="G322" i="4"/>
  <c r="G321" i="4"/>
  <c r="G320" i="4"/>
  <c r="G319" i="4"/>
  <c r="G318" i="4"/>
  <c r="G317" i="4"/>
  <c r="G316" i="4"/>
  <c r="G315" i="4"/>
  <c r="G314" i="4"/>
  <c r="G313"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l="1"/>
  <c r="A3" i="4"/>
  <c r="A2" i="4"/>
  <c r="A1" i="4"/>
  <c r="F7" i="62" l="1"/>
  <c r="E6" i="52"/>
  <c r="F6" i="12"/>
  <c r="G7" i="6"/>
  <c r="F6" i="35"/>
  <c r="F7" i="6"/>
  <c r="F6" i="18"/>
  <c r="E6" i="53"/>
  <c r="K280" i="44" l="1"/>
  <c r="J280" i="44"/>
  <c r="I280" i="44" l="1"/>
  <c r="K279" i="44" s="1"/>
  <c r="J279" i="44" s="1"/>
  <c r="K271" i="44"/>
  <c r="J271" i="44"/>
  <c r="I279" i="44" l="1"/>
  <c r="I271" i="44"/>
  <c r="I268" i="44"/>
  <c r="K267" i="44"/>
  <c r="J267" i="44"/>
  <c r="I267" i="44" l="1"/>
  <c r="K266" i="44" s="1"/>
  <c r="J266" i="44" s="1"/>
  <c r="I266" i="44" s="1"/>
  <c r="I262" i="44"/>
  <c r="K260" i="44"/>
  <c r="J260" i="44"/>
  <c r="I260" i="44" s="1"/>
  <c r="K259" i="44" s="1"/>
  <c r="J259" i="44" s="1"/>
  <c r="I259" i="44" s="1"/>
  <c r="K257" i="44"/>
  <c r="J257" i="44"/>
  <c r="I257" i="44"/>
  <c r="K253" i="44"/>
  <c r="J253" i="44"/>
  <c r="I253" i="44"/>
  <c r="I246" i="44"/>
  <c r="K245" i="44"/>
  <c r="J245" i="44"/>
  <c r="I245" i="44" s="1"/>
  <c r="I243" i="44"/>
  <c r="I241" i="44"/>
  <c r="K239" i="44"/>
  <c r="K238" i="44" s="1"/>
  <c r="J239" i="44"/>
  <c r="I239" i="44"/>
  <c r="I238" i="44" s="1"/>
  <c r="J238" i="44"/>
  <c r="K235" i="44"/>
  <c r="J235" i="44"/>
  <c r="I235" i="44"/>
  <c r="K234" i="44" s="1"/>
  <c r="J234" i="44" s="1"/>
  <c r="I234" i="44" s="1"/>
  <c r="I233" i="44"/>
  <c r="K232" i="44"/>
  <c r="J232" i="44"/>
  <c r="K230" i="44"/>
  <c r="J230" i="44"/>
  <c r="I230" i="44"/>
  <c r="K228" i="44"/>
  <c r="J228" i="44"/>
  <c r="I228" i="44"/>
  <c r="K226" i="44"/>
  <c r="J226" i="44"/>
  <c r="I226" i="44"/>
  <c r="K224" i="44"/>
  <c r="J224" i="44"/>
  <c r="I224" i="44"/>
  <c r="I202" i="44"/>
  <c r="I199" i="44" s="1"/>
  <c r="K198" i="44" s="1"/>
  <c r="K199" i="44"/>
  <c r="J199" i="44"/>
  <c r="I192" i="44"/>
  <c r="K151" i="44"/>
  <c r="J151" i="44"/>
  <c r="I151" i="44"/>
  <c r="K150" i="44" s="1"/>
  <c r="K148" i="44"/>
  <c r="J148" i="44"/>
  <c r="I148" i="44"/>
  <c r="K146" i="44"/>
  <c r="J146" i="44"/>
  <c r="I146" i="44"/>
  <c r="K144" i="44"/>
  <c r="J144" i="44"/>
  <c r="I144" i="44"/>
  <c r="K142" i="44"/>
  <c r="J142" i="44"/>
  <c r="I142" i="44"/>
  <c r="J141" i="44"/>
  <c r="I141" i="44"/>
  <c r="K140" i="44"/>
  <c r="J140" i="44" s="1"/>
  <c r="I140" i="44" s="1"/>
  <c r="K138" i="44"/>
  <c r="J138" i="44"/>
  <c r="I138" i="44"/>
  <c r="K136" i="44"/>
  <c r="J136" i="44"/>
  <c r="I136" i="44"/>
  <c r="K134" i="44"/>
  <c r="J134" i="44"/>
  <c r="I134" i="44"/>
  <c r="K132" i="44"/>
  <c r="J132" i="44"/>
  <c r="I132" i="44"/>
  <c r="K130" i="44"/>
  <c r="J130" i="44"/>
  <c r="I130" i="44"/>
  <c r="K127" i="44"/>
  <c r="J127" i="44"/>
  <c r="I127" i="44"/>
  <c r="K125" i="44"/>
  <c r="K124" i="44" s="1"/>
  <c r="J125" i="44"/>
  <c r="I125" i="44"/>
  <c r="J124" i="44"/>
  <c r="I124" i="44"/>
  <c r="J198" i="44" l="1"/>
  <c r="K197" i="44"/>
  <c r="K123" i="44" s="1"/>
  <c r="K129" i="44"/>
  <c r="I232" i="44"/>
  <c r="K256" i="44"/>
  <c r="J256" i="44" s="1"/>
  <c r="I256" i="44" s="1"/>
  <c r="K252" i="44"/>
  <c r="J252" i="44" s="1"/>
  <c r="I252" i="44" s="1"/>
  <c r="K251" i="44" s="1"/>
  <c r="J251" i="44" s="1"/>
  <c r="I251" i="44" s="1"/>
  <c r="J150" i="44"/>
  <c r="K119" i="44"/>
  <c r="J119" i="44"/>
  <c r="I119" i="44"/>
  <c r="K117" i="44"/>
  <c r="J117" i="44"/>
  <c r="I117" i="44"/>
  <c r="K114" i="44"/>
  <c r="J114" i="44"/>
  <c r="I114" i="44"/>
  <c r="K112" i="44"/>
  <c r="J112" i="44"/>
  <c r="I112" i="44"/>
  <c r="K122" i="44" l="1"/>
  <c r="I150" i="44"/>
  <c r="J129" i="44"/>
  <c r="I129" i="44" s="1"/>
  <c r="K111" i="44"/>
  <c r="J111" i="44" s="1"/>
  <c r="I198" i="44"/>
  <c r="J197" i="44"/>
  <c r="I111" i="44"/>
  <c r="K109" i="44"/>
  <c r="J109" i="44"/>
  <c r="I109" i="44"/>
  <c r="K107" i="44"/>
  <c r="J107" i="44"/>
  <c r="I107" i="44"/>
  <c r="K105" i="44"/>
  <c r="J105" i="44"/>
  <c r="I105" i="44"/>
  <c r="K103" i="44"/>
  <c r="J103" i="44"/>
  <c r="I103" i="44"/>
  <c r="K101" i="44"/>
  <c r="J101" i="44"/>
  <c r="I101" i="44"/>
  <c r="K99" i="44"/>
  <c r="K96" i="44" s="1"/>
  <c r="J96" i="44" s="1"/>
  <c r="J99" i="44"/>
  <c r="I99" i="44"/>
  <c r="K97" i="44"/>
  <c r="J97" i="44"/>
  <c r="I97" i="44"/>
  <c r="K93" i="44"/>
  <c r="J93" i="44"/>
  <c r="I93" i="44"/>
  <c r="K91" i="44"/>
  <c r="J91" i="44"/>
  <c r="I91" i="44"/>
  <c r="K90" i="44" s="1"/>
  <c r="K88" i="44"/>
  <c r="J88" i="44"/>
  <c r="I88" i="44"/>
  <c r="K87" i="44" s="1"/>
  <c r="J87" i="44" s="1"/>
  <c r="I87" i="44" s="1"/>
  <c r="I84" i="44"/>
  <c r="I83" i="44" s="1"/>
  <c r="K81" i="44"/>
  <c r="J81" i="44"/>
  <c r="I81" i="44"/>
  <c r="K74" i="44"/>
  <c r="J74" i="44"/>
  <c r="I74" i="44"/>
  <c r="K73" i="44" s="1"/>
  <c r="I73" i="44"/>
  <c r="K72" i="44" s="1"/>
  <c r="K69" i="44"/>
  <c r="J69" i="44"/>
  <c r="I69" i="44"/>
  <c r="K66" i="44" s="1"/>
  <c r="K63" i="44"/>
  <c r="J63" i="44"/>
  <c r="I63" i="44"/>
  <c r="K62" i="44" s="1"/>
  <c r="J62" i="44" s="1"/>
  <c r="I62" i="44" s="1"/>
  <c r="K60" i="44"/>
  <c r="J60" i="44"/>
  <c r="I60" i="44"/>
  <c r="K59" i="44" s="1"/>
  <c r="J59" i="44" s="1"/>
  <c r="I59" i="44" s="1"/>
  <c r="K56" i="44"/>
  <c r="K51" i="44" s="1"/>
  <c r="J56" i="44"/>
  <c r="I56" i="44"/>
  <c r="K54" i="44"/>
  <c r="J54" i="44"/>
  <c r="I54" i="44"/>
  <c r="K52" i="44"/>
  <c r="J52" i="44"/>
  <c r="J51" i="44" s="1"/>
  <c r="I52" i="44"/>
  <c r="I51" i="44" s="1"/>
  <c r="K50" i="44" s="1"/>
  <c r="J50" i="44" s="1"/>
  <c r="I50" i="44" s="1"/>
  <c r="K47" i="44"/>
  <c r="J47" i="44"/>
  <c r="I47" i="44"/>
  <c r="K44" i="44"/>
  <c r="J44" i="44"/>
  <c r="J41" i="44" s="1"/>
  <c r="I44" i="44"/>
  <c r="K42" i="44"/>
  <c r="K41" i="44" s="1"/>
  <c r="J42" i="44"/>
  <c r="I42" i="44"/>
  <c r="I41" i="44" s="1"/>
  <c r="K39" i="44"/>
  <c r="J39" i="44"/>
  <c r="I39" i="44"/>
  <c r="K36" i="44"/>
  <c r="J36" i="44"/>
  <c r="I36" i="44"/>
  <c r="K34" i="44"/>
  <c r="J34" i="44"/>
  <c r="I34" i="44"/>
  <c r="K32" i="44"/>
  <c r="J32" i="44"/>
  <c r="I32" i="44"/>
  <c r="K30" i="44"/>
  <c r="K27" i="44" s="1"/>
  <c r="J30" i="44"/>
  <c r="I30" i="44"/>
  <c r="K28" i="44"/>
  <c r="J28" i="44"/>
  <c r="J27" i="44" s="1"/>
  <c r="I28" i="44"/>
  <c r="I27" i="44"/>
  <c r="K21" i="44"/>
  <c r="J21" i="44"/>
  <c r="I21" i="44"/>
  <c r="K20" i="44" s="1"/>
  <c r="J20" i="44" s="1"/>
  <c r="I20" i="44" s="1"/>
  <c r="K14" i="44"/>
  <c r="J14" i="44"/>
  <c r="I14" i="44"/>
  <c r="K12" i="44"/>
  <c r="J12" i="44"/>
  <c r="I12" i="44"/>
  <c r="A3" i="44"/>
  <c r="A2" i="44"/>
  <c r="A1" i="44"/>
  <c r="A3" i="56"/>
  <c r="I96" i="44" l="1"/>
  <c r="K95" i="44" s="1"/>
  <c r="J95" i="44"/>
  <c r="I95" i="44" s="1"/>
  <c r="J73" i="44"/>
  <c r="J72" i="44" s="1"/>
  <c r="I72" i="44" s="1"/>
  <c r="K80" i="44"/>
  <c r="J80" i="44" s="1"/>
  <c r="I80" i="44" s="1"/>
  <c r="I197" i="44"/>
  <c r="K38" i="44"/>
  <c r="J38" i="44" s="1"/>
  <c r="I38" i="44" s="1"/>
  <c r="K46" i="44"/>
  <c r="J46" i="44" s="1"/>
  <c r="I46" i="44" s="1"/>
  <c r="K26" i="44"/>
  <c r="J26" i="44" s="1"/>
  <c r="I26" i="44" s="1"/>
  <c r="K11" i="44"/>
  <c r="J66" i="44"/>
  <c r="I66" i="44" s="1"/>
  <c r="K65" i="44" s="1"/>
  <c r="J65" i="44" s="1"/>
  <c r="I65" i="44" s="1"/>
  <c r="K86" i="44"/>
  <c r="J90" i="44"/>
  <c r="I90" i="44" s="1"/>
  <c r="I86" i="44" s="1"/>
  <c r="J123" i="44"/>
  <c r="A2" i="56"/>
  <c r="A1" i="56"/>
  <c r="A3" i="23"/>
  <c r="A2" i="23"/>
  <c r="A1" i="23"/>
  <c r="I123" i="44" l="1"/>
  <c r="J122" i="44"/>
  <c r="I122" i="44" s="1"/>
  <c r="J11" i="44"/>
  <c r="K10" i="44"/>
  <c r="J86" i="44"/>
  <c r="K79" i="44"/>
  <c r="I79" i="44"/>
  <c r="A3" i="47"/>
  <c r="A2" i="47"/>
  <c r="A1" i="47"/>
  <c r="I11" i="44" l="1"/>
  <c r="I10" i="44" s="1"/>
  <c r="J10" i="44"/>
  <c r="J79" i="44"/>
  <c r="J71" i="44" s="1"/>
  <c r="I71" i="44" s="1"/>
  <c r="K71" i="44"/>
  <c r="K9" i="44" s="1"/>
  <c r="K285" i="44" s="1"/>
  <c r="J9" i="44" l="1"/>
  <c r="J285" i="44" s="1"/>
  <c r="I9" i="44"/>
  <c r="I285" i="44" s="1"/>
  <c r="E10" i="17" l="1"/>
  <c r="E20" i="17" s="1"/>
  <c r="E19" i="17" s="1"/>
  <c r="D10" i="17" l="1"/>
  <c r="D20" i="17" s="1"/>
  <c r="D19" i="17" s="1"/>
  <c r="C10" i="17"/>
  <c r="C20" i="17" s="1"/>
  <c r="C19" i="17" s="1"/>
  <c r="E18" i="17" s="1"/>
  <c r="D18" i="17" l="1"/>
  <c r="E8" i="17"/>
  <c r="D8" i="17"/>
  <c r="D16" i="17" s="1"/>
  <c r="C8" i="17"/>
  <c r="C16" i="17" l="1"/>
  <c r="C15" i="17" s="1"/>
  <c r="D15" i="17"/>
  <c r="C18" i="17"/>
  <c r="D17" i="17"/>
  <c r="E7" i="17"/>
  <c r="D7" i="17"/>
  <c r="C7" i="17"/>
  <c r="A3" i="17"/>
  <c r="A2" i="17"/>
  <c r="A1" i="17"/>
  <c r="E17" i="17" l="1"/>
  <c r="C17" i="17"/>
  <c r="E16" i="17" s="1"/>
  <c r="E15" i="17" s="1"/>
  <c r="E14" i="17" s="1"/>
  <c r="D14" i="17" s="1"/>
  <c r="C14" i="17" s="1"/>
  <c r="E13" i="17" s="1"/>
  <c r="D13" i="17" s="1"/>
  <c r="C13" i="17" s="1"/>
  <c r="E12" i="17" s="1"/>
  <c r="D12" i="17" l="1"/>
  <c r="C12" i="17" s="1"/>
  <c r="E6" i="17"/>
  <c r="D6" i="17" s="1"/>
  <c r="C6" i="17" s="1"/>
</calcChain>
</file>

<file path=xl/sharedStrings.xml><?xml version="1.0" encoding="utf-8"?>
<sst xmlns="http://schemas.openxmlformats.org/spreadsheetml/2006/main" count="28716" uniqueCount="2117">
  <si>
    <t>Другие вопросы в области культуры, кинематографии</t>
  </si>
  <si>
    <t>430</t>
  </si>
  <si>
    <t>ШТРАФЫ, САНКЦИИ, ВОЗМЕЩЕНИЕ УЩЕРБА</t>
  </si>
  <si>
    <t>Жилищное хозяйство</t>
  </si>
  <si>
    <t>Другие вопросы в области образования</t>
  </si>
  <si>
    <t>806</t>
  </si>
  <si>
    <t xml:space="preserve">Субвенции местным бюджетам на выполнение передаваемых полномочий субъектов Российской Федерации </t>
  </si>
  <si>
    <t>Субвенции бюджетам муниципальных районов на выполнение передаваемых полномочий субъектов Российской Федерации</t>
  </si>
  <si>
    <t>9902</t>
  </si>
  <si>
    <t>151</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</si>
  <si>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</si>
  <si>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</si>
  <si>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Публ</t>
  </si>
  <si>
    <t>Ежегодная единовременная выплата (премия) лицам, удостоенным звания «Почетный гражданин Богучанского района»</t>
  </si>
  <si>
    <t xml:space="preserve">2. </t>
  </si>
  <si>
    <t>2.1.</t>
  </si>
  <si>
    <t>Пенсия за выслугу лет  лицам, замещавшим должности муниципальной службы муниципального образования  Богучанский район</t>
  </si>
  <si>
    <t>класс</t>
  </si>
  <si>
    <t>4910100</t>
  </si>
  <si>
    <t>Охрана семьи и детства</t>
  </si>
  <si>
    <t>Единый сельскохозяйственный налог</t>
  </si>
  <si>
    <t>ГОСУДАРСТВЕННАЯ ПОШЛИНА</t>
  </si>
  <si>
    <t>Наименование</t>
  </si>
  <si>
    <t>04000</t>
  </si>
  <si>
    <t>07</t>
  </si>
  <si>
    <t>8</t>
  </si>
  <si>
    <t>50</t>
  </si>
  <si>
    <t>ВСЕГО  ДОХОДОВ</t>
  </si>
  <si>
    <t>09</t>
  </si>
  <si>
    <t>11</t>
  </si>
  <si>
    <t>120</t>
  </si>
  <si>
    <t>05000</t>
  </si>
  <si>
    <t xml:space="preserve">- погашение                                        </t>
  </si>
  <si>
    <t>08</t>
  </si>
  <si>
    <t>03000</t>
  </si>
  <si>
    <t>НАЛОГОВЫЕ И НЕНАЛОГОВЫЕ ДОХОДЫ</t>
  </si>
  <si>
    <t>НАЛОГИ НА ПРИБЫЛЬ, ДОХОДЫ</t>
  </si>
  <si>
    <t>финансовое управление администрации Богучанского района</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</si>
  <si>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</si>
  <si>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Благоустройство</t>
  </si>
  <si>
    <t>ПБС</t>
  </si>
  <si>
    <t xml:space="preserve">ЦА301 </t>
  </si>
  <si>
    <t xml:space="preserve">ЦБ302 </t>
  </si>
  <si>
    <t xml:space="preserve">ЦВ303 </t>
  </si>
  <si>
    <t xml:space="preserve">ЦГ304 </t>
  </si>
  <si>
    <t xml:space="preserve">ЦД305 </t>
  </si>
  <si>
    <t xml:space="preserve">ЦЕ306 </t>
  </si>
  <si>
    <t xml:space="preserve">ЦЖ307 </t>
  </si>
  <si>
    <t xml:space="preserve">ЦИ308 </t>
  </si>
  <si>
    <t xml:space="preserve">ЦК309 </t>
  </si>
  <si>
    <t xml:space="preserve">ЦЛ310 </t>
  </si>
  <si>
    <t xml:space="preserve">ЦМ311 </t>
  </si>
  <si>
    <t xml:space="preserve">ЦН312 </t>
  </si>
  <si>
    <t xml:space="preserve">ЦО313 </t>
  </si>
  <si>
    <t xml:space="preserve">ЦП314 </t>
  </si>
  <si>
    <t xml:space="preserve">ЦР315 </t>
  </si>
  <si>
    <t xml:space="preserve">ЦС316 </t>
  </si>
  <si>
    <t xml:space="preserve">ЦТ317 </t>
  </si>
  <si>
    <t xml:space="preserve">ЦУ318 </t>
  </si>
  <si>
    <t>Администрация Ангарского сельсовета</t>
  </si>
  <si>
    <t>Администрация Богучанского сельсовета</t>
  </si>
  <si>
    <t>Администрация Говорковского сельсовета</t>
  </si>
  <si>
    <t>Резервные фонды</t>
  </si>
  <si>
    <t>Прочие субсидии</t>
  </si>
  <si>
    <t>Прочие субсидии бюджетам муниципальных районов</t>
  </si>
  <si>
    <t>Другие вопросы в области социальной политики</t>
  </si>
  <si>
    <t>01 05 02 01 05 0000 510</t>
  </si>
  <si>
    <t>01 05 02 01 05 0000 610</t>
  </si>
  <si>
    <t>863</t>
  </si>
  <si>
    <t>Управление муниципальной собственностью администрации Богучанского района</t>
  </si>
  <si>
    <t>01 06 01 00 05 0000 630</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</si>
  <si>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</si>
  <si>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межбюджетные трансферты</t>
  </si>
  <si>
    <t>(в рублях)</t>
  </si>
  <si>
    <t>ВСЕГО</t>
  </si>
  <si>
    <t>13</t>
  </si>
  <si>
    <t>130</t>
  </si>
  <si>
    <t>14</t>
  </si>
  <si>
    <t>Доходы от реализации имущества, находящегося в собственности муниципальных районов (в части реализации основных средств по указанному имуществу)</t>
  </si>
  <si>
    <t>410</t>
  </si>
  <si>
    <t>048</t>
  </si>
  <si>
    <t>Средства от продажи акций и иных форм участия в капитале, находящихся в собственности муниципальных районов</t>
  </si>
  <si>
    <t>межбюджетные трансферты на осуществление полномочий по: разработке и утверждению программы комплексного развития систем коммунальной инфраструктуры; разработке и утверждению инвестиционных программ организаций коммунального комплекса; установлению надбавок к тарифам на товары и услуги  организаций коммунального комплекса,  надбавок к ценам (тарифам) для потребителей, регулированию тарифов на подключение к системам коммунальной инфраструктуры, тарифов организаций коммунального комплекса на подключение;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t>
  </si>
  <si>
    <t>Наименование поселения</t>
  </si>
  <si>
    <t>Всего межбюджетных трансфертов, перечисляемых из бюджетов поселений</t>
  </si>
  <si>
    <t>Администрация Артюгинского  сельсовета</t>
  </si>
  <si>
    <t>Администрация Манзенского  сельсовета</t>
  </si>
  <si>
    <t>Администрация Новохайского сельсовета</t>
  </si>
  <si>
    <t>Администрация Пинчугского сельсовета</t>
  </si>
  <si>
    <t>Администрация Октябрьского сельсовета</t>
  </si>
  <si>
    <t>Администрация Таежнинского сельсовета</t>
  </si>
  <si>
    <t>Администрация Такучетского  сельсовета</t>
  </si>
  <si>
    <t>Администрация Шиверского сельсовета</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</si>
  <si>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</si>
  <si>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БЕЗВОЗМЕЗДНЫЕ ПОСТУПЛЕНИЯ</t>
  </si>
  <si>
    <t>НАЛОГИ НА СОВОКУПНЫЙ ДОХОД</t>
  </si>
  <si>
    <t>Единый налог на вмененный доход для отдельных видов деятельности</t>
  </si>
  <si>
    <t>НАЛОГИ НА ИМУЩЕСТВО</t>
  </si>
  <si>
    <t>Земельный налог</t>
  </si>
  <si>
    <t>Государственная пошлина по делам, рассматриваемым в судах общей юрисдикции, мировыми судьями</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</si>
  <si>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</si>
  <si>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</si>
  <si>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</si>
  <si>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</si>
  <si>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Пенсионное обеспечение</t>
  </si>
  <si>
    <t>Социальное обеспечение населения</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</si>
  <si>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</si>
  <si>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</si>
  <si>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01 02 00 00 05 0000 810</t>
  </si>
  <si>
    <t>год</t>
  </si>
  <si>
    <t>Дефицит</t>
  </si>
  <si>
    <t>ФФП</t>
  </si>
  <si>
    <t>Молодежь Приангарья</t>
  </si>
  <si>
    <t>Сбалансированность</t>
  </si>
  <si>
    <t>ВУС</t>
  </si>
  <si>
    <t>Методика ВУС</t>
  </si>
  <si>
    <t>Полномочия поселений</t>
  </si>
  <si>
    <t>Администраторы доходов</t>
  </si>
  <si>
    <t>Администраторы источников</t>
  </si>
  <si>
    <t>Доходы</t>
  </si>
  <si>
    <t>КОД</t>
  </si>
  <si>
    <t xml:space="preserve">Наименование </t>
  </si>
  <si>
    <t>890 01 00 00 00 00 0000 000</t>
  </si>
  <si>
    <t>ИСТОЧНИКИ ВНУТРЕННЕГО ФИНАНСИРОВАНИЯ ДЕФИЦИТОВ БЮДЖЕТОВ</t>
  </si>
  <si>
    <t>Бюджетные кредиты от других бюджетов бюджетной системы Российской Федерации</t>
  </si>
  <si>
    <t>890 01 03 00 00 00 0000 700</t>
  </si>
  <si>
    <t>Получение бюджетных кредитов от других бюджетов бюджетной системы Российской Федерации в валюте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</si>
  <si>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</si>
  <si>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ПЛАТЕЖИ ПРИ ПОЛЬЗОВАНИИ ПРИРОДНЫМИ РЕСУРСАМИ</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</si>
  <si>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</si>
  <si>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 и которые расположены в границах поселений</t>
  </si>
  <si>
    <t>16</t>
  </si>
  <si>
    <t>140</t>
  </si>
  <si>
    <t>1</t>
  </si>
  <si>
    <t>00</t>
  </si>
  <si>
    <t>00000</t>
  </si>
  <si>
    <t>0000</t>
  </si>
  <si>
    <t>182</t>
  </si>
  <si>
    <t>01</t>
  </si>
  <si>
    <t>01000</t>
  </si>
  <si>
    <t>110</t>
  </si>
  <si>
    <t>Субсидии бюджетам субъектов Российской Федерации и муниципальных образований (межбюджетные субсидии)</t>
  </si>
  <si>
    <t>Администрация Невонского сельсовета</t>
  </si>
  <si>
    <t>Администрация Нижнетерянского сельсовета</t>
  </si>
  <si>
    <t xml:space="preserve">Администрация Таежнинского сельсовета </t>
  </si>
  <si>
    <t>Администрация Хребтовского сельсовета</t>
  </si>
  <si>
    <t>Администрация Чуноярского сельсовета</t>
  </si>
  <si>
    <t>ОБРАЗОВАНИЕ</t>
  </si>
  <si>
    <t>СОЦИАЛЬНАЯ ПОЛИТИКА</t>
  </si>
  <si>
    <t>Безвозмездные поступления от других бюджетов бюджетной системы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</si>
  <si>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</si>
  <si>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</si>
  <si>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Другие вопросы в области национальной экономики</t>
  </si>
  <si>
    <t>Коммунальное хозяйство</t>
  </si>
  <si>
    <t>Изменение остатков средств на счетах по учету средств бюджета</t>
  </si>
  <si>
    <t>890 01 05 00 00 00 0000 500</t>
  </si>
  <si>
    <t>890 01 05 02 00 00 0000 500</t>
  </si>
  <si>
    <t>890 01 05 02 01 00 0000 510</t>
  </si>
  <si>
    <t>Другие вопросы в области жилищно-коммунального хозяйства</t>
  </si>
  <si>
    <t>Дошкольное образование</t>
  </si>
  <si>
    <t>Общее образование</t>
  </si>
  <si>
    <t>Увеличение прочих остатков денежных средств бюджетов муниципальных районов</t>
  </si>
  <si>
    <t>890 01 05 00 00 00 0000 600</t>
  </si>
  <si>
    <t>890 01 05 02 00 00 0000 600</t>
  </si>
  <si>
    <t>890 01 05 02 01 00 0000 610</t>
  </si>
  <si>
    <t>Уменьшение прочих остатков денежных средств бюджетов</t>
  </si>
  <si>
    <t>890 01 05 02 01 05 0000 610</t>
  </si>
  <si>
    <t>Уменьшение прочих остатков денежных средств бюджетов муниципальных районов</t>
  </si>
  <si>
    <t>Методика комиссий</t>
  </si>
  <si>
    <t>000</t>
  </si>
  <si>
    <t>№ строки</t>
  </si>
  <si>
    <t>Администрация Белякинского сельсовета</t>
  </si>
  <si>
    <t>Администрация Осиновомысского сельсовета</t>
  </si>
  <si>
    <t>0920300</t>
  </si>
  <si>
    <t>Итого</t>
  </si>
  <si>
    <t>Код ведом-ства</t>
  </si>
  <si>
    <t>Код группы, подгруппы, статьи и вида источников</t>
  </si>
  <si>
    <t xml:space="preserve">Наименование показателя </t>
  </si>
  <si>
    <t>2</t>
  </si>
  <si>
    <t>01 02 00 00 05 0000 710</t>
  </si>
  <si>
    <t>Полученные кредитов от других бюджетов бюджетной системы Российской Федерации бюджетами муниципальных районов в валюте Российской Федерации</t>
  </si>
  <si>
    <t>890 01 03 00 00 00 0000 800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</si>
  <si>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</si>
  <si>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890 01 05 00 00 00 0000 000</t>
  </si>
  <si>
    <t>КБК</t>
  </si>
  <si>
    <t>801</t>
  </si>
  <si>
    <t>802</t>
  </si>
  <si>
    <t>Контрольно-счетная комиссия Богучанского района</t>
  </si>
  <si>
    <t>Администрация Богучанского района</t>
  </si>
  <si>
    <t xml:space="preserve">Внутренние заимствования (привлечение/погашение)  </t>
  </si>
  <si>
    <t>НАЦИОНАЛЬНАЯ ЭКОНОМИКА</t>
  </si>
  <si>
    <t>Сельское хозяйство и рыболовство</t>
  </si>
  <si>
    <t>Транспорт</t>
  </si>
  <si>
    <t xml:space="preserve">Возврат бюджетных кредитов, предоставленных внутри страны в валюте Российской Федерации </t>
  </si>
  <si>
    <t>890 01 06 05 02 05 0000 640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</si>
  <si>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</si>
  <si>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890 01 06 05 00 00 0000 500</t>
  </si>
  <si>
    <t xml:space="preserve">Предоставление бюджетных кредитов внутри страны в валюте Российской Федерации </t>
  </si>
  <si>
    <t>890 01 06 05 02 05 0000 540</t>
  </si>
  <si>
    <t>Управление муниципальной собственностью Богучанского района</t>
  </si>
  <si>
    <t>НАЦИОНАЛЬНАЯ ОБОРОНА</t>
  </si>
  <si>
    <t>Мобилизационная и вневойсковая подготовка</t>
  </si>
  <si>
    <t>адм комиссии</t>
  </si>
  <si>
    <t>Увеличение прочих остатков денежных средств бюджетов</t>
  </si>
  <si>
    <t>890 01 05 02 01 05 0000 510</t>
  </si>
  <si>
    <t>10</t>
  </si>
  <si>
    <t>05020</t>
  </si>
  <si>
    <t>05025</t>
  </si>
  <si>
    <t>05030</t>
  </si>
  <si>
    <t>05035</t>
  </si>
  <si>
    <t>07010</t>
  </si>
  <si>
    <t>07015</t>
  </si>
  <si>
    <t>12</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</si>
  <si>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</si>
  <si>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830</t>
  </si>
  <si>
    <t xml:space="preserve">Бюджетные кредиты от других бюджетов бюджетной системы Российской Федерации                                     </t>
  </si>
  <si>
    <t>- погашение</t>
  </si>
  <si>
    <t xml:space="preserve">Общий объем заимствований, направляемых на покрытие дефицита районного бюджета и погашение муниципальных долговых обязательств района       </t>
  </si>
  <si>
    <t>03010</t>
  </si>
  <si>
    <t>07000</t>
  </si>
  <si>
    <t>875</t>
  </si>
  <si>
    <t>890</t>
  </si>
  <si>
    <t>Культура</t>
  </si>
  <si>
    <t>890 01 06 05 00 00 0000 000</t>
  </si>
  <si>
    <t xml:space="preserve">Бюджетные кредиты, предоставленные внутри страны в валюте Российской Федерации </t>
  </si>
  <si>
    <t>890 01 06 05 00 00 0000 600</t>
  </si>
  <si>
    <t>Массовый спорт</t>
  </si>
  <si>
    <t>Дотации на выравнивание бюджетной обеспеченности субъектов Российской Федерации и муниципальных образований</t>
  </si>
  <si>
    <t>05010</t>
  </si>
  <si>
    <t>Доходы, получаемые в виде арендной платы за земельные участки, государственная собственность на которые не разграничена ,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</si>
  <si>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</si>
  <si>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06010</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</si>
  <si>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</si>
  <si>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</si>
  <si>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</si>
  <si>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получение                                   </t>
  </si>
  <si>
    <t xml:space="preserve">Налог на прибыль организаций, зачисляемый в бюджеты бюджетной системы Российской Федерации по соответствующим ставкам </t>
  </si>
  <si>
    <t>01010</t>
  </si>
  <si>
    <t>01012</t>
  </si>
  <si>
    <t>02</t>
  </si>
  <si>
    <t>02000</t>
  </si>
  <si>
    <t>02010</t>
  </si>
  <si>
    <t>02020</t>
  </si>
  <si>
    <t>05</t>
  </si>
  <si>
    <t>06</t>
  </si>
  <si>
    <t>06000</t>
  </si>
  <si>
    <t>856</t>
  </si>
  <si>
    <t>Администрация Красногорьевского сельсовета</t>
  </si>
  <si>
    <t>Наименование показателя</t>
  </si>
  <si>
    <t>Подраздел</t>
  </si>
  <si>
    <t>ОБЩЕГОСУДАРСТВЕННЫЕ ВОПРОСЫ</t>
  </si>
  <si>
    <t>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</si>
  <si>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</si>
  <si>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</si>
  <si>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НАЦИОНАЛЬНАЯ БЕЗОПАСНОСТЬ И ПРАВООХРАНИТЕЛЬНАЯ ДЕЯТЕЛЬНОСТЬ</t>
  </si>
  <si>
    <t>ЖИЛИЩНО-КОММУНАЛЬНОЕ ХОЗЯЙСТВО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</si>
  <si>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</si>
  <si>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</si>
  <si>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01030</t>
  </si>
  <si>
    <t>05013</t>
  </si>
  <si>
    <t>Прочие доходы от оказания платных услуг (работ) получателями средств  бюджетов муниципальных районов</t>
  </si>
  <si>
    <t>01995</t>
  </si>
  <si>
    <t>02053</t>
  </si>
  <si>
    <t>Заимствования</t>
  </si>
  <si>
    <t>ЗДРАВООХРАНЕНИЕ</t>
  </si>
  <si>
    <t>ФИЗИЧЕСКАЯ КУЛЬТУРА И СПОРТ</t>
  </si>
  <si>
    <t>КУЛЬТУРА, КИНЕМАТОГРАФИЯ</t>
  </si>
  <si>
    <t>Прочие межбюджетные трансферты общего характера</t>
  </si>
  <si>
    <t>06013</t>
  </si>
  <si>
    <t>Дорожное хозяйство (дорожные фонды)</t>
  </si>
  <si>
    <t>Муниципальное казенное учреждение "Муниципальная служба Заказчика"</t>
  </si>
  <si>
    <t>управление образования администрации Богучанского района Красноярского края</t>
  </si>
  <si>
    <t>дата Первого решения</t>
  </si>
  <si>
    <t>№ Первого решения</t>
  </si>
  <si>
    <t>9992</t>
  </si>
  <si>
    <t>02050</t>
  </si>
  <si>
    <t>откл</t>
  </si>
  <si>
    <t>02030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</si>
  <si>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ст.227 НК РФ</t>
  </si>
  <si>
    <t>Налог на доходы физических лиц с доходов, полученных физическими лицами в соответствии со ст. 228 НК РФ</t>
  </si>
  <si>
    <t>номер</t>
  </si>
  <si>
    <t>приложение</t>
  </si>
  <si>
    <t>плановый период</t>
  </si>
  <si>
    <t>Финансовое управление администрации Богучанского района</t>
  </si>
  <si>
    <t>3</t>
  </si>
  <si>
    <t>4</t>
  </si>
  <si>
    <t>5</t>
  </si>
  <si>
    <t>6</t>
  </si>
  <si>
    <t>7</t>
  </si>
  <si>
    <t>Акцизы по подакцизным товарам (продукции), производимым на территории РФ</t>
  </si>
  <si>
    <t>100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</si>
  <si>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</si>
  <si>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02230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</si>
  <si>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</si>
  <si>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02240</t>
  </si>
  <si>
    <t>Доходы от уплаты акцизов на автомобильный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</si>
  <si>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02250</t>
  </si>
  <si>
    <t>Доходы от уплаты акцизов на прямогонный бензин, производимый на территории Российской Федерации,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</si>
  <si>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02260</t>
  </si>
  <si>
    <t>Налог, взимаемый в связи с применением патентной системы налогообложения, зачисляемый в бюджеты муниципальных районов</t>
  </si>
  <si>
    <t>04020</t>
  </si>
  <si>
    <t xml:space="preserve">  Государственная пошлина за выдачу разрешения  на установку рекламной конструкции</t>
  </si>
  <si>
    <t>01040</t>
  </si>
  <si>
    <t>7555</t>
  </si>
  <si>
    <t>7456</t>
  </si>
  <si>
    <t>7554</t>
  </si>
  <si>
    <t>7564</t>
  </si>
  <si>
    <t>7566</t>
  </si>
  <si>
    <t>7588</t>
  </si>
  <si>
    <t>7552</t>
  </si>
  <si>
    <t>7519</t>
  </si>
  <si>
    <t>7604</t>
  </si>
  <si>
    <t>7514</t>
  </si>
  <si>
    <t>7577</t>
  </si>
  <si>
    <t>7518</t>
  </si>
  <si>
    <t>7517</t>
  </si>
  <si>
    <t>7467</t>
  </si>
  <si>
    <t>7601</t>
  </si>
  <si>
    <t>№ ПП</t>
  </si>
  <si>
    <t>Код главного администратора</t>
  </si>
  <si>
    <t>Код бюджетной классификации</t>
  </si>
  <si>
    <t>Наименование кода бюджетной классификации</t>
  </si>
  <si>
    <t>Богучанский район</t>
  </si>
  <si>
    <t>1 11 05013 05 1000 120</t>
  </si>
  <si>
    <t>1 11 05013 05 2000 120</t>
  </si>
  <si>
    <t>1 11 05013 05 3000 120</t>
  </si>
  <si>
    <t>1 11 05025 05 1000 120</t>
  </si>
  <si>
    <t>1 11 05025 05 2000 120</t>
  </si>
  <si>
    <t>1 11 05025 05 3000 120</t>
  </si>
  <si>
    <t>1 11 05035 05 1000 120</t>
  </si>
  <si>
    <t>1 11 05035 05 2000 120</t>
  </si>
  <si>
    <t>1 11 05035 05 3000 120</t>
  </si>
  <si>
    <t>1 11 05035 05 9960 120</t>
  </si>
  <si>
    <t>1 11 07015 05 1000 120</t>
  </si>
  <si>
    <t>Прочие доходы от компенсации затрат государства</t>
  </si>
  <si>
    <t>1 14 02053 05 1000 410</t>
  </si>
  <si>
    <t>1 14 06013 05 1000 430</t>
  </si>
  <si>
    <t>1 17 01050 05 0000 180</t>
  </si>
  <si>
    <t>Невыясненные поступления, зачисляемые в бюджеты муниципальных районов</t>
  </si>
  <si>
    <t>1 17 05050 05 0000 180</t>
  </si>
  <si>
    <t xml:space="preserve">Прочие неналоговые доходы бюджетов муниципальных районов </t>
  </si>
  <si>
    <t>1 08 07150 01 1000 110</t>
  </si>
  <si>
    <t>1 13 01995 05 0000 130</t>
  </si>
  <si>
    <t>1 13 01995 05 9901 130</t>
  </si>
  <si>
    <t>Прочие доходы от оказания платных услуг получателями средств бюджетов муниципальных районов (платные услуги муниципальных учреждений, находящимся в ведении органов местного самоуправления муниципальных районов)</t>
  </si>
  <si>
    <t>1 17 05050 05 1000 180</t>
  </si>
  <si>
    <t>Прочие безвозмездные поступления в бюджеты муниципальных районов</t>
  </si>
  <si>
    <t>Прочие безвозмездные поступления в бюджеты муниципальных районов (гранты, премии муниципальным учреждениям, находящимся в ведении органов местного самоуправления муниципальных районов)</t>
  </si>
  <si>
    <t>Прочие безвозмездные поступления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</si>
  <si>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1 11 05035 05 0000 120</t>
  </si>
  <si>
    <t>1 13 01995 05 9902 130</t>
  </si>
  <si>
    <t>Прочие доходы от оказания платных услуг получателями средств бюджетов муниципальных районов (родительская плата в дошкольных муниципальных учреждениях, находящимся в ведении органов местного самоуправления муниципальных районов)</t>
  </si>
  <si>
    <t>1 13 01995 05 9992 130</t>
  </si>
  <si>
    <t>Прочие доходы от оказания платных услуг получателями средств бюджетов муниципальных районов (плата в общеобразовательных учреждениях, находящимся в ведении органов местного самоуправления муниципальных районов за питание в школьных столовых)</t>
  </si>
  <si>
    <t>1 13 02065 05 9991 130</t>
  </si>
  <si>
    <t>Доходы, поступающие в порядке возмещения расходов, понесенных в связи с эксплуатацией имущества муниципальных районов (возмещение коммунальных услуг)</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</si>
  <si>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</si>
  <si>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Прочие неналоговые доходы бюджетов муниципальных районов</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</si>
  <si>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</si>
  <si>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</si>
  <si>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Богучанский районный Совет депутатов</t>
  </si>
  <si>
    <t>0102</t>
  </si>
  <si>
    <t>Функционирование высшего должностного лица муниципального образования в рамках непрограммных расходов органов местного самоуправления</t>
  </si>
  <si>
    <t>121</t>
  </si>
  <si>
    <t>Иные выплаты персоналу государственных (муниципальных) органов, за исключением фонда оплаты труда</t>
  </si>
  <si>
    <t>122</t>
  </si>
  <si>
    <t>0103</t>
  </si>
  <si>
    <t>Руководство и управление в сфере установленных функций в рамках непрограммных расходов органов местного самоуправления</t>
  </si>
  <si>
    <t>244</t>
  </si>
  <si>
    <t>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t>
  </si>
  <si>
    <t>0106</t>
  </si>
  <si>
    <t>Обеспечение деятельности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</si>
  <si>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0104</t>
  </si>
  <si>
    <t>Противопожарное обустройство здания администрации Богучанского района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</si>
  <si>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рамках непрограммных расходов органов местного самоуправления</t>
  </si>
  <si>
    <t>Выполнение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органов местного самоуправления</t>
  </si>
  <si>
    <t>0113</t>
  </si>
  <si>
    <t>Выполнение государственных полномочий в области архивного дела в рамках непрограммных расходов органов местного самоуправления</t>
  </si>
  <si>
    <t>Публичные нормативные выплаты гражданам несоциального характера</t>
  </si>
  <si>
    <t>330</t>
  </si>
  <si>
    <t>0309</t>
  </si>
  <si>
    <t>Обеспечение деятельности (оказание услуг) единой дежурно-диспетчерской службы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</si>
  <si>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111</t>
  </si>
  <si>
    <t>Закупка товаров, работ, услуг в целях капитального ремонта государственного (муниципального) имущества</t>
  </si>
  <si>
    <t>243</t>
  </si>
  <si>
    <t>0310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</si>
  <si>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</si>
  <si>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</si>
  <si>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</si>
  <si>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Обустройство и уход за противопожарными минерализованными полосами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</si>
  <si>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первичных мер пожарной безопасности населенных пунктов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</si>
  <si>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Отдельные мероприятия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</si>
  <si>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0405</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</si>
  <si>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муниципальной программы "Развитие сельского хозяйства в Богучанском районе"</t>
  </si>
  <si>
    <t>810</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</si>
  <si>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и прочие мероприятия" муниципальной программы "Развитие сельского хозяйства в Богучанском районе"</t>
  </si>
  <si>
    <t>0408</t>
  </si>
  <si>
    <t>Отдельные мероприятия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</si>
  <si>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0409</t>
  </si>
  <si>
    <t>Отдельные мероприятия в рамках подпрограммы "Дороги Богучанского района" муниципальной программы "Развитие транспортной системы Богучанского района"</t>
  </si>
  <si>
    <t>0412</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</si>
  <si>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</si>
  <si>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"Устойчивое развитие сельских территорий" муниципальной программы "Развитие сельского хозяйства в Богучанском районе"</t>
  </si>
  <si>
    <t>Софинансирование за счет средств местного бюджета расходов на 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</si>
  <si>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0502</t>
  </si>
  <si>
    <t>0707</t>
  </si>
  <si>
    <t>Субсидии бюджетным учреждениям на иные цели</t>
  </si>
  <si>
    <t>612</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</si>
  <si>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</si>
  <si>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Отдельные мероприятия в рамках подпрограммы "Патриотическое воспитание молодежи Богучанского района" муниципальной программы "Молодежь Приангарья"</t>
  </si>
  <si>
    <t>Расходы на поддержку деятельности муниципальных молодежных центров в рамках подпрограммы "Обеспечение реализации муниципальной программы и прочие мероприятия" муниципальной программы "Молодежь Приангарья"</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</si>
  <si>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</si>
  <si>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</si>
  <si>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0909</t>
  </si>
  <si>
    <t>Организация и проведение акарицидных обработок мест массового отдыха населения в рамках непрограммных расходов администрации Богучанского района</t>
  </si>
  <si>
    <t>1001</t>
  </si>
  <si>
    <t>Иные пенсии, социальные доплаты к пенсиям</t>
  </si>
  <si>
    <t>312</t>
  </si>
  <si>
    <t>1003</t>
  </si>
  <si>
    <t>Пособия, компенсации и иные социальные выплаты гражданам, кроме публичных нормативных обязательств</t>
  </si>
  <si>
    <t>321</t>
  </si>
  <si>
    <t>1102</t>
  </si>
  <si>
    <t>Расходы на организацию и проведение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</si>
  <si>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участия в краевых спортивных мероприятиях, акциях, соревнованиях, сборах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</si>
  <si>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и проведение профилактических мероприятий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</si>
  <si>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Расходы на повышение уровня компетентности и квалификации специалистов, работающих с детьми и молодежью, и осуществляющих деятельность по профилактике наркомании и алкоголизма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</si>
  <si>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0501</t>
  </si>
  <si>
    <t>Отдельные мероприятия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</si>
  <si>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0503</t>
  </si>
  <si>
    <t>0505</t>
  </si>
  <si>
    <t>Обеспечение деятельности муниципального казенного учреждения "Муниципальная служба Заказчика" в рамках непрограммных расходов</t>
  </si>
  <si>
    <t>112</t>
  </si>
  <si>
    <t>0801</t>
  </si>
  <si>
    <t>Расходы на отдых, оздоровление и занятость детей и подростков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</si>
  <si>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1006</t>
  </si>
  <si>
    <t>0702</t>
  </si>
  <si>
    <t>Отдельные мероприятия в рамках подпрограммы "Энергосбережение и повышение энергетической эффективности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</si>
  <si>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</si>
  <si>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</si>
  <si>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библиотечному обслуживанию населения в рамках подпрограммы "Культурное наследие" муниципальной программы Богучанского района "Развитие культуры"</t>
  </si>
  <si>
    <t>Расходы на проведение культурно-массовых мероприятий в рамках подпрограммы "Культурное наследие" муниципальной программы Богучанского района "Развитие культуры"</t>
  </si>
  <si>
    <t>Расходы на модернизацию сельских библиотек в рамках подпрограммы "Культурное наследие" муниципальной программы Богучанского района "Развитие культуры"</t>
  </si>
  <si>
    <t>0804</t>
  </si>
  <si>
    <t>Мероприятия по землеустройству и землепользованию в рамках непрограммных расходов управления муниципальной собственностью Богучанского района</t>
  </si>
  <si>
    <t>Бюджетные инвестиции на приобретение объектов недвижимого имущества в государственную (муниципальную) собственность</t>
  </si>
  <si>
    <t>412</t>
  </si>
  <si>
    <t>Софинансирование за счет средств местного бюджета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</si>
  <si>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Отдельные мероприятия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</si>
  <si>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0701</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</si>
  <si>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</si>
  <si>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</si>
  <si>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развитие системы образования Богучанского района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</si>
  <si>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</si>
  <si>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</si>
  <si>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</si>
  <si>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</si>
  <si>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</si>
  <si>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муниципальных загородных оздоровительных лагерей,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</si>
  <si>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</si>
  <si>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части предоставления субсидий бюджетным учреждениям на приобретение основных средств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</si>
  <si>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0709</t>
  </si>
  <si>
    <t>Выполнение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</si>
  <si>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Выполнение государственных полномочий по обеспечению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</si>
  <si>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1004</t>
  </si>
  <si>
    <t>Выполнение государственных полномочий по выплате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</si>
  <si>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</si>
  <si>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0111</t>
  </si>
  <si>
    <t>Резервные фонды местных администраций в рамках непрограммных расходов органов местного самоуправления</t>
  </si>
  <si>
    <t>Резервные средства</t>
  </si>
  <si>
    <t>870</t>
  </si>
  <si>
    <t>540</t>
  </si>
  <si>
    <t>Отдельные мероприятия в рамках непрограммных расходов органов местного самоуправления</t>
  </si>
  <si>
    <t>831</t>
  </si>
  <si>
    <t>0203</t>
  </si>
  <si>
    <t>Субвенции</t>
  </si>
  <si>
    <t>530</t>
  </si>
  <si>
    <t>Межбюджетные трансферты на реализацию мероприятий по трудовому воспитанию несовершеннолетних в рамках подпрограммы "Вовлечение молодежи Богучанского района в социальную практику" муниципальной программы "Молодежь Приангарья"</t>
  </si>
  <si>
    <t>1401</t>
  </si>
  <si>
    <t>511</t>
  </si>
  <si>
    <t>1403</t>
  </si>
  <si>
    <t>ВСЕГО РАСХОДОВ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</si>
  <si>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администрации Богучанского района</t>
  </si>
  <si>
    <t>Доходы бюджетов муниципальных районов от возврата бюджетными учреждениями остатков субсидий прошлых лет</t>
  </si>
  <si>
    <t>Муниципальная программа "Развитие образования Богучанского района"</t>
  </si>
  <si>
    <t>Подпрограмма "Развитие дошкольного, общего и дополнительного образования детей"</t>
  </si>
  <si>
    <t>011</t>
  </si>
  <si>
    <t>Подпрограмма "Государственная поддержка детей-сирот, расширение практики применения семейных форм воспитания"</t>
  </si>
  <si>
    <t>013</t>
  </si>
  <si>
    <t>Подпрограмма "Обеспечение реализации муниципальной программы и прочие мероприятия"</t>
  </si>
  <si>
    <t>014</t>
  </si>
  <si>
    <t>021</t>
  </si>
  <si>
    <t>Подпрограмма "Повышение качества и доступности социальных услуг населению"</t>
  </si>
  <si>
    <t>024</t>
  </si>
  <si>
    <t>Муниципальная программа "Реформирование и модернизация жилищно-коммунального хозяйства и повышение энергетической эффективности"</t>
  </si>
  <si>
    <t>032</t>
  </si>
  <si>
    <t>Подпрограмма "Энергосбережение и повышение энергетической эффективности на территории Богучанского района"</t>
  </si>
  <si>
    <t>034</t>
  </si>
  <si>
    <t>Муниципальная программа "Защита населения и территории Богучанского района от чрезвычайных ситуаций природного и техногенного характера"</t>
  </si>
  <si>
    <t>Подпрограмма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t>
  </si>
  <si>
    <t>041</t>
  </si>
  <si>
    <t>Подпрограмма "Борьба с пожарами в населенных пунктах Богучанского района"</t>
  </si>
  <si>
    <t>042</t>
  </si>
  <si>
    <t>Муниципальная программа Богучанского района "Развитие культуры"</t>
  </si>
  <si>
    <t>Подпрограмма "Культурное наследие"</t>
  </si>
  <si>
    <t>051</t>
  </si>
  <si>
    <t>052</t>
  </si>
  <si>
    <t>053</t>
  </si>
  <si>
    <t>Муниципальная программа "Молодежь Приангарья"</t>
  </si>
  <si>
    <t>Подпрограмма "Вовлечение молодежи Богучанского района в социальную практику"</t>
  </si>
  <si>
    <t>061</t>
  </si>
  <si>
    <t>Подпрограмма "Патриотическое воспитание молодежи Богучанского района"</t>
  </si>
  <si>
    <t>062</t>
  </si>
  <si>
    <t>Подпрограмма "Обеспечение жильем молодых семей в Богучанском районе"</t>
  </si>
  <si>
    <t>063</t>
  </si>
  <si>
    <t>064</t>
  </si>
  <si>
    <t>Муниципальная программа "Развитие физической культуры и спорта, в Богучанском районе"</t>
  </si>
  <si>
    <t>Подпрограмма "Развитие массовой физической культуры и спорта"</t>
  </si>
  <si>
    <t>071</t>
  </si>
  <si>
    <t>Подпрограмма "Формирование культуры здорового образа жизни"</t>
  </si>
  <si>
    <t>072</t>
  </si>
  <si>
    <t>Муниципальная программа "Развитие инвестиционной, инновационной деятельности, малого и среднего предпринимательства на территории Богучанского района"</t>
  </si>
  <si>
    <t>Подпрограмма "Развитие субъектов малого и среднего предпринимательства в Богучанском районе"</t>
  </si>
  <si>
    <t>081</t>
  </si>
  <si>
    <t>083</t>
  </si>
  <si>
    <t>Муниципальная программа "Развитие транспортной системы Богучанского района"</t>
  </si>
  <si>
    <t>Подпрограмма "Дороги Богучанского района"</t>
  </si>
  <si>
    <t>091</t>
  </si>
  <si>
    <t>Подпрограмма "Развитие транспортного комплекса Богучанского района"</t>
  </si>
  <si>
    <t>092</t>
  </si>
  <si>
    <t>Подпрограмма "Безопасность дорожного движения в Богучанском районе"</t>
  </si>
  <si>
    <t>093</t>
  </si>
  <si>
    <t>105</t>
  </si>
  <si>
    <t>Муниципальная программа "Управление муниципальными финансами"</t>
  </si>
  <si>
    <t>Подпрограмма "Обеспечение реализации муниципальной программы"</t>
  </si>
  <si>
    <t>Муниципальная программа "Развитие сельского хозяйства в Богучанском районе"</t>
  </si>
  <si>
    <t>Подпрограмма "Поддержка малых форм хозяйствования"</t>
  </si>
  <si>
    <t>Подпрограмма "Устойчивое развитие сельских территорий"</t>
  </si>
  <si>
    <t>123</t>
  </si>
  <si>
    <t>ак</t>
  </si>
  <si>
    <t>852</t>
  </si>
  <si>
    <t>Выполнение полномочий поселений по разработке и утверждению программы комплексного развития систем коммунальной инфраструктуры, разработке и утверждению инвестиционных программ организаций коммунального комплекса, установлению надбавок к тарифам на товары и услуги организаций коммунального комплекса, надбавок к ценам (тарифам) для потребителей, регулированию тарифов на подключение к системам коммунальной инфраструктуры, тарифов организаций коммунального комплекса на подключение,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t>
  </si>
  <si>
    <t>Проведение выборов и референдумов в рамках непрограммных расходов органов местного самоуправления</t>
  </si>
  <si>
    <t>Ежегодная единовременная выплата (премия) лицам, удостоенным звания "Почетный гражданин Богучанского района" в рамках непрограммных администрации Богучанского района</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</si>
  <si>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</si>
  <si>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государственных полномочий по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</si>
  <si>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Пенсия за выслугу лет лицам, замещавшим должности муниципальной службы муниципального образования Богучанский район в рамках подпрограммы "Повышение качества жизни отдельных категорий граждан, в т. ч. инвалидов, степени их социальной защищенности" муниципальной программы "Система социальной защиты населения Богучанского района"</t>
  </si>
  <si>
    <t>Расходы на формирование устойчивой мотивации к здоровому образу жизни среди всех категорий населения района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</si>
  <si>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Софинансирование за счет средств местного бюджета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</si>
  <si>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Мероприятия по проектированию и реконструкции, строительству и обеспечению жизнедеятельности образовательных учреждений за счет спонсорских средств, средств благотворительных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</si>
  <si>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содержанию учреждений социального обслуживания населения в рамках подпрограммы "Повышение качества и доступности социальных услуг населению" муниципальной программы "Система социальной защиты населения Богучанского района"</t>
  </si>
  <si>
    <t>Расходы на проведение культурно-массовых мероприятий в рамках подпрограммы "Искусство и народное творчество"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</si>
  <si>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</si>
  <si>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</si>
  <si>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</si>
  <si>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</si>
  <si>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"Культурное наследие"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</si>
  <si>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</si>
  <si>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"Культурное наследие"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</si>
  <si>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</si>
  <si>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</si>
  <si>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</si>
  <si>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</si>
  <si>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</si>
  <si>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</si>
  <si>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персональных выплат, устанавливаемых в целях повышения оплаты труда молодым специалистам,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</si>
  <si>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"Искусство и народное творчество"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</si>
  <si>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</si>
  <si>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</si>
  <si>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</si>
  <si>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t>
  </si>
  <si>
    <t>Отдельные мероприятия в рамках подпрограммы "Приобретение жилых помещений работникам бюджетной сферы Богучанского района" муниципальной программы "Обеспечение доступным и комфортным жильем граждан Богучанского района"</t>
  </si>
  <si>
    <t>Отдельные мероприятия в рамках подпрограммы "Организация проведения капитального ремонта общего имущества в многоквартирных домах, расположенных на территории Богучанского района" муниципальной программы"Реформирование и модернизация жилищно-коммунального хозяйства и повышение энергетической эффективности"</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</si>
  <si>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за счет спонсорских средств, средств добровольных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</si>
  <si>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Иные выплаты населению</t>
  </si>
  <si>
    <t>360</t>
  </si>
  <si>
    <t>Выплата ежемесячной стипендии одаренным детям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</si>
  <si>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</si>
  <si>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муниципальной программы "Управление муниципальными финансами"</t>
  </si>
  <si>
    <t>Осуществление полномочий по формированию, исполнению бюджетов поселений и контролю за их исполнением в рамках подпрограммы "Обеспечение реализации муниципальной программы" муниципальной программы "Управление муниципальными финансами"</t>
  </si>
  <si>
    <t>Межбюджетные трансферты на выполнение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</si>
  <si>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Субвенции на осуществление государственных полномочий по первичному воинскому учету на территориях, где отсутствуют военные комиссариаты,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</si>
  <si>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</si>
  <si>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районного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</si>
  <si>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Межбюджетные трансферты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</si>
  <si>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Выполнение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исполнительной власти</t>
  </si>
  <si>
    <t>033</t>
  </si>
  <si>
    <t>Доходы, поступающие в порядке возмещения расходов, понесенных в связи с эксплуатацией имущества муниципальных районов</t>
  </si>
  <si>
    <t>02065</t>
  </si>
  <si>
    <t>9991</t>
  </si>
  <si>
    <t>180</t>
  </si>
  <si>
    <t>Дотации на выравнивание бюджетной обеспеченности</t>
  </si>
  <si>
    <t>7429</t>
  </si>
  <si>
    <t>7570</t>
  </si>
  <si>
    <t>9904</t>
  </si>
  <si>
    <t>1 11 07015 05 2000 120</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</si>
  <si>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</si>
  <si>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</si>
  <si>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</si>
  <si>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</si>
  <si>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1 14 06025 05 1000 430</t>
  </si>
  <si>
    <t>Поступления от денежных пожертвований, предоставляемых физическими лицами получателям средств бюджетов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</si>
  <si>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 xml:space="preserve">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
</t>
  </si>
  <si>
    <t>2017 год</t>
  </si>
  <si>
    <t>311</t>
  </si>
  <si>
    <t>320</t>
  </si>
  <si>
    <t>Оплата стоимости проезда в отпуск в соответствии с законодательством, руководству и управлению в сфере установленных функций в рамках непрограммных расходов органов местного самоуправления</t>
  </si>
  <si>
    <t>Оплата стоимости проезда в отпуск в соответствии с законодательством,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</si>
  <si>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органов местного самоуправления</t>
  </si>
  <si>
    <t>Заработная плата и начисления работников, не являющихся лицами замещающими муниципальные должности, муниципальными служащими в рамках непрограммных расходов органов местного самоуправления</t>
  </si>
  <si>
    <t>Выполнение государственных полномочий Красноярского края по реализации мер дополнительной поддержки населения, направленных на соблюдение размера вносимой гражданами платы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</si>
  <si>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Оплата стоимости проезда в отпуск в соответствии с законодательством, работников муниципального казенного учреждения "Муниципальная служба Заказчика" в рамках непрограммых расходов</t>
  </si>
  <si>
    <t>Обеспечение бесплатного проезда детей до места нахождения детских оздоровительных лагерей и обратно в рамках подпрограммы "Социальная поддержка семей, имеющих детей" муниципальной программы "Система социальной защиты населения Богучанского района"</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</si>
  <si>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 муниципальной программы "Система социальной защиты населения Богучанского района"</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</si>
  <si>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</si>
  <si>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</si>
  <si>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</si>
  <si>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"Культурное наследие"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</si>
  <si>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</si>
  <si>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</si>
  <si>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</si>
  <si>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дошкольного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</si>
  <si>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</si>
  <si>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</si>
  <si>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</si>
  <si>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Персональные выплаты, устанавливаемые в целях повышения оплаты труда молодым специалистам,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</si>
  <si>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</si>
  <si>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дополнительного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</si>
  <si>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</si>
  <si>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</si>
  <si>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</si>
  <si>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библиотечного фонда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</si>
  <si>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продуктов питания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</si>
  <si>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</si>
  <si>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Оплата жилищно-коммунальных услуг за исключением электроэнергии в рамках подпрограммы "Обеспечение реализации муниципальной программы" муниципальной программы "Управление муниципальными финансами"</t>
  </si>
  <si>
    <t>Муниципальная программа "Система социальной защиты населения Богучанского района"</t>
  </si>
  <si>
    <t>Подпрограмма "Повышение качества жизни отдельных категорий граждан, в т. ч. инвалидов, степени их социальной защищенности"</t>
  </si>
  <si>
    <t>Подпрограмма "Социальная поддержка семей, имеющих детей"</t>
  </si>
  <si>
    <t>Подпрограмма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t>
  </si>
  <si>
    <t>Подпрограмма "Создание условий для безубыточной деятельности организаций жилищно-коммунального комплекса Богучанского района"</t>
  </si>
  <si>
    <t>Подпрограмма "Организация проведения капитального ремонта общего имущества в многоквартирных домах, расположенных на территории Богучанского района"</t>
  </si>
  <si>
    <t>Подпрограмма "Реконструкция и капитальный ремонт объектов коммунальной инфраструктуры муниципального образования Богучанский район"</t>
  </si>
  <si>
    <t>Подпрограмма "Искусство и народное творчество"</t>
  </si>
  <si>
    <t>Подпрограмма "Обеспечение условий реализации программы и прочие мероприятия"</t>
  </si>
  <si>
    <t>Муниципальная программа "Обеспечение доступным и комфортным жильем граждан Богучанского района"</t>
  </si>
  <si>
    <t>Подпрограмма "Приобретение жилых помещений работникам бюджетной сферы Богучанского района"</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</si>
  <si>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t>
  </si>
  <si>
    <t>Непрограммные расходы на обеспечение деятельности органов местного самоуправления</t>
  </si>
  <si>
    <t>Обеспечение деятельности местных администраций в рамках непрограммных расходов органов местного самоуправления</t>
  </si>
  <si>
    <t>Другие непрограммные расходы органов местного самоуправления</t>
  </si>
  <si>
    <t>322</t>
  </si>
  <si>
    <t>Субсидии гражданам на приобретение жилья</t>
  </si>
  <si>
    <t>дата Нового решения</t>
  </si>
  <si>
    <t>№ Нового решения</t>
  </si>
  <si>
    <t>номер нового</t>
  </si>
  <si>
    <t>Софинансирование за счет средств местного бюджета 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</si>
  <si>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</si>
  <si>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Расходы на отдых, оздоровление и занятость детей и подростков (приобретение продуктов питания)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</si>
  <si>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</si>
  <si>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Специалисты муниципальной психолого медико-педагогической комиссии, члены районного методического совета в рамках подпрограммы "Обеспечение реализации муниципальной программы и прочие мероприятия в области образование" муниципальной программы "Развитие образования Богучанского района"</t>
  </si>
  <si>
    <t>Оплата стоимости проезда в отпуск в соответствии с законодательством, работников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</si>
  <si>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жилищно-коммунальных услуг за исключением электроэнергии,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</si>
  <si>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</si>
  <si>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</si>
  <si>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Подпрограмма "Обеспечение реализации муниципальной программы и прочие мероприятия в области образования"</t>
  </si>
  <si>
    <t>Предоставление субсидий бюджетным учреждениям на приобретение основных средств в рамках подпрограммы "Культурное наследие" муниципальной программы Богучанского района "Развитие культуры"</t>
  </si>
  <si>
    <t>Земельный налог с организаций, обладающих земельным участком, расположенным в границах межселенных территорий</t>
  </si>
  <si>
    <t>06033</t>
  </si>
  <si>
    <t>06043</t>
  </si>
  <si>
    <t xml:space="preserve">Земельный налог с физических лиц, обладающих земельным участком, расположенным в границах межселенных территорий
</t>
  </si>
  <si>
    <t>02040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</si>
  <si>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</si>
  <si>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1.1.</t>
  </si>
  <si>
    <t>Администрация Ангарского  сельсовета</t>
  </si>
  <si>
    <t>- получение</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</si>
  <si>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</si>
  <si>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Выполнение полномочий поселений по библиотечному обслуживанию населения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"Культурное наследие" муниципальной программы Богучанского района "Развитие культуры"</t>
  </si>
  <si>
    <t>2018 год</t>
  </si>
  <si>
    <t>Налог, взимаемый в связи с применением патентной системы налогообложения</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</si>
  <si>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</si>
  <si>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</si>
  <si>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</si>
  <si>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09040</t>
  </si>
  <si>
    <t>Прочие поступления от использования имущества, находящегося в собственности муниципальных районов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</si>
  <si>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09045</t>
  </si>
  <si>
    <t>Плата за выбросы загрязняющих веществ в атмосферный воздух стацианарными объектами</t>
  </si>
  <si>
    <t>Плата за выбросы загрязняющих веществ в водные объекты</t>
  </si>
  <si>
    <t>Плата за размещение отходов производства и потребления</t>
  </si>
  <si>
    <t>Прочие субвенции</t>
  </si>
  <si>
    <t>Прочие субвенции бюджетам муниципальных районов</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</si>
  <si>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</si>
  <si>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7408</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</si>
  <si>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</si>
  <si>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7409</t>
  </si>
  <si>
    <t>Прочие доходы от оказания платных услуг (работ) получателями средств бюджетов муниципальных районов</t>
  </si>
  <si>
    <t>Всего расходов</t>
  </si>
  <si>
    <t>8020060000</t>
  </si>
  <si>
    <t>8020067000</t>
  </si>
  <si>
    <t>8030060000</t>
  </si>
  <si>
    <t>8030067000</t>
  </si>
  <si>
    <t>8040060000</t>
  </si>
  <si>
    <t>8040067000</t>
  </si>
  <si>
    <t>8010060000</t>
  </si>
  <si>
    <t>0420080040</t>
  </si>
  <si>
    <t>8020074670</t>
  </si>
  <si>
    <t>8020076040</t>
  </si>
  <si>
    <t>8020061000</t>
  </si>
  <si>
    <t>802006Б000</t>
  </si>
  <si>
    <t>80200Ч0010</t>
  </si>
  <si>
    <t>9040051200</t>
  </si>
  <si>
    <t>9020080000</t>
  </si>
  <si>
    <t>8020074290</t>
  </si>
  <si>
    <t>8020075190</t>
  </si>
  <si>
    <t>9060080000</t>
  </si>
  <si>
    <t>0410040010</t>
  </si>
  <si>
    <t>0410041010</t>
  </si>
  <si>
    <t>0420040010</t>
  </si>
  <si>
    <t>Оплата жилищно-коммунальных услуг за исключением электроэнергии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</si>
  <si>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042004Г010</t>
  </si>
  <si>
    <t>0420080020</t>
  </si>
  <si>
    <t>0420080030</t>
  </si>
  <si>
    <t>Обеспечение деятельности (оказание услуг)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</si>
  <si>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0420040090</t>
  </si>
  <si>
    <t>Оплата жилищно-коммунальных услуг за исключением электроэнергии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</si>
  <si>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042004Г090</t>
  </si>
  <si>
    <t>0410080010</t>
  </si>
  <si>
    <t>1210022480</t>
  </si>
  <si>
    <t>1230075170</t>
  </si>
  <si>
    <t>09200П0000</t>
  </si>
  <si>
    <t>0910080000</t>
  </si>
  <si>
    <t>0810080020</t>
  </si>
  <si>
    <t>Расходы на реализацию мероприятий,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</si>
  <si>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0810080010</t>
  </si>
  <si>
    <t>0830080030</t>
  </si>
  <si>
    <t>1220075180</t>
  </si>
  <si>
    <t>12200S5410</t>
  </si>
  <si>
    <t>0320075770</t>
  </si>
  <si>
    <t>0320075700</t>
  </si>
  <si>
    <t>Возмещение специализированным службам по вопросам похоронного дела стоимости услуг по погребению в рамках непрограммных расходов органов местного самоуправления</t>
  </si>
  <si>
    <t>90900Ш0000</t>
  </si>
  <si>
    <t>06100S4560</t>
  </si>
  <si>
    <t>0620080000</t>
  </si>
  <si>
    <t>0640074560</t>
  </si>
  <si>
    <t>0640040000</t>
  </si>
  <si>
    <t>0640041000</t>
  </si>
  <si>
    <t>0210080010</t>
  </si>
  <si>
    <t>0710080010</t>
  </si>
  <si>
    <t>0710080020</t>
  </si>
  <si>
    <t>0720080010</t>
  </si>
  <si>
    <t>0720080020</t>
  </si>
  <si>
    <t>0720080030</t>
  </si>
  <si>
    <t>0350080000</t>
  </si>
  <si>
    <t>9050040000</t>
  </si>
  <si>
    <t>9050047000</t>
  </si>
  <si>
    <t>0110083010</t>
  </si>
  <si>
    <t>01100S5620</t>
  </si>
  <si>
    <t>0220002750</t>
  </si>
  <si>
    <t>0240001510</t>
  </si>
  <si>
    <t>0250075130</t>
  </si>
  <si>
    <t>0260075130</t>
  </si>
  <si>
    <t>0520080520</t>
  </si>
  <si>
    <t>0530040000</t>
  </si>
  <si>
    <t>0530041000</t>
  </si>
  <si>
    <t>0530045000</t>
  </si>
  <si>
    <t>0530047000</t>
  </si>
  <si>
    <t>053004Г000</t>
  </si>
  <si>
    <t>0510040000</t>
  </si>
  <si>
    <t>0510041000</t>
  </si>
  <si>
    <t>0510047000</t>
  </si>
  <si>
    <t>051004Г000</t>
  </si>
  <si>
    <t>05100S4880</t>
  </si>
  <si>
    <t>05100Ч0040</t>
  </si>
  <si>
    <t>05100Ч1040</t>
  </si>
  <si>
    <t>05100Ч7040</t>
  </si>
  <si>
    <t>05100ЧГ040</t>
  </si>
  <si>
    <t>0510080520</t>
  </si>
  <si>
    <t>0510080530</t>
  </si>
  <si>
    <t>05100Ф0000</t>
  </si>
  <si>
    <t>0520040000</t>
  </si>
  <si>
    <t>0520041000</t>
  </si>
  <si>
    <t>0520045000</t>
  </si>
  <si>
    <t>0520047000</t>
  </si>
  <si>
    <t>052004Г000</t>
  </si>
  <si>
    <t>05200Ч0030</t>
  </si>
  <si>
    <t>05200Ч1030</t>
  </si>
  <si>
    <t>05200Ч5030</t>
  </si>
  <si>
    <t>05200Ч7030</t>
  </si>
  <si>
    <t>05200ЧГ030</t>
  </si>
  <si>
    <t>05300L1440</t>
  </si>
  <si>
    <t>05300Ф0000</t>
  </si>
  <si>
    <t>05300Ц0000</t>
  </si>
  <si>
    <t>0530051440</t>
  </si>
  <si>
    <t>90900Д0000</t>
  </si>
  <si>
    <t>90900Ж0000</t>
  </si>
  <si>
    <t>1050080000</t>
  </si>
  <si>
    <t>0330080000</t>
  </si>
  <si>
    <t>06300S4580</t>
  </si>
  <si>
    <t>0110075880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</si>
  <si>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</si>
  <si>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0110074080</t>
  </si>
  <si>
    <t>0110040010</t>
  </si>
  <si>
    <t>0110041010</t>
  </si>
  <si>
    <t>0110047010</t>
  </si>
  <si>
    <t>011004Г010</t>
  </si>
  <si>
    <t>011004П010</t>
  </si>
  <si>
    <t>0110075640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</si>
  <si>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</si>
  <si>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0110074090</t>
  </si>
  <si>
    <t>0110040020</t>
  </si>
  <si>
    <t>0110041020</t>
  </si>
  <si>
    <t>0110047020</t>
  </si>
  <si>
    <t>011004Г020</t>
  </si>
  <si>
    <t>0110040030</t>
  </si>
  <si>
    <t>0110041030</t>
  </si>
  <si>
    <t>0110045030</t>
  </si>
  <si>
    <t>0110043020</t>
  </si>
  <si>
    <t>011004П020</t>
  </si>
  <si>
    <t>0110047030</t>
  </si>
  <si>
    <t>011004Г030</t>
  </si>
  <si>
    <t>0110080020</t>
  </si>
  <si>
    <t>011008Ж020</t>
  </si>
  <si>
    <t>011008П020</t>
  </si>
  <si>
    <t>0110080040</t>
  </si>
  <si>
    <t>0340080000</t>
  </si>
  <si>
    <t>0930080010</t>
  </si>
  <si>
    <t>0110040040</t>
  </si>
  <si>
    <t>0110041040</t>
  </si>
  <si>
    <t>Оплата стоимости проезда в отпуск в соответствии с законодательством, работников муниципальных загородных оздоровительных лагерей,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</si>
  <si>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0110047040</t>
  </si>
  <si>
    <t>01100Ф0030</t>
  </si>
  <si>
    <t>01100Ц0010</t>
  </si>
  <si>
    <t>Софинансирование за счет средств местного бюджета расходов на организацию отдыха детей и их оздоровления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</si>
  <si>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01100S3970</t>
  </si>
  <si>
    <t>0140080000</t>
  </si>
  <si>
    <t>0110080030</t>
  </si>
  <si>
    <t>0130075520</t>
  </si>
  <si>
    <t>0140040000</t>
  </si>
  <si>
    <t>0140041000</t>
  </si>
  <si>
    <t>0140047000</t>
  </si>
  <si>
    <t>014004Г000</t>
  </si>
  <si>
    <t>0140060000</t>
  </si>
  <si>
    <t>0140067000</t>
  </si>
  <si>
    <t>0140040050</t>
  </si>
  <si>
    <t>0110075540</t>
  </si>
  <si>
    <t>0110075660</t>
  </si>
  <si>
    <t>0110075560</t>
  </si>
  <si>
    <t>1120060000</t>
  </si>
  <si>
    <t>1120061000</t>
  </si>
  <si>
    <t>1120067000</t>
  </si>
  <si>
    <t>112006Г000</t>
  </si>
  <si>
    <t>11200Ч0060</t>
  </si>
  <si>
    <t>9010080000</t>
  </si>
  <si>
    <t>1110075140</t>
  </si>
  <si>
    <t>9090080000</t>
  </si>
  <si>
    <t>1110051180</t>
  </si>
  <si>
    <t>Межбюджетные трансферты на осуществление полномочий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</si>
  <si>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09200Ч0090</t>
  </si>
  <si>
    <t>06100Ч0050</t>
  </si>
  <si>
    <t>9090075550</t>
  </si>
  <si>
    <t>1110076010</t>
  </si>
  <si>
    <t>1110080130</t>
  </si>
  <si>
    <t>1110080120</t>
  </si>
  <si>
    <t>03100S5710</t>
  </si>
  <si>
    <t>0360080000</t>
  </si>
  <si>
    <t>014008П000</t>
  </si>
  <si>
    <t>022</t>
  </si>
  <si>
    <t>026</t>
  </si>
  <si>
    <t>035</t>
  </si>
  <si>
    <t>80</t>
  </si>
  <si>
    <t>803</t>
  </si>
  <si>
    <t>804</t>
  </si>
  <si>
    <t>90</t>
  </si>
  <si>
    <t>901</t>
  </si>
  <si>
    <t>902</t>
  </si>
  <si>
    <t>904</t>
  </si>
  <si>
    <t>905</t>
  </si>
  <si>
    <t>906</t>
  </si>
  <si>
    <t>909</t>
  </si>
  <si>
    <t>Подпрограмма "Развитие и модернизация объектов коммунальной инфраструктуры на территории Богучанского района"</t>
  </si>
  <si>
    <t>031</t>
  </si>
  <si>
    <t>Подпрограмма "Обращение с отходами на территории Богучанского района"</t>
  </si>
  <si>
    <t>036</t>
  </si>
  <si>
    <t>09200L0000</t>
  </si>
  <si>
    <t>Отдельные мероприятия в области воздушного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</si>
  <si>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Расходы по строительству полигона ТБО в с. Богучаны за счет спонсорский средств, средств добровольных пожертвований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</si>
  <si>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0110026540</t>
  </si>
  <si>
    <t>На компенсацию расходов муниципальных спортивных школ, подготовивших спортсмена, ставшего членом спортивной сборной команды Красноярского края,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</si>
  <si>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0110042220</t>
  </si>
  <si>
    <t>Софинансирование за счет средств местного бюджета частичного финансирования (возмещения)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</si>
  <si>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0110045020</t>
  </si>
  <si>
    <t>Персональные выплаты, устанавливаемые в целях повышения оплаты труда молодым специалистам,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</si>
  <si>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</si>
  <si>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</si>
  <si>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0110074410</t>
  </si>
  <si>
    <t>Финансовая поддержка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</si>
  <si>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0110074700</t>
  </si>
  <si>
    <t>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</si>
  <si>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0110075580</t>
  </si>
  <si>
    <t>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</si>
  <si>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0110075620</t>
  </si>
  <si>
    <t>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</si>
  <si>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0110075840</t>
  </si>
  <si>
    <t>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</si>
  <si>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0110075850</t>
  </si>
  <si>
    <t>Организация отдыха, оздоровления и занятости детей в муниципальных загородных оздоровительных лагерях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</si>
  <si>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0110077460</t>
  </si>
  <si>
    <t>Средства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</si>
  <si>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0110080010</t>
  </si>
  <si>
    <t>Мероприятия по обеспечению жизнедеятельности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</si>
  <si>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0110080050</t>
  </si>
  <si>
    <t>Расходы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</si>
  <si>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0110082310</t>
  </si>
  <si>
    <t>0110082330</t>
  </si>
  <si>
    <t>Софинансирование за счет средств местного бюджета расходов на мероприятия государственной программы Российской Федерации «Доступная среда» на 2011 - 2015 годы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</si>
  <si>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0110082340</t>
  </si>
  <si>
    <t>Софинансирование за счет средств местного бюджета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</si>
  <si>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0110082350</t>
  </si>
  <si>
    <t>Софинансирование за счет средств местного бюджета расходов 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</si>
  <si>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01100Ц2170</t>
  </si>
  <si>
    <t>Софинансирование за счет средств местного бюджета расходов на финансовую поддержку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</si>
  <si>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027</t>
  </si>
  <si>
    <t>Подпрограмма "Доступная среда"</t>
  </si>
  <si>
    <t>0270010950</t>
  </si>
  <si>
    <t>На 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</si>
  <si>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0270050270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</si>
  <si>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«Доступная среда» муниципальной программы «Система социальной защиты Богучанского района»</t>
  </si>
  <si>
    <t>0270082330</t>
  </si>
  <si>
    <t>Софинансирование за счет средств местного бюджета расходов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</si>
  <si>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0310075710</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</si>
  <si>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</si>
  <si>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0350077450</t>
  </si>
  <si>
    <t>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</si>
  <si>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0350082360</t>
  </si>
  <si>
    <t>Софинансирование за счет средств местного бюджета расходов 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</si>
  <si>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0360083010</t>
  </si>
  <si>
    <t>0370080000</t>
  </si>
  <si>
    <t>Отдельные мероприятия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</si>
  <si>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03700Ч0080</t>
  </si>
  <si>
    <t>Межбюджетные трансферты на реализацию отдельных мероприятий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</si>
  <si>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0420080060</t>
  </si>
  <si>
    <t>Устройство летнего противопожарного водопровода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</si>
  <si>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04200Ф0000</t>
  </si>
  <si>
    <t>Расходы на приобретение основных средств, включая предоставление субсидий бюджетным учреждениям на приобретение основных средств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</si>
  <si>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0510051440</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</si>
  <si>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</si>
  <si>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0510074880</t>
  </si>
  <si>
    <t>Комплектование книжных фондов библиотек муниципальных образований Красноярского края в рамках подпрограммы "Культурное наследие" муниципальной программы Богучанского района "Развитие культуры"</t>
  </si>
  <si>
    <t>0510082290</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</si>
  <si>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</si>
  <si>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05200Ч0070</t>
  </si>
  <si>
    <t>Межбюджетные трансферты на предоставление субсидий бюджетным учреждениям в рамках подпрограммы "Искусство и народное творчество" муниципальной программы Богучанского района "Развитие культуры"</t>
  </si>
  <si>
    <t>0530051470</t>
  </si>
  <si>
    <t>Государственная поддержка муниципальных учреждений культуры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</si>
  <si>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0530051480</t>
  </si>
  <si>
    <t>Государственная поддержка лучших работников муниципальных учреждений культуры, находящихся на территориях сельских поселений,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</si>
  <si>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0530080020</t>
  </si>
  <si>
    <t>Предоставление субсидий бюджетным учреждениям на отдельные мероприятия 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</si>
  <si>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0530080030</t>
  </si>
  <si>
    <t>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</si>
  <si>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0530082290</t>
  </si>
  <si>
    <t>0630050200</t>
  </si>
  <si>
    <t>Реализация мероприятий по обеспечению жильем молодых семей федеральной целевой программы "Жилище" на 2011-2015 годы в рамках подпрограммы "Обеспечение жильем молодых семей в Богучанском районе" муниципальной программы "Молодежь Приангарья"</t>
  </si>
  <si>
    <t>0630074580</t>
  </si>
  <si>
    <t>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</si>
  <si>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0640047000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</si>
  <si>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реализации муниципальной программы и прочие мероприятия" муниципальной программы "Молодежь Приангарья"</t>
  </si>
  <si>
    <t>0810076070</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</si>
  <si>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</si>
  <si>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0910075080</t>
  </si>
  <si>
    <t>Межбюджетные трансферты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</si>
  <si>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0910075940</t>
  </si>
  <si>
    <t>Межбюджетные трансферты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</si>
  <si>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101</t>
  </si>
  <si>
    <t>Подпрограмма "Переселение граждан из аварийного жилищного фонда в муниципальных образованиях Богучанского района"</t>
  </si>
  <si>
    <t>1010080010</t>
  </si>
  <si>
    <t>Снос жилых домов, признанных в установленном порядке аварийными и подлежащими сносу,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</si>
  <si>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103</t>
  </si>
  <si>
    <t>Подпрограмма "Обеспечение жильем работников бюджетной сферы на территории Богучанского района"</t>
  </si>
  <si>
    <t>1030076080</t>
  </si>
  <si>
    <t>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</si>
  <si>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1030080000</t>
  </si>
  <si>
    <t>Отдельные мероприятия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</si>
  <si>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1030082120</t>
  </si>
  <si>
    <t>Софинансирование за счет средств местного бюджета расходов на 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</si>
  <si>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1110010210</t>
  </si>
  <si>
    <t>Межбюджетные трансферты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</si>
  <si>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1110010310</t>
  </si>
  <si>
    <t>Межбюджетные трансферты на персональные выплаты, устанавливаемые в целях повышения оплаты труда молодым специалистам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</si>
  <si>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1110077410</t>
  </si>
  <si>
    <t>Межбюджетные трансферты для реализации проектов по благоустройству территорий поселений, городских округов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</si>
  <si>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112006Б000</t>
  </si>
  <si>
    <t>Заработная плата и начисления работников, не являющихся лицами замещающими муниципальные должности, муниципальными служащими в рамках подпрограммы "Обеспечение реализации муниципальной программы" муниципальной программы "Управление муниципальными финансами"</t>
  </si>
  <si>
    <t>1210050550</t>
  </si>
  <si>
    <t>Субсидии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в рамках подпрограммы "Поддержка малых форм хозяйствования" муниципальной программы "Развитие сельского хозяйства в Богучанском районе"</t>
  </si>
  <si>
    <t>1220074510</t>
  </si>
  <si>
    <t>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</si>
  <si>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80200Ч0020</t>
  </si>
  <si>
    <t>Выполнение полномочий поселений по градостроительной деятельности в рамках непрограммных расходов органов местного самоуправления</t>
  </si>
  <si>
    <t>805</t>
  </si>
  <si>
    <t>Обеспечение деятельности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</si>
  <si>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8050060000</t>
  </si>
  <si>
    <t>8050067000</t>
  </si>
  <si>
    <t>Оплата стоимости проезда в отпуск в соответствии с законодательством,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</si>
  <si>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9090082320</t>
  </si>
  <si>
    <t>Софинансирование за счет средств местного бюджета расходов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непрограмных расходов органов местного самоуправления</t>
  </si>
  <si>
    <t>Отдельные мероприятия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</si>
  <si>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0820080010</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</si>
  <si>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Богучанского района"</t>
  </si>
  <si>
    <t>Расходы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инновационной деятельности на территории Богучанского района"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</si>
  <si>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09200Л0000</t>
  </si>
  <si>
    <t>880</t>
  </si>
  <si>
    <t>Фонд оплаты труда государственных (муниципальных) органов</t>
  </si>
  <si>
    <t>Уплата прочих налогов, сборов</t>
  </si>
  <si>
    <t>Оплата жилищно-коммунальных услуг за исключением электроэнергии в рамках непрограммных расходов органов местного самоуправления</t>
  </si>
  <si>
    <t>802006Г000</t>
  </si>
  <si>
    <t>Отдельные мероприятия в рамках подпрограммы "Вовлечение молодежи Богучанского района в социальную практику" муниципальной программы "Молодежь Приангарья"</t>
  </si>
  <si>
    <t>0610080000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</si>
  <si>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</si>
  <si>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</si>
  <si>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</si>
  <si>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</si>
  <si>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</si>
  <si>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052004Э000</t>
  </si>
  <si>
    <t>Оплата за электроэнергию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</si>
  <si>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011004Э010</t>
  </si>
  <si>
    <t>Оплата за электроэнергию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</si>
  <si>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011004Э020</t>
  </si>
  <si>
    <t>Оплата за электроэнергию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</si>
  <si>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011004Э030</t>
  </si>
  <si>
    <t>Оплата за электроэнергию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</si>
  <si>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за электроэнергию в рамках подпрограммы "Обеспечение реализации муниципальной программы" муниципальной программы "Управление муниципальными финансами"</t>
  </si>
  <si>
    <t>112006Э000</t>
  </si>
  <si>
    <t>0100000000</t>
  </si>
  <si>
    <t>0110000000</t>
  </si>
  <si>
    <t>0130000000</t>
  </si>
  <si>
    <t>0300000000</t>
  </si>
  <si>
    <t>0320000000</t>
  </si>
  <si>
    <t>0330000000</t>
  </si>
  <si>
    <t>0350000000</t>
  </si>
  <si>
    <t>0400000000</t>
  </si>
  <si>
    <t>0410000000</t>
  </si>
  <si>
    <t>0420000000</t>
  </si>
  <si>
    <t>0500000000</t>
  </si>
  <si>
    <t>0510000000</t>
  </si>
  <si>
    <t>0520000000</t>
  </si>
  <si>
    <t>0530000000</t>
  </si>
  <si>
    <t>0600000000</t>
  </si>
  <si>
    <t>0610000000</t>
  </si>
  <si>
    <t>0630000000</t>
  </si>
  <si>
    <t>0640000000</t>
  </si>
  <si>
    <t>0700000000</t>
  </si>
  <si>
    <t>0710000000</t>
  </si>
  <si>
    <t>0720000000</t>
  </si>
  <si>
    <t>0800000000</t>
  </si>
  <si>
    <t>0810000000</t>
  </si>
  <si>
    <t>0900000000</t>
  </si>
  <si>
    <t>0910000000</t>
  </si>
  <si>
    <t>0920000000</t>
  </si>
  <si>
    <t>0930000000</t>
  </si>
  <si>
    <t>1000000000</t>
  </si>
  <si>
    <t>1050000000</t>
  </si>
  <si>
    <t>1100000000</t>
  </si>
  <si>
    <t>1110000000</t>
  </si>
  <si>
    <t>1120000000</t>
  </si>
  <si>
    <t>1200000000</t>
  </si>
  <si>
    <t>1210000000</t>
  </si>
  <si>
    <t>1220000000</t>
  </si>
  <si>
    <t>1230000000</t>
  </si>
  <si>
    <t>8000000000</t>
  </si>
  <si>
    <t>8010000000</t>
  </si>
  <si>
    <t>8020000000</t>
  </si>
  <si>
    <t>8030000000</t>
  </si>
  <si>
    <t>8040000000</t>
  </si>
  <si>
    <t>9000000000</t>
  </si>
  <si>
    <t>9010000000</t>
  </si>
  <si>
    <t>9050000000</t>
  </si>
  <si>
    <t>9060000000</t>
  </si>
  <si>
    <t>9090000000</t>
  </si>
  <si>
    <t>Раздел</t>
  </si>
  <si>
    <t>Нормативы</t>
  </si>
  <si>
    <t>№ п/п</t>
  </si>
  <si>
    <t>Наименование доходов</t>
  </si>
  <si>
    <t>муници-пальный район</t>
  </si>
  <si>
    <t>посе-ления</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</si>
  <si>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</si>
  <si>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</si>
  <si>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</si>
  <si>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</si>
  <si>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</si>
  <si>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</si>
  <si>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</si>
  <si>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моторные масла для дизельных и (или) карбюраторных (инжекторных) двигателей,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</si>
  <si>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автомобильный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</si>
  <si>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прямогонный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</si>
  <si>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Единый сельскохозяйственный налог (за налоговые периоды, истекшие до 1 января 2011 года)***</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</si>
  <si>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</si>
  <si>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</si>
  <si>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</si>
  <si>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иные виды негативного воздействия на окружающую среду</t>
  </si>
  <si>
    <t>Плата за выбросы загрязняющих веществ, образующихся при сжигании на факельных установках и (или) рассеивании попутного нефтяного газа</t>
  </si>
  <si>
    <t>(в процентах)</t>
  </si>
  <si>
    <t xml:space="preserve">Налог на имущество физических лиц, в границах  межселенной территории </t>
  </si>
  <si>
    <t>Налог на имущество физических лиц, в границах  поселений</t>
  </si>
  <si>
    <t>Государственная пошлина за совершение нотариальных действий (за исключением действий, совершаемых консульскими учреждениями РФ)</t>
  </si>
  <si>
    <t>ЗАДОЛЖЕННОСТЬ И ПЕРЕРАСЧЕТЫ ПО ОТМЕНЕННЫМ НАЛОГАМ, СБОРАМ И ИНЫМ ОБЯЗАТЕЛЬНЫМ ПЛАТЕЖАМ:</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</si>
  <si>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</si>
  <si>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Невыясненные поступления бюджетов муниципальных районов</t>
  </si>
  <si>
    <t>Невыясненные поступления бюджетов поселений</t>
  </si>
  <si>
    <t xml:space="preserve">** акцизы распределяются в централизованном порядке по дифференцированным нормативам </t>
  </si>
  <si>
    <t>и плановый период 2017-2018 годов»</t>
  </si>
  <si>
    <t xml:space="preserve">в местные бюджеты в соответствии с приложением  к  Закону края «О краевом бюджете на 2016 год </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</si>
  <si>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муниципальных районов)</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</si>
  <si>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поселений)</t>
  </si>
  <si>
    <t>Земельный налог с организаций, в границах межселенных территорий</t>
  </si>
  <si>
    <t>Земельный налог с физических лиц, в границиах межселенных территорий</t>
  </si>
  <si>
    <t xml:space="preserve">890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</si>
  <si>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</si>
  <si>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</si>
  <si>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119</t>
  </si>
  <si>
    <t>Уплата иных платежей</t>
  </si>
  <si>
    <t>853</t>
  </si>
  <si>
    <t>113</t>
  </si>
  <si>
    <t>Администрация Манзенского сельсовета</t>
  </si>
  <si>
    <t>ВСЕГО:</t>
  </si>
  <si>
    <t>Муниципальное казенное учреждение "Централизованная бухгалтерия"</t>
  </si>
  <si>
    <t>Обеспечение деятельности муниципального казенного учреждения в рамках непрограммных расходов</t>
  </si>
  <si>
    <t>9070000000</t>
  </si>
  <si>
    <t>Доходы бюджетов муниципальных районов от возврата иными организациями остатков субсидий прошлых лет</t>
  </si>
  <si>
    <t>2019 год</t>
  </si>
  <si>
    <t>06025</t>
  </si>
  <si>
    <t>15001</t>
  </si>
  <si>
    <t>20000</t>
  </si>
  <si>
    <t>29999</t>
  </si>
  <si>
    <t>30000</t>
  </si>
  <si>
    <t>35118</t>
  </si>
  <si>
    <t>30024</t>
  </si>
  <si>
    <t>30029</t>
  </si>
  <si>
    <t>39999</t>
  </si>
  <si>
    <t>40000</t>
  </si>
  <si>
    <t>40014</t>
  </si>
  <si>
    <t>88**</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</si>
  <si>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</si>
  <si>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межбюджетные трансферты на осуществление полномочий по формированию, исполнению бюджетов поселений и контролю за их исполнением</t>
  </si>
  <si>
    <t>софин</t>
  </si>
  <si>
    <t>Оплата за электроэнергию в рамках непрограммных расходов органов местного самоуправления</t>
  </si>
  <si>
    <t>802006Э000</t>
  </si>
  <si>
    <t>Молодежная политика</t>
  </si>
  <si>
    <t>9070040000</t>
  </si>
  <si>
    <t>Дополнительное образование детей</t>
  </si>
  <si>
    <t>0703</t>
  </si>
  <si>
    <t xml:space="preserve">Решение Богучанского районного  Совета депутатов от 16.06.2016г. № 8/1-56 «Об утверждении Положения о почетном звании «Почетный гражданин Богучанского района» </t>
  </si>
  <si>
    <t>в том числе:</t>
  </si>
  <si>
    <t xml:space="preserve">за счет  средств субвенции на реализацию государственных  полномочий по расчету и предоставлению дотаций поселениям, входящим в состав  муниципального района края </t>
  </si>
  <si>
    <t>за счет собственных средств районного бюджета</t>
  </si>
  <si>
    <t>0620000000</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</si>
  <si>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</si>
  <si>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</si>
  <si>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гражданами,осуществляющимим трудовую деятельность по найму у физических лиц на основании патента в соответствии со статьей 227.1 Налогового кодекса РФ</t>
  </si>
  <si>
    <t>Земельный налог с организаций</t>
  </si>
  <si>
    <t>06030</t>
  </si>
  <si>
    <t>Земельный налог с физических лиц</t>
  </si>
  <si>
    <t>06040</t>
  </si>
  <si>
    <t>НАЛОГ НА ПРИБЫЛЬ ОРГАНИЗАЦИЙ</t>
  </si>
  <si>
    <t>НАЛОГ НА ДОХОДЫ ФИЗИЧЕСКИХ ЛИЦ</t>
  </si>
  <si>
    <t>НАЛОГИ НА ТОВАРЫ (РАБОТЫ, УСЛУГИ), РЕАЛИЗУЕМЫЕ НА ТЕРРИТОРИИ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</si>
  <si>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</si>
  <si>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</si>
  <si>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</si>
  <si>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</si>
  <si>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</si>
  <si>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</si>
  <si>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Плата за негативное воздействие на окружающую среду</t>
  </si>
  <si>
    <t>ДОХОДЫ ОТ ОКАЗАНИЯ ПЛАТНЫХ УСЛУГ (РАБОТ) И КОМПЕНСАЦИИ ЗАТРАТ ГОСУДАРСТВА</t>
  </si>
  <si>
    <t>Доходы от оказаниы платных услуг (работ)</t>
  </si>
  <si>
    <t>Прочие доходы от оказания платных услуг (работ)</t>
  </si>
  <si>
    <t>01990</t>
  </si>
  <si>
    <t>Доходы от компенсации затрат государства</t>
  </si>
  <si>
    <t>Доходы, поступающие в порядке возмещения расходов, понесенных в связи с эксплуатацией имущества</t>
  </si>
  <si>
    <t>02060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</si>
  <si>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</si>
  <si>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</si>
  <si>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</si>
  <si>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</si>
  <si>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</si>
  <si>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</si>
  <si>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06020</t>
  </si>
  <si>
    <t>Доходы от продажи земельных участков, находящихся в собственности муниципальных районов (за исключением земельных участков бюджетных и автономных учреждений)</t>
  </si>
  <si>
    <t>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</si>
  <si>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Прочие доходы от оказания платных услуг (работ) получателями средств  бюджетов муниципальных районов </t>
  </si>
  <si>
    <t>01 03 01 00 05 0000 710</t>
  </si>
  <si>
    <t>01 03 01 00 05 0000 810</t>
  </si>
  <si>
    <t>Государственная пошлина за выдачу разрешения на установку рекламной конструкции (основной платеж)</t>
  </si>
  <si>
    <t>Прочие неналоговые доходы бюджетов муниципальных районов (по основному платежу)</t>
  </si>
  <si>
    <t>Прочие неналоговые доходы бюджетов муниципальных районов ( по основному платежу)</t>
  </si>
  <si>
    <t>Доходы бюджетов муниципальных районов от возврата бюджетными учреждениями остатков субсидий прошлых лет (по целевым средствам прошлых лет (ЦСР 5210212, 0227564, 0220075640))</t>
  </si>
  <si>
    <t>Прочие неналоговые доходы бюджетов муниципальных районов( по основному платежу)</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</si>
  <si>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</si>
  <si>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обеспечение первичных мер пожарной безопасности)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</si>
  <si>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</si>
  <si>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</si>
  <si>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</si>
  <si>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</si>
  <si>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890 01 03 01 00 05 0000 710</t>
  </si>
  <si>
    <t>890 01 03 01 00 05 0000 810</t>
  </si>
  <si>
    <t>0120075520</t>
  </si>
  <si>
    <t>0130040000</t>
  </si>
  <si>
    <t>0130041000</t>
  </si>
  <si>
    <t>0130047000</t>
  </si>
  <si>
    <t>013004Г000</t>
  </si>
  <si>
    <t>0130060000</t>
  </si>
  <si>
    <t>0130067000</t>
  </si>
  <si>
    <t>0130040050</t>
  </si>
  <si>
    <t>0120000000</t>
  </si>
  <si>
    <t>0100</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</si>
  <si>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</si>
  <si>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Оплата стоимости проезда в отпуск в соответствии с законодательством, депутатов представительного органа муниципального образования в рамках непрограммных расходов органов местного самоуправления</t>
  </si>
  <si>
    <t>0300</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</si>
  <si>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</si>
  <si>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</si>
  <si>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0400</t>
  </si>
  <si>
    <t>0500</t>
  </si>
  <si>
    <t>0700</t>
  </si>
  <si>
    <t>1000</t>
  </si>
  <si>
    <t>1100</t>
  </si>
  <si>
    <t>Оплата стоимости проезда в отпуск в соответствии с законодательством, работников муниципального казенного учреждения в рамках непрограммых расходов</t>
  </si>
  <si>
    <t>9070047000</t>
  </si>
  <si>
    <t>Иные выплаты персоналу учреждений, за исключением фонда оплаты труда</t>
  </si>
  <si>
    <t>0800</t>
  </si>
  <si>
    <t>Иные выплаты, за исключением фонда оплаты труда учреждений, лицам, привлекаемым согласно законодательству для выполнения отдельных полномочий</t>
  </si>
  <si>
    <t>Оплата жилищно-коммунальных услуг за исключением электроэнергии,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</si>
  <si>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011004Г040</t>
  </si>
  <si>
    <t>Оплата за электроэнергию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</si>
  <si>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011004Э040</t>
  </si>
  <si>
    <t>013004Э000</t>
  </si>
  <si>
    <t>0200</t>
  </si>
  <si>
    <t>0900</t>
  </si>
  <si>
    <t>Другие вопросы в области здравоохранения</t>
  </si>
  <si>
    <t>МЕЖБЮДЖЕТНЫЕ ТРАНСФЕРТЫ ОБЩЕГО ХАРАКТЕРА БЮДЖЕТАМ БЮДЖЕТНОЙ СИСТЕМЫ РОССИЙСКОЙ ФЕДЕРАЦИИ</t>
  </si>
  <si>
    <t>1400</t>
  </si>
  <si>
    <t>Субсидии бюджетам муниципальных образований края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</si>
  <si>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</si>
  <si>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7397</t>
  </si>
  <si>
    <t>35543</t>
  </si>
  <si>
    <t>7412</t>
  </si>
  <si>
    <t>7413</t>
  </si>
  <si>
    <t>Поддержка отрасли культуры за счет средств федерального бюджета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</si>
  <si>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25519</t>
  </si>
  <si>
    <t>Субсидия бюджетам на развитие отрасли культуры</t>
  </si>
  <si>
    <t>7509</t>
  </si>
  <si>
    <t>1043</t>
  </si>
  <si>
    <t>Субсидии бюджетам муниципальных образований на повышение размеров оплаты труда специалистов по работе с молодежью, методистов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</si>
  <si>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</si>
  <si>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</si>
  <si>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19</t>
  </si>
  <si>
    <t>60010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</si>
  <si>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</si>
  <si>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Прочие межбюджетные трансферты, передаваемые бюджетам</t>
  </si>
  <si>
    <t>49999</t>
  </si>
  <si>
    <t>Прочие межбюджетные трансферты, передаваемые бюджетам муниципальных районов</t>
  </si>
  <si>
    <t>Средства на повышение размеров оплаты труда основного персонала библиотек и музеев Красноярского края по министерству культуры Красноярского края в рамках непрограммных расходов отдельных органов исполнительной власти</t>
  </si>
  <si>
    <t>1044</t>
  </si>
  <si>
    <t>17</t>
  </si>
  <si>
    <t>05050</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</si>
  <si>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</si>
  <si>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18</t>
  </si>
  <si>
    <t>Доходы бюджетов бюджетной системы Российской Федерации от возврата организациями остатков субсидий прошлых лет</t>
  </si>
  <si>
    <t>Доходы бюджетов муниципальных районов от возврата организациями остатков субсидий прошлых лет</t>
  </si>
  <si>
    <t>дороги с</t>
  </si>
  <si>
    <t>дороги кап</t>
  </si>
  <si>
    <t>пожарка</t>
  </si>
  <si>
    <t>0420074120</t>
  </si>
  <si>
    <t>На реализацию отдельных мер по обеспечению ограничения платы граждан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</si>
  <si>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Исполнение судебных актов Российской Федерации и мировых соглашений по возмещению причиненного вреда</t>
  </si>
  <si>
    <t>0430000000</t>
  </si>
  <si>
    <t>Администрация Таежнинского сельсовета Богучанского района Красноярского края</t>
  </si>
  <si>
    <t>Субсидии бюджетам муниципальных образований на развитие инфраструктуры общеобразовательных организаций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</si>
  <si>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7563</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</si>
  <si>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подпрограммы «Повышение безопасности дорожного движения» государственной программы Красноярского края «Развитие транспортной системы»</t>
  </si>
  <si>
    <t>7398</t>
  </si>
  <si>
    <t>Дотации бюджетам на поддержку мер по обеспечению сбалансированности бюджетов</t>
  </si>
  <si>
    <t>15002</t>
  </si>
  <si>
    <t>Безвозмездные поступления от негосударственных организаций</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</si>
  <si>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</si>
  <si>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</si>
  <si>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05099</t>
  </si>
  <si>
    <t>Муниципальное казенное учреждение "Муниципальная пожарная часть № 1"</t>
  </si>
  <si>
    <t>государств гарантии</t>
  </si>
  <si>
    <t>Субсидии бюджетам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</si>
  <si>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25558</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</si>
  <si>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</si>
  <si>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муниципальных образований на 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муниципальных образований»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</si>
  <si>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7571</t>
  </si>
  <si>
    <t>9965</t>
  </si>
  <si>
    <t>9964</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</si>
  <si>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 </t>
  </si>
  <si>
    <t>7840</t>
  </si>
  <si>
    <t>1021</t>
  </si>
  <si>
    <t>Персональные выплаты, установленные в целях повышения оплаты труда молодым специалистам, персональные выплаты, устанавливаемые с учетом опыта работы при наличии учетной степени, почетного звания, нагрудного знака (значка), по министерству финансов Красноярского края в рамках непрограммных расходов отдельных органов исполнительной власти</t>
  </si>
  <si>
    <t>1031</t>
  </si>
  <si>
    <t>7741</t>
  </si>
  <si>
    <t>7749</t>
  </si>
  <si>
    <t>Средства на повышение размеров оплаты труда методистов муниципальных методических кабинетов (центров) сферы «Образование»,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 по министерству образования Красноярского края в рамках непрограммных расходов отдельных органов исполнительной власти</t>
  </si>
  <si>
    <t>1045</t>
  </si>
  <si>
    <t xml:space="preserve">Средства на повышение размеров оплаты труда основного и административно-управленческого персонала учреждений культуры, подведомственных муниципальным органам управления в области культуры, по министерству культуры Красноярского края в рамках непрограммных расходов отдельных органов исполнительной власти </t>
  </si>
  <si>
    <t>1046</t>
  </si>
  <si>
    <t>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XXI веке»</t>
  </si>
  <si>
    <t>7454</t>
  </si>
  <si>
    <t>7645</t>
  </si>
  <si>
    <t>Субсидии бюджетам муниципальных образований на создание условий для развития услуг связи в малочисленных и труднодоступных населенных пунктах Красноярского края в рамках подпрограммы «Инфраструктура информационного общества и электронного правительства» государственной программы Красноярского края «Развитие информационного общества»</t>
  </si>
  <si>
    <t>7745</t>
  </si>
  <si>
    <t>7607</t>
  </si>
  <si>
    <t>Подпрограмма "Осуществление градостроительной деятельности в Богучанском районе"</t>
  </si>
  <si>
    <t>1040000000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</si>
  <si>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</si>
  <si>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</si>
  <si>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</si>
  <si>
    <t>Расходы на 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</si>
  <si>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1220080010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</si>
  <si>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</si>
  <si>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</si>
  <si>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</si>
  <si>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0710041000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</si>
  <si>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</si>
  <si>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0710047000</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</si>
  <si>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</si>
  <si>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071004Г000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</si>
  <si>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</si>
  <si>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071004Э000</t>
  </si>
  <si>
    <t>Выполнение полномочий поселения по организации и проведения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</si>
  <si>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07100Ч0020</t>
  </si>
  <si>
    <t>Выполнение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</si>
  <si>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0110076490</t>
  </si>
  <si>
    <t>Расходы на выплаты персоналу казенных учреждений</t>
  </si>
  <si>
    <t>2020 год</t>
  </si>
  <si>
    <t>Судебная система</t>
  </si>
  <si>
    <t>0105</t>
  </si>
  <si>
    <t>9040000000</t>
  </si>
  <si>
    <t xml:space="preserve">межбюджетные трансферты на осуществление (возмещение расходов по осуществлению) части полномочий по обеспечению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</si>
  <si>
    <t>Всего расходов:</t>
  </si>
  <si>
    <t>Иные закупки товаров, работ и услуг для обеспечения государственных (муниципальных) нужд</t>
  </si>
  <si>
    <t>240</t>
  </si>
  <si>
    <t>Субсидии бюджетным учреждениям</t>
  </si>
  <si>
    <t>610</t>
  </si>
  <si>
    <t>Социальные выплаты гражданам, кроме публичных нормативных социальных выплат</t>
  </si>
  <si>
    <t>Уплата налогов, сборов и иных платежей</t>
  </si>
  <si>
    <t>850</t>
  </si>
  <si>
    <t>Расходы на выплаты персоналу государственных (муниципальных) органов</t>
  </si>
  <si>
    <t>Публичные нормативные социальные выплаты гражданам</t>
  </si>
  <si>
    <t>310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</si>
  <si>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</si>
  <si>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Бюджетные инвестиции</t>
  </si>
  <si>
    <t>Дотации</t>
  </si>
  <si>
    <t>510</t>
  </si>
  <si>
    <t>Исполнение судебных актов</t>
  </si>
  <si>
    <t>Государственная пошлина за выдачу разрешения на установку рекламной конструкции</t>
  </si>
  <si>
    <t>07150</t>
  </si>
  <si>
    <t>7649</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</si>
  <si>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</si>
  <si>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35082</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</si>
  <si>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</si>
  <si>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35120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</si>
  <si>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содержание автомобильных дорог общего пользования местного значения за счет средств дорожного фонда Красноярского края)</t>
  </si>
  <si>
    <t xml:space="preserve">Решение районного Совета депутатов от 16.03.2017г. № 14/1-98 «Об утверждении Порядка назначения  перерасчета размера  и выплаты  пенсии за выслугу лет  лицам замещавшим должности   муниципальной службы в муниципальном образовании Богучанский район, и порядка  введения сводного  реестра  лиц,  являющихся получателями пенсии за выслугу лет выплачиваемой  за счет средств  районного бюджета" 
</t>
  </si>
  <si>
    <t>Оплата жилищно-коммунальных услуг за исключением электроэнергии,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</si>
  <si>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064004Г000</t>
  </si>
  <si>
    <t>Оплата за электроэнергию,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</si>
  <si>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064004Э000</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</si>
  <si>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</si>
  <si>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Возврат остатков субвенций на содействие достижению целевых показателей региональных программ развития агропромышленного комплекса из бюджетов муниципальных районов</t>
  </si>
  <si>
    <t>Доходы бюджетов муниципальных районов от возврата остатков субвенций на осуществление первичного воинского учета на территориях, где отсутствуют военные комиссариаты из бюджетов поселений</t>
  </si>
  <si>
    <t>1048</t>
  </si>
  <si>
    <t>1049</t>
  </si>
  <si>
    <t>9963</t>
  </si>
  <si>
    <t>9009</t>
  </si>
  <si>
    <t>1 13 02995 05 9963 130</t>
  </si>
  <si>
    <t>Прочие доходы от компенсации затрат бюджетов муниципальных районов</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</si>
  <si>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районов</t>
  </si>
  <si>
    <t>02990</t>
  </si>
  <si>
    <t>02995</t>
  </si>
  <si>
    <t>25064</t>
  </si>
  <si>
    <t>Прочая закупка товаров, работ и услуг</t>
  </si>
  <si>
    <t>04200S4120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</si>
  <si>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</si>
  <si>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</si>
  <si>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09100S5080</t>
  </si>
  <si>
    <t>Физическая культура</t>
  </si>
  <si>
    <t>1101</t>
  </si>
  <si>
    <t xml:space="preserve">Администрация Чуноярского сельсовета </t>
  </si>
  <si>
    <t>Субсидии бюджетам муниципальных образований на предоставление социальных выплат молодым семьям на приобретение (строительство) жилья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t>
  </si>
  <si>
    <t>Субсидии бюджетам муниципальных образований на предоставление социальных выплат молодым семьям на приобретение (строительство) жилья</t>
  </si>
  <si>
    <t>25497</t>
  </si>
  <si>
    <t>Бюджетные инвестиции в объекты капитального строительства государственной (муниципальной) собственности</t>
  </si>
  <si>
    <t>414</t>
  </si>
  <si>
    <t>Отдельные мероприятия в рамках подпрограммы "Осуществление градостроительной деятельности в Богучанском районе" муниципальной программы "Обеспечение доступным и комфортным жильем граждан Богучанского района"</t>
  </si>
  <si>
    <t>1040080000</t>
  </si>
  <si>
    <t>06300L4970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</si>
  <si>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</si>
  <si>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</si>
  <si>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</si>
  <si>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25467</t>
  </si>
  <si>
    <t>7418</t>
  </si>
  <si>
    <t>Плата за размещение отходов производства</t>
  </si>
  <si>
    <t>01041</t>
  </si>
  <si>
    <t>Администрация Невонского  сельсовета</t>
  </si>
  <si>
    <t xml:space="preserve">Управление образования администрации Богучанского района Красноярского края </t>
  </si>
  <si>
    <t xml:space="preserve">Управление муниципальной собственностью Богучанского района </t>
  </si>
  <si>
    <t xml:space="preserve">Администрация Богучанского района </t>
  </si>
  <si>
    <t>Муниципальная программа "Развитие инвестиционной деятельности, малого и среднего предпринимательства на территории Богучанского района"</t>
  </si>
  <si>
    <t>1 13 02995 05 0000 130</t>
  </si>
  <si>
    <t>9972</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</si>
  <si>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</si>
  <si>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1040</t>
  </si>
  <si>
    <t>Администрация Белякинского сельского совета</t>
  </si>
  <si>
    <t>Администрация Богучанского сельского совета</t>
  </si>
  <si>
    <t>Администрация Осиновомысского  сельсовета</t>
  </si>
  <si>
    <t>Администрация Таежнинского  сельсовета</t>
  </si>
  <si>
    <t>Субсидии бюджетам муниципальных образований края, расположенных в районах Крайнего Севера и приравненных к ним местностях с ограниченными сроками завоза грузов, на финансирование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2018 год,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t>
  </si>
  <si>
    <t>на 2021 год всего, в том числе:</t>
  </si>
  <si>
    <t>2021 год</t>
  </si>
  <si>
    <t xml:space="preserve"> на 2021 год всего, в том числе:</t>
  </si>
  <si>
    <t xml:space="preserve"> 2020 год</t>
  </si>
  <si>
    <t>150</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</si>
  <si>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</si>
  <si>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1 14 02053 05 1000 440</t>
  </si>
  <si>
    <t>2 18 60010 05 0000 150</t>
  </si>
  <si>
    <t>2 18 60010 05 7514 150</t>
  </si>
  <si>
    <t>2 18 60010 05 7412 150</t>
  </si>
  <si>
    <t>2 18 60010 05 7508 150</t>
  </si>
  <si>
    <t>2 18 60010 05 7509 150</t>
  </si>
  <si>
    <t>2 19 25020 05 0000 150</t>
  </si>
  <si>
    <t>2 19 25097 05 0000 150</t>
  </si>
  <si>
    <t>2 19 25064 05 0000 150</t>
  </si>
  <si>
    <t>2 19 35118 05 0000 150</t>
  </si>
  <si>
    <t>2 19 35543 05 0000 150</t>
  </si>
  <si>
    <t>2 19 60010 05 0000 150</t>
  </si>
  <si>
    <t>2 19 60010 05 9911 150</t>
  </si>
  <si>
    <t>2 02 15002 05 0000 150</t>
  </si>
  <si>
    <t xml:space="preserve"> 2 02 20299 05 0000 150</t>
  </si>
  <si>
    <t>2 02 20302 05 0000 150</t>
  </si>
  <si>
    <t>2 02 25097 05 0000 150</t>
  </si>
  <si>
    <t>2 02 25467 05 0000 150</t>
  </si>
  <si>
    <t>2 02 25497 05 0000 150</t>
  </si>
  <si>
    <t>2 02 25519 05 0000 150</t>
  </si>
  <si>
    <t>2 02 29999 05 1049 150</t>
  </si>
  <si>
    <t>2 02 29999 05 7397 150</t>
  </si>
  <si>
    <t>2 02 29999 05 7398 150</t>
  </si>
  <si>
    <t>2 02 29999 05 7412 150</t>
  </si>
  <si>
    <t>2 02 29999 05 7413 150</t>
  </si>
  <si>
    <t>2 02 29999 05 7418 150</t>
  </si>
  <si>
    <t>2 02 29999 05 7456 150</t>
  </si>
  <si>
    <t>2 02 29999 05 7466 150</t>
  </si>
  <si>
    <t>2 02 29999 05 7492 150</t>
  </si>
  <si>
    <t>2 02 29999 05 7494 150</t>
  </si>
  <si>
    <t>2 02 29999 05 7508 150</t>
  </si>
  <si>
    <t>2 02 29999 05 7509 150</t>
  </si>
  <si>
    <t>2 02 29999 05 7555 150</t>
  </si>
  <si>
    <t>2 02 29999 05 7563 150</t>
  </si>
  <si>
    <t>2 02 29999 05 7571 150</t>
  </si>
  <si>
    <t>2 02 29999 05 7580 150</t>
  </si>
  <si>
    <t>2 02 29999 05 7607 150</t>
  </si>
  <si>
    <t>2 02 29999 05 7741 150</t>
  </si>
  <si>
    <t>2 02 29999 05 7749 150</t>
  </si>
  <si>
    <t xml:space="preserve"> 2 02 30024 05 7408 150</t>
  </si>
  <si>
    <t xml:space="preserve"> 2 02 30024 05 7409 150</t>
  </si>
  <si>
    <t>2 02 30024 05 7429 150</t>
  </si>
  <si>
    <t>2 02 30024 05 7467 150</t>
  </si>
  <si>
    <t>2 02 30024 05 7513 150</t>
  </si>
  <si>
    <t>2 02 30024 05 7514 150</t>
  </si>
  <si>
    <t>2 02 30024 05 7517 150</t>
  </si>
  <si>
    <t>2 02 30024 05 7518 150</t>
  </si>
  <si>
    <t>2 02 30024 05 7519 150</t>
  </si>
  <si>
    <t>2 02 30024 05 7552 150</t>
  </si>
  <si>
    <t>2 02 30024 05 7554 150</t>
  </si>
  <si>
    <t>2 02 30024 05 7564 150</t>
  </si>
  <si>
    <t>2 02 30024 05 7566 150</t>
  </si>
  <si>
    <t>2 02 30024 05 7570 150</t>
  </si>
  <si>
    <t>2 02 30024 05 7577 150</t>
  </si>
  <si>
    <t>2 02 30024 05 7588 150</t>
  </si>
  <si>
    <t>2 02 30024 05 7601 150</t>
  </si>
  <si>
    <t xml:space="preserve"> 2 02 30024 05 7604 150</t>
  </si>
  <si>
    <t xml:space="preserve"> 2 02 30024 05 7649 150</t>
  </si>
  <si>
    <t>2 02 30029 05 0000 150</t>
  </si>
  <si>
    <t>2 02 35120 05 0000 150</t>
  </si>
  <si>
    <t>2 02 35118 05 0000 150</t>
  </si>
  <si>
    <t>2 02 40014 05 0000 150</t>
  </si>
  <si>
    <t>2 02 49999 05 7745 150</t>
  </si>
  <si>
    <t>2 02 30024 05 2438 150</t>
  </si>
  <si>
    <t>2 02 49999 05 9009 150</t>
  </si>
  <si>
    <t>2 19 35120 05 0000 150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</si>
  <si>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</si>
  <si>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Функционирование высшего должностного лица субъекта Российской Федерации и муниципального образования</t>
  </si>
  <si>
    <t>Субсидии гражданам, ведущим личное подсобное хозяйство на территории края, на возмещение части затрат на уплату процентов по кредитам, полученным на срок до 5 лет, в рамках подпрограммы "Поддержка малых форм хозяйствования" муниципальной программы "Развитие сельского хозяйства в Богучанском районе"</t>
  </si>
  <si>
    <t>1210024380</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</si>
  <si>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</si>
  <si>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0820000000</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</si>
  <si>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деятельности, малого и среднего предпринимательства на территории Богучанского района"</t>
  </si>
  <si>
    <t>0820080030</t>
  </si>
  <si>
    <t>0340000000</t>
  </si>
  <si>
    <t>Расходы на отдельные мероприятия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</si>
  <si>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0320080090</t>
  </si>
  <si>
    <t>Расходы на оплату ЖКУ за исключением электроэнергии,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</si>
  <si>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032008Г090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</si>
  <si>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</si>
  <si>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</si>
  <si>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200</t>
  </si>
  <si>
    <t>Иные бюджетные ассигнования</t>
  </si>
  <si>
    <t>800</t>
  </si>
  <si>
    <t>Социальное обеспечение и иные выплаты населению</t>
  </si>
  <si>
    <t>300</t>
  </si>
  <si>
    <t>Капитальные вложения в объекты государственной (муниципальной) собственности</t>
  </si>
  <si>
    <t>400</t>
  </si>
  <si>
    <t>Предоставление субсидий бюджетным, автономным учреждениям и иным некоммерческим организациям</t>
  </si>
  <si>
    <t>600</t>
  </si>
  <si>
    <t>Межбюджетные трансферты</t>
  </si>
  <si>
    <t>500</t>
  </si>
  <si>
    <t>Раздел Подраздел</t>
  </si>
  <si>
    <t>Код ведомства</t>
  </si>
  <si>
    <t>Целевая статья</t>
  </si>
  <si>
    <t>Вид расходов</t>
  </si>
  <si>
    <t>Наименование главных распорядителей и наименование показателей бюджетной классификации</t>
  </si>
  <si>
    <t>Наименование показателя бюджетной классификации</t>
  </si>
  <si>
    <t>Раздел подраздел</t>
  </si>
  <si>
    <t>межбюджетные трансферты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t>
  </si>
  <si>
    <t>на 2022 год всего, в том числе:</t>
  </si>
  <si>
    <t>2022 год</t>
  </si>
  <si>
    <t xml:space="preserve"> на 2022 год всего, в том числе:</t>
  </si>
  <si>
    <t xml:space="preserve"> 2021 год</t>
  </si>
  <si>
    <t xml:space="preserve"> рег вып</t>
  </si>
  <si>
    <t>Подпрограмма "Профилактика терроризма, а так же минимизации и ликвидации последствий его проявлений на территории Богучанского района"</t>
  </si>
  <si>
    <t>04100S4130</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</si>
  <si>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</si>
  <si>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813</t>
  </si>
  <si>
    <t>08100S6070</t>
  </si>
  <si>
    <t>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</si>
  <si>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Средства на организацию и осуществление деятельности по опеке и попечительству в отношении совершеннолетних граждан, а также в сфере патронажа в рамках непрограммных расходов органов местного самоуправления</t>
  </si>
  <si>
    <t>8020002890</t>
  </si>
  <si>
    <t>Подпрограмма ""Чистая вода" на территории муниципального образования Богучанский район"</t>
  </si>
  <si>
    <t>0370000000</t>
  </si>
  <si>
    <t>03700S5720</t>
  </si>
  <si>
    <t>Муниципальное казенное учреждение "Управление культуры, физической культуры, спорта и молодежной политики Богучанского района"</t>
  </si>
  <si>
    <t>06400S4560</t>
  </si>
  <si>
    <t>05100L5191</t>
  </si>
  <si>
    <t>Софинансирование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</si>
  <si>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Муниципальная программа "Развитие физической культуры и спорта в Богучанском районе"</t>
  </si>
  <si>
    <t>1030000000</t>
  </si>
  <si>
    <t>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</si>
  <si>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0120075870</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</si>
  <si>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</si>
  <si>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</si>
  <si>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</si>
  <si>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</si>
  <si>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01100S5630</t>
  </si>
  <si>
    <t>01100S5980</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</si>
  <si>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</si>
  <si>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</si>
  <si>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</si>
  <si>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подведомственных учреждений не ниже размера минимальной заработной платы (минимального размера оплаты труда)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</si>
  <si>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0420041010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</si>
  <si>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оплаты проезда,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</si>
  <si>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0420047010</t>
  </si>
  <si>
    <t>Оплата за электроэнергию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</si>
  <si>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042004Э010</t>
  </si>
  <si>
    <t>Расходы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</si>
  <si>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0320081090</t>
  </si>
  <si>
    <t>Муниципальная программа Богучанского района "Управление муниципальными финансами"</t>
  </si>
  <si>
    <t>Расходы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 в рамках подпрограммы "Обеспечение реализации муниципальной программы" муниципальной программы "Управление муниципальными финансами"</t>
  </si>
  <si>
    <t>11200Ч0070</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</si>
  <si>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Богучанского района"</t>
  </si>
  <si>
    <t>Субсидии</t>
  </si>
  <si>
    <t>520</t>
  </si>
  <si>
    <t>Субсидии, за исключением субсидий на софинансирование капитальных вложений в объекты государственной (муниципальной) собственности</t>
  </si>
  <si>
    <t>521</t>
  </si>
  <si>
    <t>Субсидии бюджетам поселений Богучанского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</si>
  <si>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09100S5090</t>
  </si>
  <si>
    <t>Дотации поселениям на выравнивание бюджетной обеспеченности за счет средств субвенции из краевого бюджета на осуществление отдельных государственных полномочий по расчету и предоставлению дотаций поселениям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</si>
  <si>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1110010490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</si>
  <si>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</si>
  <si>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</si>
  <si>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01011</t>
  </si>
  <si>
    <t>Налог, взимаемый с налогоплательщиков, выбравших в качестве объекта налогообложения доходы, уменьшенные на величину расходов</t>
  </si>
  <si>
    <t>01020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</si>
  <si>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</si>
  <si>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02021</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</si>
  <si>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</si>
  <si>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</si>
  <si>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01060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</si>
  <si>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</si>
  <si>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01063</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</si>
  <si>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</si>
  <si>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01080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</si>
  <si>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</si>
  <si>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</si>
  <si>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10100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</si>
  <si>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</si>
  <si>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10120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</si>
  <si>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</si>
  <si>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10123</t>
  </si>
  <si>
    <t>Субсидия бюджетам на поддержку отрасли культуры</t>
  </si>
  <si>
    <t>Субсидия бюджетам муниципальных районов на поддержку отрасли культуры (комплектование книжных фондов муниципальных общедоступных библиотек)</t>
  </si>
  <si>
    <t>1598</t>
  </si>
  <si>
    <t>7488</t>
  </si>
  <si>
    <t>Субвенции бюджетам бюджетной системы Российской Федерации</t>
  </si>
  <si>
    <t>0289</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</si>
  <si>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</si>
  <si>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</si>
  <si>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</si>
  <si>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</si>
  <si>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</si>
  <si>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перечень субсидий</t>
  </si>
  <si>
    <t>Раздел, подраздел</t>
  </si>
  <si>
    <t>Всего</t>
  </si>
  <si>
    <t>Получение кредитов от кредитных организаций бюджетами муниципальных районов в валюте Российской Федерации</t>
  </si>
  <si>
    <t>Погашение бюджетами муниципальных районов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</si>
  <si>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</si>
  <si>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1 16 10100 05 0000 140</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</si>
  <si>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</si>
  <si>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</si>
  <si>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1 16 07010 05 0000 140</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</si>
  <si>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</si>
  <si>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</si>
  <si>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2  04 05099 05 9904 150</t>
  </si>
  <si>
    <t>2 07 05020 05 9904 150</t>
  </si>
  <si>
    <t>2 18 05030 05 9009 150</t>
  </si>
  <si>
    <t>2 18 05030 05 9963 150</t>
  </si>
  <si>
    <t>2 18 05030 05 9964 150</t>
  </si>
  <si>
    <t>2 18 05030 05 9972 150</t>
  </si>
  <si>
    <t>2 18 05030 05 9967 150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</si>
  <si>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</si>
  <si>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1 16 10032 05 0000 140</t>
  </si>
  <si>
    <t>1 16 07090 05 0000 140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</si>
  <si>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</si>
  <si>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2 18 05030 05 9954 150</t>
  </si>
  <si>
    <t>2 18 05030 05 9955 150</t>
  </si>
  <si>
    <t>2 18 05030 05 9956 150</t>
  </si>
  <si>
    <t>2 18 05030 05 9957 150</t>
  </si>
  <si>
    <t>2 07 05030 05 9903 150</t>
  </si>
  <si>
    <t>2 07 05030 05 9904 150</t>
  </si>
  <si>
    <t>2 18 05010 05 9009 150</t>
  </si>
  <si>
    <t>2 18 05010 05 9954 150</t>
  </si>
  <si>
    <t>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</si>
  <si>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</si>
  <si>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2 02 25228 05 0000 150</t>
  </si>
  <si>
    <t>2 02 25555 05 0000 150</t>
  </si>
  <si>
    <t>2 02 29999 05 2650 150</t>
  </si>
  <si>
    <t>2 02 29999 05 7449 150</t>
  </si>
  <si>
    <t>2 02 29999 05 7454 150</t>
  </si>
  <si>
    <t>2 02 29999 05 7463 150</t>
  </si>
  <si>
    <t>2 02 29999 05 7488 150</t>
  </si>
  <si>
    <t>2 02 29999 05 7553 150</t>
  </si>
  <si>
    <t>2 02 30024 05 0289 150</t>
  </si>
  <si>
    <t>2 02 30024 05 7587 150</t>
  </si>
  <si>
    <t>2 08 05000 05 0000 150</t>
  </si>
  <si>
    <t xml:space="preserve">2 18 35118 05 0000 150 </t>
  </si>
  <si>
    <t>2 02 15001 05 0000 150</t>
  </si>
  <si>
    <t>2 02 19999 05 0000 150</t>
  </si>
  <si>
    <t>Прочие дотации бюджетам муниципальных районов</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</si>
  <si>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</si>
  <si>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</si>
  <si>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муниципальных районов на оснащение объектов спортивной инфраструктуры спортивно-технологическим оборудованием</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</si>
  <si>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</si>
  <si>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</si>
  <si>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2 18 05010 05 9975 150</t>
  </si>
  <si>
    <t>10000</t>
  </si>
  <si>
    <t>Дотации бюджетам бюджетной системы Российской Федерации</t>
  </si>
  <si>
    <t>код главного администратора</t>
  </si>
  <si>
    <t>код группы</t>
  </si>
  <si>
    <t>код подгруппы</t>
  </si>
  <si>
    <t>код статьи и подстатьи</t>
  </si>
  <si>
    <t>код элемента</t>
  </si>
  <si>
    <t>код группы подвида</t>
  </si>
  <si>
    <t>код аналитической группы подвида</t>
  </si>
  <si>
    <t>Наименование кода классификации доходов бюджета</t>
  </si>
  <si>
    <t>Код классификации доходов бюджета</t>
  </si>
  <si>
    <t>1 13 02995 05 9906 130</t>
  </si>
  <si>
    <t>Прочие доходы от компенсации затрат бюджетов муниципальных районов (возмещение расходов на выплату страхового обеспечения)</t>
  </si>
  <si>
    <t xml:space="preserve">Администрация Шиверского сельсовета </t>
  </si>
  <si>
    <t xml:space="preserve">Администрация Октябрьского сельсовета </t>
  </si>
  <si>
    <t>2 02 29999 05 1048 150</t>
  </si>
  <si>
    <t>Расходы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</si>
  <si>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04200S4121</t>
  </si>
  <si>
    <t>Расходы на содержание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</si>
  <si>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09100S5081</t>
  </si>
  <si>
    <t>Субсидии бюджетным учреждениям на проведение молодежного образовательного форума в рамках подпрограммы "Вовлечение молодежи Богучанского района в социальную практику" муниципальной программы "Молодежь Приангарья"</t>
  </si>
  <si>
    <t>0610080010</t>
  </si>
  <si>
    <t>Расходы на развитие народных промыслов в рамках подпрограммы "Искусство и народное творчество" муниципальной программы Богучанского района "Развитие культуры"</t>
  </si>
  <si>
    <t>0520080540</t>
  </si>
  <si>
    <t>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</si>
  <si>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</si>
  <si>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</si>
  <si>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011Е151690</t>
  </si>
  <si>
    <t>Средства на повышение размеров оплаты труда работников, относящихся к отдельным должностям (профессиям) работников (рабочих) культуры, в муниципальных образовательных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</si>
  <si>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0110040032</t>
  </si>
  <si>
    <t>Средства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</si>
  <si>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0110040033</t>
  </si>
  <si>
    <t>Расходы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</si>
  <si>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</si>
  <si>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Субвенции на осуществление органами местного самоуправления поселений Богучанского района государственных полномочий по первичному воинскому учету на территориях, где отсутствуют военные комиссариаты,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</si>
  <si>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Субсидии бюджетам поселений Богучанского района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</si>
  <si>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бюджетам поселений Богучанского района на содержание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</si>
  <si>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Предоставление иных межбюджетных трансфертов бюджетам поселений Богучанского района из районного бюджета на реализацию мероприятий по трудовому воспитанию несовершеннолетних граждан в возрасте от 14 до 18 лет на территории Богучанкого района, в рамках подпрограммы "Вовлечение молодежи Богучанского района в социальную практику" муниципальной программы "Молодежь Приангарья"</t>
  </si>
  <si>
    <t>Субсидии бюджетам поселений Богучанского района на организацию и проведение акарицидных обработок мест массового отдыха населения,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</si>
  <si>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11100S5550</t>
  </si>
  <si>
    <t>Субсидии бюджетам поселений Богучанского района на частичное финансирование (возмещение) расходов на региональные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</si>
  <si>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</si>
  <si>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7508</t>
  </si>
  <si>
    <t>25169</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</si>
  <si>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</si>
  <si>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</si>
  <si>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2 02 25169 05 0000 150</t>
  </si>
  <si>
    <t>2 02 29999 05 1598 150</t>
  </si>
  <si>
    <t>116 10123 01 0000 140</t>
  </si>
  <si>
    <t>116 10061 05 0000 140</t>
  </si>
  <si>
    <t>116 10081 05 0000 140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</si>
  <si>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</si>
  <si>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1 13 02995 05 9009 130</t>
  </si>
  <si>
    <t>2 02 25210 05 0000 150</t>
  </si>
  <si>
    <t>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</si>
  <si>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2 02 29999 05 1060 150</t>
  </si>
  <si>
    <t>2 02 49999 05 7424 150</t>
  </si>
  <si>
    <t>7424</t>
  </si>
  <si>
    <t>1060</t>
  </si>
  <si>
    <t>2 18 05010 05 0000 150</t>
  </si>
  <si>
    <t>25210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</si>
  <si>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</si>
  <si>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7459</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</si>
  <si>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на 2020 год  и плановый период 2021-2022 годов</t>
  </si>
  <si>
    <t>гор среда</t>
  </si>
  <si>
    <t>2 02 29999 05 7459 150</t>
  </si>
  <si>
    <t>Расходы на приобретение основных средств по отдельным мероприятиям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</si>
  <si>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035008Ф000</t>
  </si>
  <si>
    <t>03500S5710</t>
  </si>
  <si>
    <t>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</si>
  <si>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условий реализации государственной программы и прочие мероприятия» муниципальной программы Богучанского района "Развитие культуры"</t>
  </si>
  <si>
    <t>05300L4670</t>
  </si>
  <si>
    <t>06200S4540</t>
  </si>
  <si>
    <t>Субсидии бюджетам поселений Богучанского района на реализацию мероприятий, направленных на повышение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</si>
  <si>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093R310601</t>
  </si>
  <si>
    <t>Субсидии бюджетам поселений Богучанского района на финансирование расходов формирования современной городской (сельской) среды в поселениях,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</si>
  <si>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11100S4590</t>
  </si>
  <si>
    <t>Оплата услуг регионального оператора по обращению с ТКО (твердые коммунальные отходы) в рамках непрограммных расходов органов местного самоуправления</t>
  </si>
  <si>
    <t>802006М000</t>
  </si>
  <si>
    <t>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</si>
  <si>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011E452100</t>
  </si>
  <si>
    <t>Консолидированные субсидии</t>
  </si>
  <si>
    <t>523</t>
  </si>
  <si>
    <t>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</si>
  <si>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</si>
  <si>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</si>
  <si>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Финансирование расходов на строительство и (или) реконструкцию объектов коммунальной инфраструктуры, находящихся в муниципальной собственности, используемых в сфере водоснабжения, водоотведения и очистки сточных вод,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</si>
  <si>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Расходы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</si>
  <si>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Финансирование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</si>
  <si>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Финансирование расходов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Богучанского района" муниципальной программы "Молодежь Приангарья"</t>
  </si>
  <si>
    <t>Финансирование расходов на поддержку отрасли культуры (комплектование книжных фондов муниципальных общедоступных библиотек) в рамках подпрограммы "Культурное наследие" муниципальной программы Богучанского района "Развитие культуры"</t>
  </si>
  <si>
    <t>2 02 49999 05 5519 150</t>
  </si>
  <si>
    <t>2 02 29999 05 7484 150</t>
  </si>
  <si>
    <t xml:space="preserve"> 2 02 30024 05 5304 150</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</si>
  <si>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</si>
  <si>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</si>
  <si>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</si>
  <si>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45303</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</si>
  <si>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</si>
  <si>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2 02 35469 05 0000 150</t>
  </si>
  <si>
    <t>Субвенции бюджетам на проведение Всероссийской переписи населения 2020 года</t>
  </si>
  <si>
    <t>35469</t>
  </si>
  <si>
    <t>5304</t>
  </si>
  <si>
    <t>1036</t>
  </si>
  <si>
    <t>Контрольно-счетная комиссия муниципального образования Богучанский район</t>
  </si>
  <si>
    <t xml:space="preserve">Муниципальное казенное учреждение "Муниципальная пожарная часть №1" </t>
  </si>
  <si>
    <t>Прочие доходы от компенсации затрат бюджетов муниципальных районов (за счет краевых средств)</t>
  </si>
  <si>
    <t>Прочие безвозмездные поступления от негосударственных организаций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</si>
  <si>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Доходы бюджетов муниципальных районов от возврата иными организациями остатков субсидий прошлых лет (за счет средств местного бюджета)</t>
  </si>
  <si>
    <t>Доходы бюджетов муниципальных районов от возврата иными организациями остатков субсидий прошлых лет (по целевым средствам прошлых лет (ЦСР 5210252))</t>
  </si>
  <si>
    <t>Доходы бюджетов муниципальных районов от возврата иными организациями остатков субсидий прошлых лет (по целевым средствам прошлых лет (ЦСР 8160000, 0497578, 0497570, 0490075700, 0460075700))</t>
  </si>
  <si>
    <t>Доходы бюджетов муниципальных районов от возврата иными организациями остатков субсидий прошлых лет (по целевым средствам прошлых лет (ЦСР 8210000, 0497577, 0490075770, 0460075770))</t>
  </si>
  <si>
    <t>Доходы бюджетов муниципальных районов от возврата бюджетными учреждениями остатков субсидий прошлых лет (за счет средств местного бюджета)</t>
  </si>
  <si>
    <t>Доходы бюджетов муниципальных районов от возврата бюджетными учреждениями остатков субсидий прошлых лет (по целевым средствам из регионального бюджета))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</si>
  <si>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основному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</si>
  <si>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пени)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</si>
  <si>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штрафам)</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</si>
  <si>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</si>
  <si>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пени)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</si>
  <si>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</si>
  <si>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основному платежу)</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</si>
  <si>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пени)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</si>
  <si>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</si>
  <si>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социального найма жилых помещений)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</si>
  <si>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основному платежу)</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</si>
  <si>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пени)</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</si>
  <si>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(по основному платежу)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</si>
  <si>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(по основному платежу)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</si>
  <si>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(по основному платежу)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</si>
  <si>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</si>
  <si>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бюджетов муниципальных районов от возврата иными организациями остатков субсидий прошлых лет (выплаты по программе "Жилище")</t>
  </si>
  <si>
    <t>Доходы бюджетов муниципальных районов от возврата иными организациями остатков субсидий прошлых лет (по целевым средствам прошлых лет (ЦСР 5210212, 0227564, 0220075640))</t>
  </si>
  <si>
    <t>Доходы бюджетов муниципальных районов от возврата иными организациями остатков субсидий прошлых лет (по целевым средствам прошлых лет (ЦСР4367500, 0110075880))</t>
  </si>
  <si>
    <t>Доходы бюджетов муниципальных районов от возврата иными организациями остатков субсидий прошлых лет (по целевым средствам прошлых лет (ЦСР 0220074080))</t>
  </si>
  <si>
    <t>Доходы бюджетов муниципальных районов от возврата иными организациями остатков субсидий прошлых лет (по целевым средствам прошлых лет (ЦСР 0220074090))</t>
  </si>
  <si>
    <t>Прочие доходы от компенсации затрат бюджетов муниципальных районов (в бюджет муниципального района)</t>
  </si>
  <si>
    <t>Прочие субсидии  бюджетам муниципальных районов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t>
  </si>
  <si>
    <t>Прочие субсидии бюджетам муниципальных районов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t>
  </si>
  <si>
    <t>Прочие субсидии бюджетам муниципальных районов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</si>
  <si>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 xml:space="preserve">Прочие субсидии бюджетам муниципальных районов (на реализацию мероприятий, направленных на повышение безопасности дорожного движения, за счет средств дорожного фонда Красноярского края) </t>
  </si>
  <si>
    <t>Прочие 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за счет средств краевого бюджета)</t>
  </si>
  <si>
    <t>Прочие субсидии бюджетам муниципальных районов (на выполнение требований федеральных стандартов спортивной подготовки в рамках подпрограммы «Развитие системы подготовки спортивного резерва» государственной программы Красноярского края «Развитие физической культуры и спорта»)</t>
  </si>
  <si>
    <t>Прочие субсидии бюджетам муниципальных районов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t>
  </si>
  <si>
    <t>Прочие субсидии бюджетам муниципальных районов (на проведение мероприятий, направленных на обеспечение безопасного участия детей в дорожном движении)</t>
  </si>
  <si>
    <t>Прочие субсидии бюджетам муниципальных районов (на обеспечение первичных мер пожарной безопасности)</t>
  </si>
  <si>
    <t>Прочие субсидии бюджетам муниципальных районам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</si>
  <si>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поддержку спортивных клубов по месту жительства в рамках подпрограммы «Развитие массовой физической культуры и спорта» государственной программы Красноярского края «Развитие физической культуры и спорта»)</t>
  </si>
  <si>
    <t>Прочие субсидии бюджетам муниципальных районов (на государственную поддержку комплексного развития муниципальных учреждений культуры и образовательных организаций в области культуры)</t>
  </si>
  <si>
    <t>Прочие субсидии бюджетам муниципальных районов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ХХI веке")</t>
  </si>
  <si>
    <t>Прочие субсидии бюджетам муниципальных районов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</si>
  <si>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Прочие субсидии бюджетам муниципальных районов (на софинансирование муниципальных программ формирования современной городской (сельской) среды в поселениях)</t>
  </si>
  <si>
    <t>Прочие субсидии бюджетам муниципальных районов (на организацию (строительство) мест (площадок) накопления отходов потребления и приобретение контейнерного оборудования)</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</si>
  <si>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</si>
  <si>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Прочие субсидии бюджетам муниципальных районов (на создание (реконструкцию) и капитальный ремонт культурно-досуговых учреждений в сельской местности)</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</si>
  <si>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</si>
  <si>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реализацию мероприятий, направленных на повышение безопасности дорожного движения)</t>
  </si>
  <si>
    <t>Прочие субсидии бюджетам муниципальных районов (на строительство (реконструкцию) объектов размещения отходов)</t>
  </si>
  <si>
    <t>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</si>
  <si>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</si>
  <si>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</si>
  <si>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Прочие субсидии бюджетам муниципальных районах  (на организацию и проведение акарицидных обработок мест массового отдыха населения)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</si>
  <si>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</si>
  <si>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</si>
  <si>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Прочие субсидии бюджетам муниципальных районов (расположенных в районах Крайнего Севера и приравненных к ним местностях с ограниченными сроками завоза грузов, на финансирование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2018 год)</t>
  </si>
  <si>
    <t>Прочие субсидии бюджетам муниципальных районов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t>
  </si>
  <si>
    <t>Прочие субсидии бюджетам муниципальных районов (на реализацию проектов по решению вопросов местного значения сельских поселений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t>
  </si>
  <si>
    <t>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</si>
  <si>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передаваемых полномочий субъектов Российской Федерации (на предоставление субсидий гражданам, ведущим личное подсобное хозяйство на территории края, на возмещение части затрат на уплату процентов по кредитам, полученным на срок до 5 лет)</t>
  </si>
  <si>
    <t>Субвенции бюджетам муниципальных районов на выполнение передаваемых полномочий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</si>
  <si>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</si>
  <si>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</si>
  <si>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 xml:space="preserve">Субвенции бюджетам муниципальных районов на выполнение передаваемых полномочий субъектов Российской Федерации (осуществление уведомительной регистрации коллективных договоров и территориальных соглашений и контроля за их выполнением) </t>
  </si>
  <si>
    <t>Субвенции бюджетам муниципальных районов на выполнение передаваемых полномочий субъектов Российской Федерации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</si>
  <si>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Субвенции бюджетам муниципальных районов на выполнение передаваемых полномочий субъектов Российской Федерации (по организации деятельности органов управления системой социальной защиты населения в соответствии с Законом края от 20 декабря 2005 года № 17-4294)</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</si>
  <si>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административных комиссий в соответствии с Законом края от 23 апреля 2009 года № 8-3170)</t>
  </si>
  <si>
    <t xml:space="preserve">Субвенции бюджетам муниципальных районов на выполнение передаваемых полномочий субъектов Российской Федерации (решение вопросов поддержки сельскохозяйственного производства) </t>
  </si>
  <si>
    <t>Субвенции бюджетам муниципальных районов на выполнение передаваемых полномочий субъектов Российской Федерации (по организации проведения мероприятий по отлову и содержанию безнадзорных животных)</t>
  </si>
  <si>
    <t>Субвенции бюджетам муниципальных районов на выполнение передаваемых полномочий субъектов Российской Федерации (в области архивного дела, переданных органам местного самоуправления Красноярского края)</t>
  </si>
  <si>
    <t>Субвенции бюджетам муниципальных районов на выполнение передаваемых полномочий субъектов Российской Федерации (по организации и осуществлению деятельности по опеке и попечительству в отношении несовершеннолетних)</t>
  </si>
  <si>
    <t>Субвенции бюджетам муниципальных районов на выполнение передаваемых полномочий субъектов Российской Федерации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</si>
  <si>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Субвенции бюджетам муниципальных районов на выполнение передаваемых полномочий субъектов Российской Федерации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</si>
  <si>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t>
  </si>
  <si>
    <t>Субвенции бюджетам муниципальных районов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t>
  </si>
  <si>
    <t>Субвенции бюджетам муниципальных районов на выполнение передаваемых полномочий субъектов Российской Федерации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</si>
  <si>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Субвенции бюджетам муниципальных районов на выполнение передаваемых полномочий субъектов Российской Федерации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</si>
  <si>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</si>
  <si>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(по расчету и предоставлению дотаций поселениям, входящим в состав муниципального района края)</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</si>
  <si>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</si>
  <si>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(по обеспечению отдыха и оздоровления детей)</t>
  </si>
  <si>
    <t>Прочие межбюджетные трансферты, передаваемые бюджетам муниципальных районов (из бюджетов поселений за счет собственных средств)</t>
  </si>
  <si>
    <t>Прочие межбюджетные трансферты, передаваемые бюджетам муниципальных районов (на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t>
  </si>
  <si>
    <t>Прочие межбюджетные трансферты, передаваемые бюджетам муниципальных районов (на государственную поддержку отрасли культуры (поддержка лучших сельских учреждений культуры))</t>
  </si>
  <si>
    <t>Прочие межбюджетные трансферты, передаваемые бюджетам муниципальных районов (за содействие развитию налогового потенциала)</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</si>
  <si>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выполнение государственных полномочий по созданию и обеспечению деятельности административных комиссий)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</si>
  <si>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капитальный ремонт и ремонт автомобильных дорог общего пользования местного значения за счет средств дорожного фонда Красноярского края)</t>
  </si>
  <si>
    <t>2 02 29999 05 7482 150</t>
  </si>
  <si>
    <t>Прочие субсидии бюджетам муниципальных районов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t>
  </si>
  <si>
    <t>2 02 45519 05 0000 150</t>
  </si>
  <si>
    <t>Межбюджетные трансферты, передаваемые бюджетам муниципальных районов на поддержку отрасли культуры (поддержка лучших сельских учреждений культуры)</t>
  </si>
  <si>
    <t>45519</t>
  </si>
  <si>
    <t>Межбюджетные трансферты, передаваемые бюджетам на поддержку отрасли культуры</t>
  </si>
  <si>
    <t>2 02 29999 05 7430 150</t>
  </si>
  <si>
    <t>Прочие 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за счет средств краевого бюджета)</t>
  </si>
  <si>
    <t>7430</t>
  </si>
  <si>
    <t>7484</t>
  </si>
  <si>
    <t>Субвенции бюджетам муниципальных районов и городских округов на проведение Всероссийской переписи населения 2020 года</t>
  </si>
  <si>
    <t>2 18 05030 05 9966 150</t>
  </si>
  <si>
    <t>Доходы бюджетов муниципальных районов от возврата иными организациями остатков субсидий прошлых лет (по целевым средствам прошлых лет (ЦСР 0410075710))</t>
  </si>
  <si>
    <t>2 02 49999 05 5853 150</t>
  </si>
  <si>
    <t>Прочие межбюджетные трансферты, передаваемые бюджетам мун6иципальных районов (реализация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</si>
  <si>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7482</t>
  </si>
  <si>
    <t>5853</t>
  </si>
  <si>
    <t>благоустройство</t>
  </si>
  <si>
    <t>благоустр   малое</t>
  </si>
  <si>
    <t>зп с 01.06.</t>
  </si>
  <si>
    <t>Администрация Артюгинского сельсовета</t>
  </si>
  <si>
    <t>Администрация Таежинского сельсовета</t>
  </si>
  <si>
    <t xml:space="preserve">налог п </t>
  </si>
  <si>
    <t>Администрация 'Такучетского сельсовета</t>
  </si>
  <si>
    <t>иные мбт</t>
  </si>
  <si>
    <t>мол пр</t>
  </si>
  <si>
    <t>сбал</t>
  </si>
  <si>
    <t>итого</t>
  </si>
  <si>
    <t>иные</t>
  </si>
  <si>
    <t>субвенции</t>
  </si>
  <si>
    <t>адм</t>
  </si>
  <si>
    <t>вус</t>
  </si>
  <si>
    <t>субв</t>
  </si>
  <si>
    <t>субсидии</t>
  </si>
  <si>
    <t>№ прил</t>
  </si>
  <si>
    <t>пож</t>
  </si>
  <si>
    <t>субс</t>
  </si>
  <si>
    <t>кап дор</t>
  </si>
  <si>
    <t>акар</t>
  </si>
  <si>
    <t>рег вып</t>
  </si>
  <si>
    <t>дор сод</t>
  </si>
  <si>
    <t>благ двор</t>
  </si>
  <si>
    <t>благ м</t>
  </si>
  <si>
    <t>благоуст</t>
  </si>
  <si>
    <t>участки УДС</t>
  </si>
  <si>
    <t>суб</t>
  </si>
  <si>
    <t>участ УДС</t>
  </si>
  <si>
    <t>налог пот</t>
  </si>
  <si>
    <t>2 02 29999 05 7427 150</t>
  </si>
  <si>
    <t>Прочие субсидии бюджетам муниципальных районов (на обустройство участков улично-дорожной сети вблизи образовательных организаций для обеспечения безопасности дорожного движения)</t>
  </si>
  <si>
    <t>7427</t>
  </si>
  <si>
    <t>9966</t>
  </si>
  <si>
    <t>Расходы на реализацию мероприятий, направленных на повышение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</si>
  <si>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093R310602</t>
  </si>
  <si>
    <t>Оплата услуг регионального оператора по обращению с ТКО (твердые коммунальные отходы),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</si>
  <si>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053004М000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</si>
  <si>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</si>
  <si>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064004М000</t>
  </si>
  <si>
    <t>Оплата услуг регионального оператора по обращению с ТКО (твердые коммунальные отходы), в рамках подпрограммы "Культурное наследие" муниципальной программы Богучанского района "Развитие культуры"</t>
  </si>
  <si>
    <t>051004М000</t>
  </si>
  <si>
    <t>Оплата услуг регионального оператора по обращению с ТКО (твердые коммунальные отходы), в рамках подпрограммы "Искусство и народное творчество"муниципальной программы Богучанского района "Развитие культуры"</t>
  </si>
  <si>
    <t>052004М000</t>
  </si>
  <si>
    <t>Средства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 в рамках подпрограммы "Искусство и народное творчество" муниципальной программы Богучанского района "Развитие культуры"</t>
  </si>
  <si>
    <t>052A274820</t>
  </si>
  <si>
    <t>На создание (реконструкцию) и капитальный ремонт культурно-досуговых учреждений в сельской местности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</si>
  <si>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053A174840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</si>
  <si>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</si>
  <si>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071004М000</t>
  </si>
  <si>
    <t>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</si>
  <si>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01100S4300</t>
  </si>
  <si>
    <t>011E151690</t>
  </si>
  <si>
    <t>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</si>
  <si>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093R374270</t>
  </si>
  <si>
    <t>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</si>
  <si>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11100S7410</t>
  </si>
  <si>
    <t>Субсидии бюджетам поселений Богучанского района для реализации проектов по решению вопросов местного значения сельских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</si>
  <si>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11100S7490</t>
  </si>
  <si>
    <t>Субсидии бюджетам поселений Богучанского района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</si>
  <si>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1110010360</t>
  </si>
  <si>
    <t xml:space="preserve">  </t>
  </si>
  <si>
    <t>Средства на создание запасов материальных ресурсов для ликвидации последствий чрезвычайных ситуаций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</si>
  <si>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0410080090</t>
  </si>
  <si>
    <t>ОХРАНА ОКРУЖАЮЩЕЙ СРЕДЫ</t>
  </si>
  <si>
    <t>0600</t>
  </si>
  <si>
    <t>Другие вопросы в области охраны окружающей среды</t>
  </si>
  <si>
    <t>0605</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</si>
  <si>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</si>
  <si>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 xml:space="preserve"> </t>
  </si>
  <si>
    <t>25304</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</si>
  <si>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</si>
  <si>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</si>
  <si>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2 02 29999 05 7840 150</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</si>
  <si>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</si>
  <si>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2 02 49999 05 7402 150</t>
  </si>
  <si>
    <t>Прочие межбюджетные трансферты, передаваемые бюджетам муниципальных районов (на финансовое обеспечение расходных обязательств муниципальных образований Красноярского края, связанных с возмещением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вызванной 2019 nCoV)</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</si>
  <si>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</si>
  <si>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7442</t>
  </si>
  <si>
    <t>Прочие субсидии бюджетам муниципальных районов (на организацию бесплатного горячего питания обучающихся, получающих начальное общее образование в муниципальных образовательных организациях)</t>
  </si>
  <si>
    <t>7402</t>
  </si>
  <si>
    <t>Прочие субсидии бюджетам муниципальных районов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t>
  </si>
  <si>
    <t>2 02 30024 05 7446 150</t>
  </si>
  <si>
    <t>Субвенции бюджетам муниципальных районов на выполнение передаваемых полномочий субъектов Российской Федерации (для реализации отдельных государственных полномочий по осуществлению мониторинга состояния и развития лесной промышленности )</t>
  </si>
  <si>
    <t>7446</t>
  </si>
  <si>
    <t>1035</t>
  </si>
  <si>
    <t>зп с 01.10.</t>
  </si>
  <si>
    <t>зп с 01.06</t>
  </si>
  <si>
    <t>Приложение 36  к решению
Богучанского районного Совета депутатов
от 25 декабря 2019  года № 44/1-298</t>
  </si>
  <si>
    <t>Лесное хозяйство</t>
  </si>
  <si>
    <t>0407</t>
  </si>
  <si>
    <t>Средства для реализации отдельных государственных полномочий по осуществлению мониторинга состояния и развития лесной промышленности в рамках непрограммных расходов органов местного самоуправления</t>
  </si>
  <si>
    <t>8020074460</t>
  </si>
  <si>
    <t>01100S8400</t>
  </si>
  <si>
    <t>093R373980</t>
  </si>
  <si>
    <t>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</si>
  <si>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01100L3040</t>
  </si>
  <si>
    <t>Субсидии бюджетам поселений Богучанского района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</si>
  <si>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1110010350</t>
  </si>
  <si>
    <t xml:space="preserve">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t>
  </si>
  <si>
    <t>Финансирование на проведение мероприятий, направленных на обеспечение безопасного участия детей в дорожном движении, в рамках подпрограммы "Безопасность дорожного движения в Богучанском районе" муниципальной программы "Развитие транспортной системы Богуча</t>
  </si>
  <si>
    <t>Расходы, направленные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дошкольного, общего и дополнительного образования детей" муниципальной</t>
  </si>
  <si>
    <t>Приложение № 15 к решению
Богучанского районного Совета депутатов
от 06 ноября 2020  года №3/1-11</t>
  </si>
  <si>
    <t>Ведомственная 21 год</t>
  </si>
  <si>
    <t>Ведомственная 22-23 год</t>
  </si>
  <si>
    <t>Функц разрез 21 год</t>
  </si>
  <si>
    <t>Функц разрез 22-23 год</t>
  </si>
  <si>
    <t>ЦСР 21 год</t>
  </si>
  <si>
    <t>ЦСР 22-23 год</t>
  </si>
  <si>
    <t>2022-2023</t>
  </si>
  <si>
    <t>Налог на доходы физических лиц в отношении доходов физических лиц, превышающих 5,0 млн рублей, в части, установленной для уплаты в федеральный бюджет</t>
  </si>
  <si>
    <t>02080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</si>
  <si>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</si>
  <si>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01050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</si>
  <si>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</si>
  <si>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01053</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</si>
  <si>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</si>
  <si>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01070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</si>
  <si>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</si>
  <si>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01073</t>
  </si>
  <si>
    <t>001083</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</si>
  <si>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</si>
  <si>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</si>
  <si>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</si>
  <si>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01143</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</si>
  <si>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</si>
  <si>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01190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</si>
  <si>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</si>
  <si>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01193</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</si>
  <si>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</si>
  <si>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01200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</si>
  <si>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</si>
  <si>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01203</t>
  </si>
  <si>
    <t>Платежи в целях возмещения причиненного ущерба (убытков)</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</si>
  <si>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</si>
  <si>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10129</t>
  </si>
  <si>
    <t>Платежи, уплачиваемые в целях возмещения вреда</t>
  </si>
  <si>
    <t>11000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</si>
  <si>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</si>
  <si>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11050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</si>
  <si>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</si>
  <si>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02299</t>
  </si>
  <si>
    <t>20299</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</si>
  <si>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</si>
  <si>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20302</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</si>
  <si>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</si>
  <si>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(на предоставление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</si>
  <si>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7556</t>
  </si>
  <si>
    <t>Оплата стоимости проезда в отпуск в соответствии с законодательством, высшего должностного лица муниципального образования в рамках непрограммных расходов органов местного самоуправления</t>
  </si>
  <si>
    <t>8010067000</t>
  </si>
  <si>
    <t>Закупка энергетических ресурсов</t>
  </si>
  <si>
    <t>247</t>
  </si>
  <si>
    <t>Расходы на приобретение основных средств в рамках подпрограммы "Профилактика терроризма, а так же минимизации и ликвидации последствий его проявлений на территории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</si>
  <si>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043008Ф000</t>
  </si>
  <si>
    <t>Гражданская оборона</t>
  </si>
  <si>
    <t>Расходы на приобретение основных средств в части обеспечения деятельности (оказание услуг) единой дежурно-диспетчерской службы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</si>
  <si>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041004Ф010</t>
  </si>
  <si>
    <t>0410080000</t>
  </si>
  <si>
    <t>Защита населения и территории от чрезвычайных ситуаций природного и техногенного характера, пожарная безопасность</t>
  </si>
  <si>
    <t>Расходы на приобретение основных средств в части обеспечения первичных мер пожарной безопасности населенных пунктов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</si>
  <si>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042008Ф030</t>
  </si>
  <si>
    <t>Отдельные мероприятия в рамках подпрограммы "Поддержка малых форм хозяйствования" муниципальной программы "Развитие сельского хозяйства в Богучанском районе"</t>
  </si>
  <si>
    <t>1210080000</t>
  </si>
  <si>
    <t>Муниципальная программа Богучанского района "Охрана окружающей среды"</t>
  </si>
  <si>
    <t>0200000000</t>
  </si>
  <si>
    <t>0210000000</t>
  </si>
  <si>
    <t>Мероприятия по ликвидации несанкционированной свалки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</si>
  <si>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0210080020</t>
  </si>
  <si>
    <t>Охрана объектов растительного и животного мира и среды их обитания</t>
  </si>
  <si>
    <t>0603</t>
  </si>
  <si>
    <t>Подпрограмма "Обращение с животными без владельцев"</t>
  </si>
  <si>
    <t>0220000000</t>
  </si>
  <si>
    <t>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 "Обращение с животными без владельцев" муниципальной программы Богучанского района "Охрана окружающей среды"</t>
  </si>
  <si>
    <t>0220075180</t>
  </si>
  <si>
    <t>Муниципальная программа Богучанского района "Содействие развитию гражданского общества в Богучанском районе"</t>
  </si>
  <si>
    <t>1300000000</t>
  </si>
  <si>
    <t>Подпрограмма "Поддержка социально ориентированных некоммерческих организаций"</t>
  </si>
  <si>
    <t>1310000000</t>
  </si>
  <si>
    <t>Предоставление субсидии на конкурсной основе социально ориентированным некоммерческим организациям на реализацию социальных проектов в рамках подпрограммы "Поддержка социально ориентированных некоммерческих организаций" муниципальной программы "Содействие развитию гражданского общества в Богучанском районе"</t>
  </si>
  <si>
    <t>1310080010</t>
  </si>
  <si>
    <t>Субсидии некоммерческим организациям (за исключением государственных (муниципальных) учреждений)</t>
  </si>
  <si>
    <t>630</t>
  </si>
  <si>
    <t>Субсидии (гранты в форме субсидий), не подлежащие казначейскому сопровождению</t>
  </si>
  <si>
    <t>633</t>
  </si>
  <si>
    <t>На строительство (реконструкцию) объектов размещения отходов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</si>
  <si>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02100S4940</t>
  </si>
  <si>
    <t>Подпрограмма "Профилактика правонарушений среди молодежи в Богучанском районе"</t>
  </si>
  <si>
    <t>0650000000</t>
  </si>
  <si>
    <t>Обеспечение проведения комплекса мероприятий, направленных на привлечение молодежи на поддержание и защиту безопасного уровня жизни, в рамках подпрограммы "Профилактика правонарушений среди молодежи в Богучанском районе" муниципальной программы "Молодежь Приангарья"</t>
  </si>
  <si>
    <t>0650080010</t>
  </si>
  <si>
    <t>Организация и проведение мероприятий, направленных на предотвращение повторных правонарушений, в рамках подпрограммы "Профилактика правонарушений среди молодежи в Богучанском районе" муниципальной программы "Молодежь Приангарья"</t>
  </si>
  <si>
    <t>0650080020</t>
  </si>
  <si>
    <t>Подпрограмма "Обеспечение информационными ресурсами гражданской тематики населения Богучанского района для решения социальных проблем"</t>
  </si>
  <si>
    <t>1320000000</t>
  </si>
  <si>
    <t>Мероприятия по материальному обеспечению деятельности муниципального ресурсного центра поддержки общественных инициатив в рамках подпрограммы "Обеспечение информационными ресурсами гражданской тематики населения Богучанского района для решения социальных проблем" муниципальной программы "Содействие развитию гражданского общества в Богучанском районе"</t>
  </si>
  <si>
    <t>1320080010</t>
  </si>
  <si>
    <t>Мероприятия по обеспечению информированности населения в решении социально значимых проблем, в рамках подпрограммы "Обеспечение информационными ресурсами гражданской тематики населения Богучанского района для решения социальных проблем" муниципальной программы "Содействие развитию гражданского общества в Богучанском районе"</t>
  </si>
  <si>
    <t>1320080020</t>
  </si>
  <si>
    <t>0930080000</t>
  </si>
  <si>
    <t>0130080030</t>
  </si>
  <si>
    <t>013008П030</t>
  </si>
  <si>
    <t>Расходы на оплату стоимости проезда в отпуск в соответствии с законодательством, за счет средств от доходов по подвозу воды населению,предприятиям, организациям,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</si>
  <si>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0320087090</t>
  </si>
  <si>
    <t>1010000000</t>
  </si>
  <si>
    <t>Субсидии бюджетам поселений Богучанского района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</si>
  <si>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101F367483</t>
  </si>
  <si>
    <t>Субсидии бюджетам поселений Богучанского района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</si>
  <si>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101F367484</t>
  </si>
  <si>
    <t>2023 год</t>
  </si>
  <si>
    <t>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плановый период 2022-2023 годов</t>
  </si>
  <si>
    <t xml:space="preserve"> 2022 год</t>
  </si>
  <si>
    <t>на 2023 год всего, в том числе:</t>
  </si>
  <si>
    <t xml:space="preserve"> на 2023 год всего, в том числе:</t>
  </si>
  <si>
    <t>Субвенции на осуществление органами местного самоуправления поселений Богучанского района государственных полномочий по первичному воинскому учету на территориях, где отсутствуют военные комиссариаты  на 2021 - 2022 годы</t>
  </si>
  <si>
    <t xml:space="preserve">Перечень субсидий бюджетам поселений Богучанского района, предоставляемых из районного бюджета в целях софинансирования расходных обязательств, возникающих при выполнении полномочий органов местного самоуправления по решению вопросов местного значения, на 2021 год и плановый период 2022 - 2023 годов </t>
  </si>
  <si>
    <t xml:space="preserve">          2021 год</t>
  </si>
  <si>
    <t xml:space="preserve">     2022 год</t>
  </si>
  <si>
    <t xml:space="preserve">         2023 год</t>
  </si>
  <si>
    <t>Субсидии бюджетам поселений Богучанского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на 2021 год и плановый период  2022-2023 годов</t>
  </si>
  <si>
    <t>Субсидии бюджетам поселений Богучанского района  на  реализацию мероприятий направленных на повышение  безопасности дорожного движения  на 2021 год  и плановый период 2022-2023 годов</t>
  </si>
  <si>
    <t xml:space="preserve">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на 2021 год </t>
  </si>
  <si>
    <t xml:space="preserve">Иные межбюджетные трансферты бюджетам поселений Богучанского района за содействие развитию налогового потенциала   на 2021 год </t>
  </si>
  <si>
    <t xml:space="preserve">Субсидии бюджетам поселений Богучанского района для реализации проектов по решению вопросов местного значения сельских поселений  на 2021 год </t>
  </si>
  <si>
    <t xml:space="preserve">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на 2021 год </t>
  </si>
  <si>
    <t>Субсидии бюджетам поселений Богучанского района на обеспечение первичных мер пожарной безопасности на  2021 год и плановый период 2022-2023 годов</t>
  </si>
  <si>
    <t>Субсидии бюджетам поселений Богучанского района  на финансирование расходов  формирования современной городской (сельской) среды в поселениях на 2021 год</t>
  </si>
  <si>
    <t>Субсидии бюджетам поселений Богучанского района на частичное финансирование (возмещение) расходов на региональные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на 2021 год</t>
  </si>
  <si>
    <t>БДД</t>
  </si>
  <si>
    <t xml:space="preserve">Иные межбюджетные трансферты на реализацию мероприятий по трудовому воспитанию несовершеннолетних  граждан в возрасте от 14 до 18 лет на территории Богучанского района  на 2021 год и плановый период 2022-2023 годов </t>
  </si>
  <si>
    <t>Субсидии бюджетам поселений Богучанского района на содержание автомобильных дорог общего пользования местного значения на 2021 год  и плановый период 2022-2023 годов</t>
  </si>
  <si>
    <t>Оплата жилищно-коммунальных услуг за исключением электроэнергии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</si>
  <si>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Условно-утвержденные расходы</t>
  </si>
  <si>
    <t>ОБСЛУЖИВАНИЕ ГОСУДАРСТВЕННОГО И МУНИЦИПАЛЬНОГО ДОЛГА</t>
  </si>
  <si>
    <t>1300</t>
  </si>
  <si>
    <t>Обслуживание государственного (муниципального) внутреннего долга</t>
  </si>
  <si>
    <t>1301</t>
  </si>
  <si>
    <t>Обслуживание государственного (муниципального) долга</t>
  </si>
  <si>
    <t>700</t>
  </si>
  <si>
    <t>Обслуживание муниципального долга</t>
  </si>
  <si>
    <t>730</t>
  </si>
  <si>
    <t xml:space="preserve"> 04.12.2020</t>
  </si>
  <si>
    <t>5/1-16</t>
  </si>
  <si>
    <t>04.12.2020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</si>
</sst>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_р_._-;\-* #,##0_р_._-;_-* &quot;-&quot;_р_._-;_-@_-"/>
    <numFmt numFmtId="43" formatCode="_-* #,##0.00_р_._-;\-* #,##0.00_р_._-;_-* &quot;-&quot;??_р_._-;_-@_-"/>
    <numFmt numFmtId="164" formatCode="_-* #,##0.00\ _₽_-;\-* #,##0.00\ _₽_-;_-* &quot;-&quot;??\ _₽_-;_-@_-"/>
    <numFmt numFmtId="165" formatCode="#,##0;[Red]\-#,##0;&quot;-&quot;"/>
    <numFmt numFmtId="166" formatCode="#,##0.00;[Red]\-#,##0.00;&quot;-&quot;"/>
    <numFmt numFmtId="167" formatCode="#,##0.0"/>
    <numFmt numFmtId="168" formatCode="#,##0.00_ ;[Red]\-#,##0.00\ "/>
    <numFmt numFmtId="169" formatCode="\О\б\щ\и\й"/>
    <numFmt numFmtId="170" formatCode="#,##0.00_ ;\-#,##0.00\ "/>
    <numFmt numFmtId="171" formatCode="?"/>
    <numFmt numFmtId="172" formatCode="000000"/>
    <numFmt numFmtId="173" formatCode="#,##0_ ;[Red]\-#,##0\ "/>
    <numFmt numFmtId="174" formatCode="_-* #,##0.00_$_-;\-* #,##0.00_$_-;_-* &quot;-&quot;??_$_-;_-@_-"/>
    <numFmt numFmtId="175" formatCode="0.0"/>
  </numFmts>
  <fonts count="44" x14ac:knownFonts="1">
    <font>
      <sz val="10"/>
      <name val="Arial Cyr"/>
      <charset val="204"/>
    </font>
    <font>
      <sz val="10"/>
      <name val="Arial Cyr"/>
      <charset val="204"/>
    </font>
    <font>
      <sz val="10"/>
      <name val="Arial Cyr"/>
      <charset val="204"/>
    </font>
    <font>
      <sz val="8"/>
      <name val="Arial Cyr"/>
      <charset val="204"/>
    </font>
    <font>
      <u/>
      <sz val="10"/>
      <name val="Arial Cyr"/>
      <charset val="204"/>
    </font>
    <font>
      <sz val="10"/>
      <name val="Arial"/>
      <family val="2"/>
      <charset val="204"/>
    </font>
    <font>
      <sz val="9"/>
      <name val="Arial"/>
      <family val="2"/>
      <charset val="204"/>
    </font>
    <font>
      <sz val="11"/>
      <color indexed="8"/>
      <name val="Arial"/>
      <family val="2"/>
      <charset val="204"/>
    </font>
    <font>
      <b/>
      <sz val="10"/>
      <name val="Arial"/>
      <family val="2"/>
      <charset val="204"/>
    </font>
    <font>
      <b/>
      <sz val="11"/>
      <name val="Arial"/>
      <family val="2"/>
      <charset val="204"/>
    </font>
    <font>
      <sz val="11"/>
      <name val="Arial"/>
      <family val="2"/>
      <charset val="204"/>
    </font>
    <font>
      <sz val="10"/>
      <color indexed="10"/>
      <name val="Arial"/>
      <family val="2"/>
      <charset val="204"/>
    </font>
    <font>
      <sz val="14"/>
      <name val="Arial"/>
      <family val="2"/>
      <charset val="204"/>
    </font>
    <font>
      <sz val="12"/>
      <name val="Arial"/>
      <family val="2"/>
      <charset val="204"/>
    </font>
    <font>
      <b/>
      <sz val="12"/>
      <name val="Arial"/>
      <family val="2"/>
      <charset val="204"/>
    </font>
    <font>
      <b/>
      <sz val="16"/>
      <name val="Arial"/>
      <family val="2"/>
      <charset val="204"/>
    </font>
    <font>
      <sz val="16"/>
      <name val="Arial"/>
      <family val="2"/>
      <charset val="204"/>
    </font>
    <font>
      <sz val="11"/>
      <color theme="1"/>
      <name val="Calibri"/>
      <family val="2"/>
    </font>
    <font>
      <sz val="8"/>
      <color theme="1"/>
      <name val="Calibri"/>
      <family val="2"/>
    </font>
    <font>
      <sz val="11"/>
      <color theme="1"/>
      <name val="Arial"/>
      <family val="2"/>
      <charset val="204"/>
    </font>
    <font>
      <sz val="10"/>
      <color theme="8" tint="0.39997558519241921"/>
      <name val="Arial"/>
      <family val="2"/>
      <charset val="204"/>
    </font>
    <font>
      <sz val="10"/>
      <color rgb="FFFF0000"/>
      <name val="Arial"/>
      <family val="2"/>
      <charset val="204"/>
    </font>
    <font>
      <sz val="11"/>
      <color rgb="FFFF0000"/>
      <name val="Arial"/>
      <family val="2"/>
      <charset val="204"/>
    </font>
    <font>
      <sz val="10"/>
      <color indexed="8"/>
      <name val="Arial"/>
      <family val="2"/>
      <charset val="204"/>
    </font>
    <font>
      <sz val="9"/>
      <color indexed="8"/>
      <name val="Arial"/>
      <family val="2"/>
      <charset val="204"/>
    </font>
    <font>
      <sz val="10"/>
      <name val="Times New Roman"/>
      <family val="1"/>
      <charset val="204"/>
    </font>
    <font>
      <b/>
      <sz val="11"/>
      <name val="Times New Roman"/>
      <family val="1"/>
      <charset val="204"/>
    </font>
    <font>
      <sz val="11"/>
      <color theme="1"/>
      <name val="Times New Roman"/>
      <family val="1"/>
      <charset val="204"/>
    </font>
    <font>
      <sz val="11"/>
      <name val="Times New Roman"/>
      <family val="1"/>
      <charset val="204"/>
    </font>
    <font>
      <sz val="11"/>
      <name val="Calibri"/>
      <family val="2"/>
      <charset val="204"/>
      <scheme val="minor"/>
    </font>
    <font>
      <sz val="10"/>
      <name val="Helv"/>
      <charset val="204"/>
    </font>
    <font>
      <b/>
      <i/>
      <sz val="8"/>
      <name val="Arial"/>
      <family val="2"/>
      <charset val="204"/>
    </font>
    <font>
      <sz val="8"/>
      <name val="Arial"/>
      <family val="2"/>
      <charset val="204"/>
    </font>
    <font>
      <sz val="10"/>
      <color theme="1"/>
      <name val="Arial"/>
      <family val="2"/>
      <charset val="204"/>
    </font>
    <font>
      <sz val="14"/>
      <name val="Times New Roman"/>
      <family val="1"/>
      <charset val="204"/>
    </font>
    <font>
      <sz val="12"/>
      <color rgb="FF000000"/>
      <name val="Arial"/>
      <family val="2"/>
      <charset val="204"/>
    </font>
    <font>
      <sz val="10"/>
      <color rgb="FF000000"/>
      <name val="Arial"/>
      <family val="2"/>
      <charset val="204"/>
    </font>
    <font>
      <sz val="11"/>
      <name val="Arial Cyr"/>
      <charset val="204"/>
    </font>
    <font>
      <sz val="9.5"/>
      <name val="Times New Roman"/>
      <family val="1"/>
      <charset val="204"/>
    </font>
    <font>
      <b/>
      <sz val="12"/>
      <color rgb="FF000000"/>
      <name val="Times New Roman"/>
      <family val="1"/>
      <charset val="204"/>
    </font>
    <font>
      <sz val="11"/>
      <color rgb="FF000000"/>
      <name val="Times New Roman"/>
      <family val="1"/>
      <charset val="204"/>
    </font>
    <font>
      <b/>
      <sz val="10"/>
      <name val="Arial Cyr"/>
      <charset val="204"/>
    </font>
    <font>
      <sz val="10"/>
      <name val="Arial"/>
      <family val="2"/>
      <charset val="204"/>
    </font>
    <font>
      <sz val="10"/>
      <name val="Arial"/>
      <family val="2"/>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2D050"/>
        <bgColor indexed="64"/>
      </patternFill>
    </fill>
    <fill>
      <patternFill patternType="solid">
        <fgColor theme="4"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6">
    <xf numFmtId="0" fontId="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4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0" fontId="30" fillId="0" borderId="0"/>
    <xf numFmtId="0" fontId="5" fillId="0" borderId="0"/>
    <xf numFmtId="0" fontId="42" fillId="0" borderId="0"/>
    <xf numFmtId="0" fontId="43" fillId="0" borderId="0"/>
  </cellStyleXfs>
  <cellXfs count="504">
    <xf numFmtId="0" fontId="0" fillId="0" borderId="0" xfId="0"/>
    <xf numFmtId="0" fontId="0" fillId="0" borderId="0" xfId="0" applyAlignment="1">
      <alignment horizontal="right"/>
    </xf>
    <xf numFmtId="49" fontId="0" fillId="0" borderId="0" xfId="0" applyNumberFormat="1" applyAlignment="1">
      <alignment horizontal="right"/>
    </xf>
    <xf numFmtId="0" fontId="5" fillId="0" borderId="0" xfId="0" applyFont="1"/>
    <xf numFmtId="0" fontId="5" fillId="0" borderId="0" xfId="0" applyFont="1" applyAlignment="1">
      <alignment horizontal="right"/>
    </xf>
    <xf numFmtId="0" fontId="5" fillId="0" borderId="1" xfId="0" applyFont="1" applyBorder="1"/>
    <xf numFmtId="0" fontId="5" fillId="0" borderId="1" xfId="0" applyFont="1" applyFill="1" applyBorder="1"/>
    <xf numFmtId="0" fontId="5" fillId="0" borderId="1" xfId="0" applyFont="1" applyFill="1" applyBorder="1" applyAlignment="1">
      <alignment wrapText="1"/>
    </xf>
    <xf numFmtId="49" fontId="5" fillId="0" borderId="0" xfId="0" applyNumberFormat="1" applyFont="1" applyAlignment="1">
      <alignment horizontal="right" vertical="center"/>
    </xf>
    <xf numFmtId="4" fontId="5" fillId="0" borderId="0" xfId="0" applyNumberFormat="1" applyFont="1"/>
    <xf numFmtId="0" fontId="19" fillId="0" borderId="2" xfId="2" applyFont="1" applyFill="1" applyBorder="1" applyAlignment="1">
      <alignment horizontal="left" wrapText="1"/>
    </xf>
    <xf numFmtId="0" fontId="8" fillId="0" borderId="0" xfId="0" applyFont="1"/>
    <xf numFmtId="0" fontId="10" fillId="0" borderId="2" xfId="2" applyFont="1" applyFill="1" applyBorder="1" applyAlignment="1">
      <alignment horizontal="left" wrapText="1"/>
    </xf>
    <xf numFmtId="0" fontId="12" fillId="0" borderId="0" xfId="0" applyFont="1" applyAlignment="1">
      <alignment horizontal="right"/>
    </xf>
    <xf numFmtId="0" fontId="10" fillId="0" borderId="1" xfId="0" applyFont="1" applyBorder="1" applyAlignment="1">
      <alignment horizontal="center" vertical="top" wrapText="1"/>
    </xf>
    <xf numFmtId="0" fontId="5" fillId="0" borderId="0" xfId="0" applyFont="1" applyAlignment="1">
      <alignment horizontal="center"/>
    </xf>
    <xf numFmtId="0" fontId="10" fillId="0" borderId="1" xfId="0" applyFont="1" applyBorder="1" applyAlignment="1">
      <alignment vertical="top" wrapText="1"/>
    </xf>
    <xf numFmtId="4" fontId="10" fillId="0" borderId="1" xfId="0" applyNumberFormat="1" applyFont="1" applyBorder="1" applyAlignment="1">
      <alignment horizontal="right" vertical="top" wrapText="1"/>
    </xf>
    <xf numFmtId="0" fontId="13" fillId="0" borderId="0" xfId="0" applyFont="1"/>
    <xf numFmtId="43" fontId="5" fillId="0" borderId="0" xfId="17" applyFont="1"/>
    <xf numFmtId="49" fontId="10" fillId="0" borderId="0" xfId="0" applyNumberFormat="1" applyFont="1" applyBorder="1" applyAlignment="1">
      <alignment horizontal="center" vertical="top" wrapText="1"/>
    </xf>
    <xf numFmtId="49" fontId="9" fillId="0" borderId="0" xfId="0" applyNumberFormat="1" applyFont="1" applyAlignment="1">
      <alignment horizontal="left" vertical="top"/>
    </xf>
    <xf numFmtId="49" fontId="10" fillId="0" borderId="1"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0" fontId="19" fillId="0" borderId="2" xfId="7" applyFont="1" applyFill="1" applyBorder="1" applyAlignment="1">
      <alignment horizontal="left" wrapText="1"/>
    </xf>
    <xf numFmtId="166" fontId="19" fillId="0" borderId="2" xfId="3" applyNumberFormat="1" applyFont="1" applyFill="1" applyBorder="1"/>
    <xf numFmtId="49" fontId="10" fillId="0" borderId="0" xfId="0" applyNumberFormat="1" applyFont="1" applyAlignment="1">
      <alignment horizontal="right" vertical="top"/>
    </xf>
    <xf numFmtId="169" fontId="9" fillId="0" borderId="1" xfId="0" applyNumberFormat="1" applyFont="1" applyBorder="1" applyAlignment="1">
      <alignment horizontal="left" wrapText="1"/>
    </xf>
    <xf numFmtId="4" fontId="9" fillId="0" borderId="1" xfId="0" applyNumberFormat="1" applyFont="1" applyBorder="1" applyAlignment="1">
      <alignment horizontal="right"/>
    </xf>
    <xf numFmtId="49" fontId="9" fillId="0" borderId="0" xfId="0" applyNumberFormat="1" applyFont="1" applyAlignment="1">
      <alignment horizontal="right"/>
    </xf>
    <xf numFmtId="169" fontId="10" fillId="0" borderId="0" xfId="0" applyNumberFormat="1" applyFont="1" applyAlignment="1">
      <alignment horizontal="left" vertical="top" wrapText="1"/>
    </xf>
    <xf numFmtId="4" fontId="10" fillId="0" borderId="0" xfId="0" applyNumberFormat="1" applyFont="1" applyAlignment="1">
      <alignment horizontal="right" vertical="top"/>
    </xf>
    <xf numFmtId="49" fontId="5" fillId="0" borderId="1" xfId="0" applyNumberFormat="1" applyFont="1" applyBorder="1" applyAlignment="1">
      <alignment horizontal="center" vertical="center" wrapText="1"/>
    </xf>
    <xf numFmtId="0" fontId="5" fillId="0" borderId="0" xfId="17" applyNumberFormat="1" applyFont="1"/>
    <xf numFmtId="49" fontId="9" fillId="0" borderId="1" xfId="0" applyNumberFormat="1" applyFont="1" applyBorder="1" applyAlignment="1">
      <alignment horizontal="center" vertical="center"/>
    </xf>
    <xf numFmtId="166" fontId="9" fillId="0" borderId="1" xfId="19" applyNumberFormat="1" applyFont="1" applyBorder="1" applyAlignment="1">
      <alignment horizontal="right" vertical="center"/>
    </xf>
    <xf numFmtId="0" fontId="19" fillId="0" borderId="2" xfId="6" applyFont="1" applyFill="1" applyBorder="1" applyAlignment="1">
      <alignment horizontal="left" wrapText="1"/>
    </xf>
    <xf numFmtId="170" fontId="11" fillId="0" borderId="0" xfId="17" applyNumberFormat="1" applyFont="1"/>
    <xf numFmtId="2" fontId="11" fillId="0" borderId="0" xfId="0" applyNumberFormat="1" applyFont="1"/>
    <xf numFmtId="49" fontId="5" fillId="0" borderId="0" xfId="0" applyNumberFormat="1" applyFont="1"/>
    <xf numFmtId="0" fontId="7" fillId="0" borderId="2" xfId="7" applyFont="1" applyFill="1" applyBorder="1" applyAlignment="1">
      <alignment horizontal="left" wrapText="1"/>
    </xf>
    <xf numFmtId="0" fontId="10" fillId="0" borderId="1" xfId="0" applyFont="1" applyBorder="1" applyAlignment="1">
      <alignment horizontal="left" vertical="center" wrapText="1"/>
    </xf>
    <xf numFmtId="0" fontId="10" fillId="0" borderId="1" xfId="0" applyFont="1" applyBorder="1"/>
    <xf numFmtId="0" fontId="10" fillId="0" borderId="1" xfId="2" applyFont="1" applyFill="1" applyBorder="1" applyAlignment="1">
      <alignment horizontal="left" wrapText="1"/>
    </xf>
    <xf numFmtId="0" fontId="7" fillId="0" borderId="2" xfId="2" applyFont="1" applyFill="1" applyBorder="1" applyAlignment="1">
      <alignment horizontal="left" wrapText="1"/>
    </xf>
    <xf numFmtId="0" fontId="10" fillId="0" borderId="1" xfId="0" applyFont="1" applyBorder="1" applyAlignment="1">
      <alignment horizontal="justify" vertical="top" wrapText="1"/>
    </xf>
    <xf numFmtId="0" fontId="10" fillId="0" borderId="1" xfId="0" applyFont="1" applyBorder="1" applyAlignment="1">
      <alignment horizontal="left" vertical="top" wrapText="1"/>
    </xf>
    <xf numFmtId="49" fontId="7" fillId="0" borderId="1" xfId="1" applyNumberFormat="1" applyFont="1" applyFill="1" applyBorder="1" applyAlignment="1">
      <alignment vertical="center"/>
    </xf>
    <xf numFmtId="166" fontId="19" fillId="0" borderId="1" xfId="3" applyNumberFormat="1" applyFont="1" applyFill="1" applyBorder="1"/>
    <xf numFmtId="49" fontId="19" fillId="0" borderId="1" xfId="1" applyNumberFormat="1" applyFont="1" applyFill="1" applyBorder="1" applyAlignment="1">
      <alignment vertical="center"/>
    </xf>
    <xf numFmtId="49" fontId="9" fillId="0" borderId="1" xfId="0" applyNumberFormat="1" applyFont="1" applyBorder="1" applyAlignment="1">
      <alignment horizontal="right"/>
    </xf>
    <xf numFmtId="0" fontId="5" fillId="0" borderId="1" xfId="0" applyNumberFormat="1" applyFont="1" applyFill="1" applyBorder="1" applyAlignment="1">
      <alignment horizontal="left" vertical="top" wrapText="1"/>
    </xf>
    <xf numFmtId="0" fontId="5" fillId="0" borderId="1" xfId="0" applyFont="1" applyBorder="1" applyAlignment="1">
      <alignment wrapText="1"/>
    </xf>
    <xf numFmtId="0" fontId="5" fillId="0" borderId="0" xfId="0" applyFont="1" applyAlignment="1">
      <alignment wrapText="1"/>
    </xf>
    <xf numFmtId="167" fontId="15" fillId="0" borderId="0" xfId="0" applyNumberFormat="1" applyFont="1" applyFill="1" applyAlignment="1">
      <alignment horizontal="center" wrapText="1"/>
    </xf>
    <xf numFmtId="167" fontId="15" fillId="0" borderId="0" xfId="0" applyNumberFormat="1" applyFont="1" applyFill="1" applyAlignment="1">
      <alignment horizontal="center" vertical="top" wrapText="1"/>
    </xf>
    <xf numFmtId="0" fontId="16" fillId="0" borderId="0" xfId="0" applyFont="1" applyFill="1" applyAlignment="1">
      <alignment wrapText="1"/>
    </xf>
    <xf numFmtId="0" fontId="13" fillId="0" borderId="0" xfId="0" applyFont="1" applyFill="1" applyAlignment="1">
      <alignment horizontal="center" vertical="top" wrapText="1" shrinkToFit="1"/>
    </xf>
    <xf numFmtId="49" fontId="14" fillId="0" borderId="0" xfId="0" applyNumberFormat="1" applyFont="1" applyFill="1" applyBorder="1" applyAlignment="1">
      <alignment horizontal="center" wrapText="1" shrinkToFit="1"/>
    </xf>
    <xf numFmtId="49" fontId="14" fillId="0" borderId="0" xfId="0" applyNumberFormat="1" applyFont="1" applyFill="1" applyBorder="1" applyAlignment="1">
      <alignment horizontal="center" vertical="top" wrapText="1" shrinkToFit="1"/>
    </xf>
    <xf numFmtId="0" fontId="13" fillId="0" borderId="0" xfId="0" applyFont="1" applyFill="1" applyAlignment="1">
      <alignment horizontal="center" wrapText="1" shrinkToFit="1"/>
    </xf>
    <xf numFmtId="0" fontId="10" fillId="0" borderId="1" xfId="0" applyFont="1" applyFill="1" applyBorder="1" applyAlignment="1">
      <alignment horizontal="center" vertical="center" wrapText="1" shrinkToFit="1"/>
    </xf>
    <xf numFmtId="0" fontId="5" fillId="0" borderId="0" xfId="0" applyFont="1" applyFill="1" applyAlignment="1">
      <alignment horizontal="center" vertical="center" wrapText="1" shrinkToFit="1"/>
    </xf>
    <xf numFmtId="0" fontId="9" fillId="0" borderId="1" xfId="0" applyFont="1" applyFill="1" applyBorder="1" applyAlignment="1">
      <alignment horizontal="center" vertical="top" wrapText="1"/>
    </xf>
    <xf numFmtId="49" fontId="9" fillId="0" borderId="1" xfId="0" applyNumberFormat="1" applyFont="1" applyFill="1" applyBorder="1" applyAlignment="1">
      <alignment horizontal="center" vertical="top"/>
    </xf>
    <xf numFmtId="49" fontId="9" fillId="0" borderId="1" xfId="0" applyNumberFormat="1" applyFont="1" applyFill="1" applyBorder="1" applyAlignment="1">
      <alignment horizontal="center" vertical="top" wrapText="1" shrinkToFit="1"/>
    </xf>
    <xf numFmtId="49" fontId="9" fillId="0" borderId="1" xfId="0" applyNumberFormat="1" applyFont="1" applyFill="1" applyBorder="1" applyAlignment="1">
      <alignment horizontal="left" vertical="top" wrapText="1" shrinkToFit="1"/>
    </xf>
    <xf numFmtId="0" fontId="10" fillId="0" borderId="1" xfId="0" applyFont="1" applyFill="1" applyBorder="1" applyAlignment="1">
      <alignment horizontal="center" vertical="top" wrapText="1"/>
    </xf>
    <xf numFmtId="49" fontId="10" fillId="0" borderId="1" xfId="0" applyNumberFormat="1" applyFont="1" applyFill="1" applyBorder="1" applyAlignment="1">
      <alignment horizontal="center" vertical="top"/>
    </xf>
    <xf numFmtId="49" fontId="10" fillId="0" borderId="1" xfId="0" applyNumberFormat="1" applyFont="1" applyFill="1" applyBorder="1" applyAlignment="1">
      <alignment vertical="top"/>
    </xf>
    <xf numFmtId="0" fontId="10" fillId="0" borderId="1" xfId="0" applyNumberFormat="1" applyFont="1" applyBorder="1" applyAlignment="1">
      <alignment vertical="top" wrapText="1"/>
    </xf>
    <xf numFmtId="49" fontId="10" fillId="0" borderId="0" xfId="0" applyNumberFormat="1" applyFont="1" applyAlignment="1">
      <alignment vertical="top"/>
    </xf>
    <xf numFmtId="49" fontId="10" fillId="0" borderId="1" xfId="0" applyNumberFormat="1" applyFont="1" applyBorder="1" applyAlignment="1">
      <alignment vertical="top"/>
    </xf>
    <xf numFmtId="49" fontId="9" fillId="0" borderId="1" xfId="0" applyNumberFormat="1" applyFont="1" applyBorder="1" applyAlignment="1">
      <alignment vertical="top"/>
    </xf>
    <xf numFmtId="0" fontId="9" fillId="0" borderId="1" xfId="0" applyNumberFormat="1" applyFont="1" applyBorder="1" applyAlignment="1">
      <alignment vertical="top" wrapText="1"/>
    </xf>
    <xf numFmtId="0" fontId="13" fillId="0" borderId="0" xfId="0" applyFont="1" applyFill="1" applyAlignment="1">
      <alignment horizontal="center" vertical="top" wrapText="1"/>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horizontal="center" wrapText="1"/>
    </xf>
    <xf numFmtId="0" fontId="9" fillId="0" borderId="1" xfId="0" applyFont="1" applyBorder="1" applyAlignment="1">
      <alignment horizontal="center"/>
    </xf>
    <xf numFmtId="43" fontId="10" fillId="0" borderId="1" xfId="18" applyFont="1" applyBorder="1" applyAlignment="1">
      <alignment horizontal="center" vertical="center" wrapText="1"/>
    </xf>
    <xf numFmtId="0" fontId="9" fillId="0" borderId="1" xfId="0" applyFont="1" applyBorder="1" applyAlignment="1">
      <alignment vertical="top" wrapText="1"/>
    </xf>
    <xf numFmtId="4" fontId="10" fillId="0" borderId="1" xfId="0" applyNumberFormat="1" applyFont="1" applyBorder="1" applyAlignment="1">
      <alignment horizontal="right"/>
    </xf>
    <xf numFmtId="4" fontId="10" fillId="0" borderId="1" xfId="0" applyNumberFormat="1" applyFont="1" applyFill="1" applyBorder="1" applyAlignment="1">
      <alignment horizontal="right"/>
    </xf>
    <xf numFmtId="4" fontId="10" fillId="0" borderId="1" xfId="0" applyNumberFormat="1" applyFont="1" applyBorder="1" applyAlignment="1"/>
    <xf numFmtId="0" fontId="13" fillId="0" borderId="1" xfId="0" applyFont="1" applyBorder="1" applyAlignment="1">
      <alignment vertical="top" wrapText="1"/>
    </xf>
    <xf numFmtId="0" fontId="14" fillId="0" borderId="1" xfId="0" applyFont="1" applyBorder="1" applyAlignment="1">
      <alignment vertical="top" wrapText="1"/>
    </xf>
    <xf numFmtId="4" fontId="14" fillId="0" borderId="1" xfId="0" applyNumberFormat="1" applyFont="1" applyBorder="1" applyAlignment="1"/>
    <xf numFmtId="4" fontId="13" fillId="0" borderId="1" xfId="0" applyNumberFormat="1" applyFont="1" applyBorder="1" applyAlignment="1"/>
    <xf numFmtId="0" fontId="13" fillId="0" borderId="1" xfId="0" applyFont="1" applyBorder="1" applyAlignment="1">
      <alignment horizontal="left" vertical="top" wrapText="1"/>
    </xf>
    <xf numFmtId="4" fontId="13" fillId="0" borderId="1" xfId="0" applyNumberFormat="1" applyFont="1" applyBorder="1" applyAlignment="1">
      <alignment horizontal="right"/>
    </xf>
    <xf numFmtId="0" fontId="13" fillId="0" borderId="1" xfId="0" applyFont="1" applyBorder="1" applyAlignment="1">
      <alignment horizontal="left"/>
    </xf>
    <xf numFmtId="0" fontId="13" fillId="0" borderId="1" xfId="0" applyFont="1" applyFill="1" applyBorder="1" applyAlignment="1">
      <alignment wrapText="1"/>
    </xf>
    <xf numFmtId="4" fontId="13" fillId="0" borderId="1" xfId="0" applyNumberFormat="1" applyFont="1" applyBorder="1"/>
    <xf numFmtId="4" fontId="5" fillId="0" borderId="1" xfId="0" applyNumberFormat="1" applyFont="1" applyFill="1" applyBorder="1" applyAlignment="1">
      <alignment horizontal="right" vertical="top" wrapText="1"/>
    </xf>
    <xf numFmtId="2" fontId="8" fillId="0" borderId="0" xfId="0" applyNumberFormat="1" applyFont="1"/>
    <xf numFmtId="49" fontId="20" fillId="0" borderId="0" xfId="0" applyNumberFormat="1" applyFont="1"/>
    <xf numFmtId="49" fontId="9" fillId="0" borderId="0" xfId="0" applyNumberFormat="1" applyFont="1" applyAlignment="1">
      <alignment horizontal="left" vertical="center"/>
    </xf>
    <xf numFmtId="0" fontId="16" fillId="0" borderId="0" xfId="0" applyFont="1" applyAlignment="1">
      <alignment vertical="center" wrapText="1"/>
    </xf>
    <xf numFmtId="0" fontId="16" fillId="0" borderId="0" xfId="0" applyFont="1"/>
    <xf numFmtId="0" fontId="5" fillId="0" borderId="0" xfId="0" applyFont="1" applyAlignment="1">
      <alignment horizontal="center" vertical="center"/>
    </xf>
    <xf numFmtId="0" fontId="14" fillId="0" borderId="0" xfId="0" applyFont="1"/>
    <xf numFmtId="0" fontId="9" fillId="0" borderId="1" xfId="0" applyFont="1" applyBorder="1" applyAlignment="1">
      <alignment horizontal="left" wrapText="1"/>
    </xf>
    <xf numFmtId="0" fontId="16" fillId="0" borderId="0" xfId="0" applyFont="1" applyBorder="1" applyAlignment="1">
      <alignment horizontal="center" vertical="center" wrapText="1"/>
    </xf>
    <xf numFmtId="0" fontId="5" fillId="0" borderId="0" xfId="0" applyFont="1" applyAlignment="1">
      <alignment horizontal="right" wrapText="1"/>
    </xf>
    <xf numFmtId="166" fontId="19" fillId="0" borderId="0" xfId="3" applyNumberFormat="1" applyFont="1" applyFill="1" applyBorder="1"/>
    <xf numFmtId="4" fontId="9" fillId="0" borderId="0" xfId="0" applyNumberFormat="1" applyFont="1" applyBorder="1" applyAlignment="1">
      <alignment horizontal="right"/>
    </xf>
    <xf numFmtId="49" fontId="5" fillId="0" borderId="0" xfId="0" applyNumberFormat="1" applyFont="1" applyBorder="1" applyAlignment="1">
      <alignment horizontal="center" vertical="center" wrapText="1"/>
    </xf>
    <xf numFmtId="49" fontId="5" fillId="0" borderId="0" xfId="0" applyNumberFormat="1" applyFont="1" applyAlignment="1">
      <alignment horizontal="center" vertical="center" wrapText="1"/>
    </xf>
    <xf numFmtId="165" fontId="5" fillId="0" borderId="0" xfId="3" applyNumberFormat="1" applyFont="1" applyFill="1" applyBorder="1"/>
    <xf numFmtId="49" fontId="22" fillId="0" borderId="0" xfId="0" applyNumberFormat="1" applyFont="1" applyAlignment="1">
      <alignment horizontal="center" vertical="center" wrapText="1"/>
    </xf>
    <xf numFmtId="4" fontId="22" fillId="0" borderId="0" xfId="0" applyNumberFormat="1" applyFont="1" applyAlignment="1">
      <alignment horizontal="center" vertical="center" wrapText="1"/>
    </xf>
    <xf numFmtId="49" fontId="9" fillId="0" borderId="1" xfId="0" applyNumberFormat="1" applyFont="1" applyBorder="1" applyAlignment="1">
      <alignment horizontal="left" vertical="center"/>
    </xf>
    <xf numFmtId="0" fontId="21" fillId="0" borderId="0" xfId="0" applyFont="1" applyAlignment="1">
      <alignment horizontal="right"/>
    </xf>
    <xf numFmtId="2" fontId="21" fillId="0" borderId="0" xfId="17" applyNumberFormat="1" applyFont="1"/>
    <xf numFmtId="2" fontId="21" fillId="0" borderId="0" xfId="0" applyNumberFormat="1" applyFont="1"/>
    <xf numFmtId="168" fontId="21" fillId="0" borderId="0" xfId="0" applyNumberFormat="1" applyFont="1"/>
    <xf numFmtId="49" fontId="5" fillId="0" borderId="7" xfId="0" applyNumberFormat="1" applyFont="1" applyBorder="1" applyAlignment="1">
      <alignment horizontal="center" vertical="center" wrapText="1"/>
    </xf>
    <xf numFmtId="49" fontId="19" fillId="0" borderId="3" xfId="5" applyNumberFormat="1" applyFont="1" applyFill="1" applyBorder="1" applyAlignment="1">
      <alignment vertical="center"/>
    </xf>
    <xf numFmtId="49" fontId="19" fillId="0" borderId="3" xfId="8" applyNumberFormat="1" applyFont="1" applyFill="1" applyBorder="1" applyAlignment="1">
      <alignment vertical="center"/>
    </xf>
    <xf numFmtId="0" fontId="14" fillId="0" borderId="8" xfId="0" applyFont="1" applyBorder="1" applyAlignment="1"/>
    <xf numFmtId="0" fontId="5" fillId="0" borderId="0" xfId="0" applyFont="1" applyFill="1"/>
    <xf numFmtId="49" fontId="5" fillId="0" borderId="0" xfId="0" applyNumberFormat="1" applyFont="1" applyFill="1" applyAlignment="1">
      <alignment horizontal="right" vertical="center"/>
    </xf>
    <xf numFmtId="166" fontId="6" fillId="0" borderId="0" xfId="0" applyNumberFormat="1" applyFont="1" applyFill="1" applyBorder="1" applyAlignment="1">
      <alignment horizontal="left" wrapText="1"/>
    </xf>
    <xf numFmtId="4" fontId="11" fillId="0" borderId="0" xfId="0" applyNumberFormat="1" applyFont="1" applyFill="1" applyAlignment="1">
      <alignment horizontal="left"/>
    </xf>
    <xf numFmtId="4" fontId="5" fillId="0" borderId="0" xfId="0" applyNumberFormat="1" applyFont="1" applyFill="1"/>
    <xf numFmtId="0" fontId="13" fillId="0" borderId="0" xfId="0" applyFont="1" applyAlignment="1">
      <alignment horizontal="right" wrapText="1"/>
    </xf>
    <xf numFmtId="0" fontId="13" fillId="0" borderId="0" xfId="0" applyFont="1" applyFill="1"/>
    <xf numFmtId="0" fontId="13" fillId="0" borderId="0" xfId="0" applyFont="1" applyBorder="1" applyAlignment="1">
      <alignment vertical="center" wrapText="1"/>
    </xf>
    <xf numFmtId="0" fontId="14" fillId="0" borderId="0" xfId="0" applyFont="1" applyFill="1"/>
    <xf numFmtId="0" fontId="5" fillId="0" borderId="1"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pplyAlignment="1">
      <alignment horizontal="left" vertical="center" wrapText="1"/>
    </xf>
    <xf numFmtId="49" fontId="5" fillId="0" borderId="1" xfId="0" applyNumberFormat="1" applyFont="1" applyFill="1" applyBorder="1" applyAlignment="1">
      <alignment horizontal="left" vertical="top" wrapText="1"/>
    </xf>
    <xf numFmtId="4" fontId="5" fillId="0" borderId="1" xfId="0" applyNumberFormat="1" applyFont="1" applyBorder="1" applyAlignment="1">
      <alignment horizontal="right" wrapText="1"/>
    </xf>
    <xf numFmtId="0" fontId="5" fillId="0" borderId="1" xfId="0" applyFont="1" applyBorder="1" applyAlignment="1">
      <alignment horizontal="left" wrapText="1"/>
    </xf>
    <xf numFmtId="49" fontId="5" fillId="0" borderId="1" xfId="0" applyNumberFormat="1" applyFont="1" applyBorder="1" applyAlignment="1">
      <alignment horizontal="left" wrapText="1"/>
    </xf>
    <xf numFmtId="4" fontId="5" fillId="0" borderId="1" xfId="17" applyNumberFormat="1" applyFont="1" applyBorder="1" applyAlignment="1">
      <alignment horizontal="right"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10" fillId="0" borderId="1" xfId="0" applyFont="1" applyFill="1" applyBorder="1" applyAlignment="1">
      <alignment horizontal="left" vertical="top" wrapText="1"/>
    </xf>
    <xf numFmtId="0" fontId="5" fillId="0" borderId="0" xfId="0" applyFont="1" applyAlignment="1">
      <alignment horizontal="left"/>
    </xf>
    <xf numFmtId="49" fontId="5" fillId="0" borderId="1" xfId="0" applyNumberFormat="1" applyFont="1" applyFill="1" applyBorder="1" applyAlignment="1">
      <alignment horizontal="left" vertical="center" wrapText="1"/>
    </xf>
    <xf numFmtId="0" fontId="20" fillId="0" borderId="0" xfId="0" applyNumberFormat="1" applyFont="1"/>
    <xf numFmtId="0" fontId="5" fillId="0" borderId="0" xfId="0" applyNumberFormat="1" applyFont="1"/>
    <xf numFmtId="0" fontId="5" fillId="0" borderId="0" xfId="0" applyNumberFormat="1" applyFont="1" applyFill="1"/>
    <xf numFmtId="2" fontId="5" fillId="0" borderId="0" xfId="0" applyNumberFormat="1" applyFont="1"/>
    <xf numFmtId="173" fontId="0" fillId="0" borderId="0" xfId="0" applyNumberFormat="1"/>
    <xf numFmtId="4" fontId="5" fillId="0" borderId="1" xfId="0" applyNumberFormat="1" applyFont="1" applyBorder="1" applyAlignment="1">
      <alignment wrapText="1"/>
    </xf>
    <xf numFmtId="0" fontId="5" fillId="0" borderId="0" xfId="0" applyNumberFormat="1" applyFont="1" applyAlignment="1">
      <alignment horizontal="left"/>
    </xf>
    <xf numFmtId="0" fontId="5" fillId="0" borderId="1" xfId="0" applyNumberFormat="1" applyFont="1" applyBorder="1" applyAlignment="1">
      <alignment horizontal="left" wrapText="1"/>
    </xf>
    <xf numFmtId="0" fontId="5" fillId="0" borderId="1" xfId="0" applyNumberFormat="1" applyFont="1" applyBorder="1" applyAlignment="1">
      <alignment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top" wrapText="1"/>
    </xf>
    <xf numFmtId="11" fontId="13" fillId="0" borderId="1" xfId="0" applyNumberFormat="1" applyFont="1" applyFill="1" applyBorder="1" applyAlignment="1">
      <alignment horizontal="left" vertical="center" wrapText="1"/>
    </xf>
    <xf numFmtId="0" fontId="13" fillId="0" borderId="1" xfId="0" applyFont="1" applyBorder="1" applyAlignment="1">
      <alignment horizontal="left" vertical="center" wrapText="1"/>
    </xf>
    <xf numFmtId="2" fontId="13" fillId="0" borderId="1" xfId="0" applyNumberFormat="1" applyFont="1" applyFill="1" applyBorder="1" applyAlignment="1">
      <alignment horizontal="left" vertical="center" wrapText="1"/>
    </xf>
    <xf numFmtId="172" fontId="13" fillId="0" borderId="1" xfId="0" applyNumberFormat="1" applyFont="1" applyFill="1" applyBorder="1" applyAlignment="1">
      <alignment horizontal="left" vertical="center" wrapText="1"/>
    </xf>
    <xf numFmtId="4" fontId="5" fillId="0" borderId="1" xfId="0" applyNumberFormat="1" applyFont="1" applyFill="1" applyBorder="1" applyAlignment="1">
      <alignment horizontal="right"/>
    </xf>
    <xf numFmtId="4" fontId="5" fillId="0" borderId="1" xfId="0" applyNumberFormat="1" applyFont="1" applyBorder="1" applyAlignment="1">
      <alignment horizontal="right"/>
    </xf>
    <xf numFmtId="0" fontId="8" fillId="0" borderId="1" xfId="0" applyFont="1" applyFill="1" applyBorder="1" applyAlignment="1">
      <alignment horizontal="center" vertical="top" wrapText="1"/>
    </xf>
    <xf numFmtId="0" fontId="8" fillId="0" borderId="1" xfId="0" applyFont="1" applyBorder="1" applyAlignment="1">
      <alignment horizontal="left" vertical="top" wrapText="1"/>
    </xf>
    <xf numFmtId="49" fontId="13" fillId="0" borderId="7"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wrapText="1"/>
    </xf>
    <xf numFmtId="171" fontId="5" fillId="0" borderId="1" xfId="0" applyNumberFormat="1" applyFont="1" applyFill="1" applyBorder="1" applyAlignment="1">
      <alignment horizontal="left" vertical="center" wrapText="1"/>
    </xf>
    <xf numFmtId="49" fontId="5" fillId="0" borderId="1" xfId="0" applyNumberFormat="1" applyFont="1" applyBorder="1" applyAlignment="1">
      <alignment wrapText="1"/>
    </xf>
    <xf numFmtId="0" fontId="5" fillId="0" borderId="1" xfId="0" applyFont="1" applyFill="1" applyBorder="1" applyAlignment="1">
      <alignment horizontal="left" wrapText="1"/>
    </xf>
    <xf numFmtId="2" fontId="5" fillId="0" borderId="1" xfId="0" applyNumberFormat="1" applyFont="1" applyBorder="1" applyAlignment="1">
      <alignment horizontal="justify" vertical="top" wrapText="1"/>
    </xf>
    <xf numFmtId="4" fontId="8" fillId="0" borderId="0" xfId="0" applyNumberFormat="1" applyFont="1"/>
    <xf numFmtId="0" fontId="25" fillId="0" borderId="0" xfId="0" applyFont="1"/>
    <xf numFmtId="49" fontId="25" fillId="0" borderId="0" xfId="0" applyNumberFormat="1" applyFont="1" applyAlignment="1">
      <alignment horizontal="right" vertical="center"/>
    </xf>
    <xf numFmtId="49" fontId="26" fillId="0" borderId="1" xfId="0" applyNumberFormat="1" applyFont="1" applyBorder="1" applyAlignment="1">
      <alignment horizontal="center" vertical="center"/>
    </xf>
    <xf numFmtId="165" fontId="27" fillId="0" borderId="1" xfId="3" applyNumberFormat="1" applyFont="1" applyFill="1" applyBorder="1"/>
    <xf numFmtId="49" fontId="5" fillId="0" borderId="1" xfId="0" applyNumberFormat="1" applyFont="1" applyBorder="1" applyAlignment="1">
      <alignment horizontal="center"/>
    </xf>
    <xf numFmtId="49" fontId="5" fillId="0" borderId="1" xfId="0" applyNumberFormat="1" applyFont="1" applyBorder="1"/>
    <xf numFmtId="49" fontId="5" fillId="0" borderId="1" xfId="0" applyNumberFormat="1" applyFont="1" applyFill="1" applyBorder="1" applyAlignment="1">
      <alignment horizontal="center"/>
    </xf>
    <xf numFmtId="49" fontId="5" fillId="0" borderId="1" xfId="0" applyNumberFormat="1" applyFont="1" applyFill="1" applyBorder="1" applyAlignment="1"/>
    <xf numFmtId="0" fontId="5" fillId="0" borderId="1" xfId="22" applyNumberFormat="1" applyFont="1" applyFill="1" applyBorder="1" applyAlignment="1">
      <alignment horizontal="left" vertical="top" wrapText="1"/>
    </xf>
    <xf numFmtId="49" fontId="23" fillId="0" borderId="1" xfId="0" applyNumberFormat="1" applyFont="1" applyFill="1" applyBorder="1" applyAlignment="1"/>
    <xf numFmtId="0" fontId="5" fillId="0" borderId="1" xfId="0" applyFont="1" applyFill="1" applyBorder="1" applyAlignment="1"/>
    <xf numFmtId="0" fontId="13" fillId="0" borderId="1" xfId="22" applyNumberFormat="1" applyFont="1" applyFill="1" applyBorder="1" applyAlignment="1">
      <alignment horizontal="left" vertical="top" wrapText="1"/>
    </xf>
    <xf numFmtId="49" fontId="5" fillId="0" borderId="1" xfId="0" applyNumberFormat="1" applyFont="1" applyFill="1" applyBorder="1" applyAlignment="1">
      <alignment horizontal="left" wrapText="1"/>
    </xf>
    <xf numFmtId="2" fontId="5" fillId="0" borderId="1" xfId="0" applyNumberFormat="1" applyFont="1" applyBorder="1" applyAlignment="1">
      <alignment wrapText="1"/>
    </xf>
    <xf numFmtId="4" fontId="5" fillId="0" borderId="1" xfId="0" applyNumberFormat="1" applyFont="1" applyFill="1" applyBorder="1" applyAlignment="1">
      <alignment horizontal="right" wrapText="1"/>
    </xf>
    <xf numFmtId="4" fontId="5" fillId="0" borderId="1" xfId="0" applyNumberFormat="1" applyFont="1" applyBorder="1" applyAlignment="1"/>
    <xf numFmtId="2" fontId="5" fillId="0" borderId="1" xfId="0" applyNumberFormat="1" applyFont="1" applyFill="1" applyBorder="1" applyAlignment="1">
      <alignment horizontal="left" vertical="top" wrapText="1"/>
    </xf>
    <xf numFmtId="4" fontId="5" fillId="0" borderId="5" xfId="0" applyNumberFormat="1" applyFont="1" applyBorder="1" applyAlignment="1">
      <alignment horizontal="right" wrapText="1"/>
    </xf>
    <xf numFmtId="4" fontId="5" fillId="0" borderId="1" xfId="0" applyNumberFormat="1" applyFont="1" applyBorder="1"/>
    <xf numFmtId="4" fontId="5" fillId="0" borderId="1" xfId="17" applyNumberFormat="1" applyFont="1" applyBorder="1"/>
    <xf numFmtId="0" fontId="5" fillId="0" borderId="0" xfId="0" applyFont="1" applyAlignment="1">
      <alignment horizontal="right" wrapText="1"/>
    </xf>
    <xf numFmtId="4" fontId="5" fillId="0" borderId="0" xfId="0" applyNumberFormat="1" applyFont="1" applyAlignment="1">
      <alignment horizontal="right"/>
    </xf>
    <xf numFmtId="49" fontId="28" fillId="0" borderId="1" xfId="0" applyNumberFormat="1" applyFont="1" applyBorder="1" applyAlignment="1">
      <alignment horizontal="center" vertical="center" wrapText="1"/>
    </xf>
    <xf numFmtId="11" fontId="5" fillId="0" borderId="1" xfId="0" applyNumberFormat="1" applyFont="1" applyFill="1" applyBorder="1" applyAlignment="1">
      <alignment horizontal="left" vertical="top" wrapText="1"/>
    </xf>
    <xf numFmtId="49" fontId="31" fillId="0" borderId="1" xfId="0" applyNumberFormat="1" applyFont="1" applyFill="1" applyBorder="1" applyAlignment="1">
      <alignment horizontal="center" vertical="top" wrapText="1"/>
    </xf>
    <xf numFmtId="49" fontId="31" fillId="0" borderId="1" xfId="0" applyNumberFormat="1" applyFont="1" applyFill="1" applyBorder="1" applyAlignment="1">
      <alignment horizontal="left" vertical="top" wrapText="1"/>
    </xf>
    <xf numFmtId="49" fontId="32" fillId="0" borderId="10" xfId="0" applyNumberFormat="1" applyFont="1" applyFill="1" applyBorder="1" applyAlignment="1">
      <alignment horizontal="center" vertical="top" wrapText="1"/>
    </xf>
    <xf numFmtId="171" fontId="32" fillId="0" borderId="10" xfId="0" applyNumberFormat="1" applyFont="1" applyFill="1" applyBorder="1" applyAlignment="1">
      <alignment horizontal="left" vertical="top" wrapText="1"/>
    </xf>
    <xf numFmtId="49" fontId="32" fillId="0" borderId="10" xfId="0" applyNumberFormat="1" applyFont="1" applyFill="1" applyBorder="1" applyAlignment="1">
      <alignment horizontal="left" vertical="top" wrapText="1"/>
    </xf>
    <xf numFmtId="171" fontId="31" fillId="0" borderId="1" xfId="0" applyNumberFormat="1" applyFont="1" applyFill="1" applyBorder="1" applyAlignment="1">
      <alignment horizontal="left" vertical="top" wrapText="1"/>
    </xf>
    <xf numFmtId="49" fontId="32" fillId="0" borderId="11" xfId="0" applyNumberFormat="1" applyFont="1" applyFill="1" applyBorder="1" applyAlignment="1">
      <alignment horizontal="center" vertical="top" wrapText="1"/>
    </xf>
    <xf numFmtId="171" fontId="32" fillId="0" borderId="11" xfId="0" applyNumberFormat="1" applyFont="1" applyFill="1" applyBorder="1" applyAlignment="1">
      <alignment horizontal="left" vertical="top" wrapText="1"/>
    </xf>
    <xf numFmtId="49" fontId="0" fillId="0" borderId="1" xfId="0" applyNumberFormat="1" applyBorder="1" applyAlignment="1">
      <alignment horizontal="right"/>
    </xf>
    <xf numFmtId="0" fontId="0" fillId="0" borderId="1" xfId="0" applyFont="1" applyBorder="1" applyAlignment="1">
      <alignment wrapText="1"/>
    </xf>
    <xf numFmtId="0" fontId="0" fillId="0" borderId="1" xfId="0" applyNumberFormat="1" applyBorder="1" applyAlignment="1">
      <alignment wrapText="1"/>
    </xf>
    <xf numFmtId="49" fontId="0" fillId="0" borderId="1" xfId="0" applyNumberFormat="1" applyBorder="1"/>
    <xf numFmtId="0" fontId="29" fillId="0" borderId="1" xfId="0" applyFont="1" applyBorder="1" applyAlignment="1">
      <alignment wrapText="1"/>
    </xf>
    <xf numFmtId="0" fontId="29" fillId="0" borderId="1" xfId="0" applyNumberFormat="1" applyFont="1" applyBorder="1" applyAlignment="1">
      <alignment wrapText="1"/>
    </xf>
    <xf numFmtId="49" fontId="0" fillId="0" borderId="0" xfId="0" applyNumberFormat="1"/>
    <xf numFmtId="0" fontId="29" fillId="0" borderId="0" xfId="0" applyFont="1" applyAlignment="1">
      <alignment wrapText="1"/>
    </xf>
    <xf numFmtId="0" fontId="29" fillId="0" borderId="0" xfId="0" applyFont="1" applyFill="1" applyBorder="1" applyAlignment="1">
      <alignment wrapText="1"/>
    </xf>
    <xf numFmtId="3" fontId="13" fillId="0" borderId="0" xfId="0" applyNumberFormat="1" applyFont="1"/>
    <xf numFmtId="49" fontId="5" fillId="0" borderId="1" xfId="0" applyNumberFormat="1" applyFont="1" applyFill="1" applyBorder="1" applyAlignment="1">
      <alignment horizontal="center" vertical="center" wrapText="1"/>
    </xf>
    <xf numFmtId="0" fontId="25" fillId="0" borderId="1" xfId="0" applyFont="1" applyBorder="1" applyAlignment="1">
      <alignment horizontal="center" vertical="top" wrapText="1"/>
    </xf>
    <xf numFmtId="0" fontId="25" fillId="0" borderId="1" xfId="0" applyFont="1" applyFill="1" applyBorder="1" applyAlignment="1">
      <alignment horizontal="center" vertical="top" wrapText="1"/>
    </xf>
    <xf numFmtId="0" fontId="25" fillId="0" borderId="1" xfId="0" quotePrefix="1" applyFont="1" applyBorder="1" applyAlignment="1">
      <alignment horizontal="left" vertical="top" wrapText="1"/>
    </xf>
    <xf numFmtId="0" fontId="25" fillId="0" borderId="1" xfId="0" applyFont="1" applyBorder="1" applyAlignment="1">
      <alignment vertical="top" wrapText="1"/>
    </xf>
    <xf numFmtId="0" fontId="25" fillId="0" borderId="1" xfId="0" applyFont="1" applyBorder="1" applyAlignment="1">
      <alignment horizontal="center" vertical="top"/>
    </xf>
    <xf numFmtId="0" fontId="25" fillId="0" borderId="4" xfId="0" applyNumberFormat="1" applyFont="1" applyFill="1" applyBorder="1" applyAlignment="1">
      <alignment horizontal="center" vertical="center" wrapText="1"/>
    </xf>
    <xf numFmtId="0" fontId="16" fillId="0" borderId="8" xfId="0" applyFont="1" applyBorder="1" applyAlignment="1">
      <alignment horizontal="center" wrapText="1"/>
    </xf>
    <xf numFmtId="0" fontId="10" fillId="0" borderId="8" xfId="0" applyFont="1" applyBorder="1" applyAlignment="1">
      <alignment horizontal="center"/>
    </xf>
    <xf numFmtId="0" fontId="25" fillId="0" borderId="1" xfId="0" applyFont="1" applyFill="1" applyBorder="1" applyAlignment="1">
      <alignment wrapText="1"/>
    </xf>
    <xf numFmtId="0" fontId="25" fillId="0" borderId="1" xfId="0" applyFont="1" applyFill="1" applyBorder="1" applyAlignment="1">
      <alignment horizontal="left" wrapText="1"/>
    </xf>
    <xf numFmtId="0" fontId="0" fillId="0" borderId="1" xfId="0" applyBorder="1"/>
    <xf numFmtId="0" fontId="25" fillId="0" borderId="1" xfId="0" applyFont="1" applyFill="1" applyBorder="1" applyAlignment="1">
      <alignment horizontal="center" vertical="top"/>
    </xf>
    <xf numFmtId="0" fontId="25" fillId="0" borderId="1" xfId="0" applyFont="1" applyFill="1" applyBorder="1" applyAlignment="1">
      <alignment vertical="top" wrapText="1"/>
    </xf>
    <xf numFmtId="0" fontId="25" fillId="0" borderId="4" xfId="0" applyNumberFormat="1" applyFont="1" applyFill="1" applyBorder="1" applyAlignment="1">
      <alignment vertical="center" wrapText="1"/>
    </xf>
    <xf numFmtId="0" fontId="25" fillId="0" borderId="1" xfId="0" applyFont="1" applyBorder="1"/>
    <xf numFmtId="0" fontId="25" fillId="0" borderId="0" xfId="0" applyNumberFormat="1" applyFont="1" applyFill="1" applyAlignment="1">
      <alignment wrapText="1"/>
    </xf>
    <xf numFmtId="0" fontId="25" fillId="0" borderId="1" xfId="0" quotePrefix="1" applyFont="1" applyBorder="1" applyAlignment="1">
      <alignment horizontal="center" wrapText="1"/>
    </xf>
    <xf numFmtId="49" fontId="4" fillId="0" borderId="0" xfId="0" applyNumberFormat="1" applyFont="1" applyAlignment="1">
      <alignment horizontal="right"/>
    </xf>
    <xf numFmtId="0" fontId="5" fillId="0" borderId="1" xfId="0" applyNumberFormat="1" applyFont="1" applyFill="1" applyBorder="1" applyAlignment="1">
      <alignment horizontal="left" wrapText="1"/>
    </xf>
    <xf numFmtId="0" fontId="16" fillId="0" borderId="0" xfId="0" applyFont="1" applyBorder="1" applyAlignment="1">
      <alignment horizontal="center" vertical="center" wrapText="1"/>
    </xf>
    <xf numFmtId="0" fontId="5" fillId="0" borderId="1" xfId="0" applyNumberFormat="1" applyFont="1" applyBorder="1"/>
    <xf numFmtId="0" fontId="5" fillId="0" borderId="1" xfId="0" applyNumberFormat="1" applyFont="1" applyFill="1" applyBorder="1"/>
    <xf numFmtId="49" fontId="5" fillId="0" borderId="1" xfId="0" applyNumberFormat="1" applyFont="1" applyFill="1" applyBorder="1" applyAlignment="1">
      <alignment horizontal="center" vertical="top" wrapText="1"/>
    </xf>
    <xf numFmtId="0" fontId="28" fillId="0" borderId="1" xfId="0" applyFont="1" applyBorder="1" applyAlignment="1">
      <alignment horizontal="center" vertical="center"/>
    </xf>
    <xf numFmtId="0" fontId="26" fillId="0" borderId="1" xfId="0" applyFont="1" applyBorder="1" applyAlignment="1">
      <alignment horizontal="right"/>
    </xf>
    <xf numFmtId="2" fontId="5" fillId="0" borderId="1" xfId="0" applyNumberFormat="1" applyFont="1" applyFill="1" applyBorder="1" applyAlignment="1">
      <alignment wrapText="1"/>
    </xf>
    <xf numFmtId="0" fontId="9" fillId="0" borderId="1" xfId="0" applyFont="1" applyBorder="1" applyAlignment="1">
      <alignment horizontal="right"/>
    </xf>
    <xf numFmtId="43" fontId="9" fillId="0" borderId="1" xfId="17" applyFont="1" applyBorder="1" applyAlignment="1">
      <alignment vertical="center"/>
    </xf>
    <xf numFmtId="0" fontId="16" fillId="0" borderId="0" xfId="0" applyFont="1" applyBorder="1" applyAlignment="1">
      <alignment horizontal="center" vertical="center" wrapText="1"/>
    </xf>
    <xf numFmtId="0" fontId="16" fillId="0" borderId="0" xfId="0" applyFont="1" applyBorder="1" applyAlignment="1">
      <alignment horizontal="center" vertical="center" wrapText="1"/>
    </xf>
    <xf numFmtId="49" fontId="9" fillId="0" borderId="1" xfId="0" applyNumberFormat="1" applyFont="1" applyBorder="1" applyAlignment="1">
      <alignment horizontal="center" vertical="center"/>
    </xf>
    <xf numFmtId="0" fontId="13" fillId="0" borderId="1" xfId="0" applyFont="1" applyFill="1" applyBorder="1" applyAlignment="1">
      <alignment horizontal="center"/>
    </xf>
    <xf numFmtId="0" fontId="16" fillId="0" borderId="0" xfId="0" applyFont="1" applyBorder="1" applyAlignment="1">
      <alignment horizontal="center" vertical="center" wrapText="1"/>
    </xf>
    <xf numFmtId="0" fontId="27" fillId="0" borderId="1" xfId="6" applyFont="1" applyFill="1" applyBorder="1" applyAlignment="1">
      <alignment horizontal="left" wrapText="1"/>
    </xf>
    <xf numFmtId="4" fontId="5" fillId="0" borderId="1" xfId="17" applyNumberFormat="1" applyFont="1" applyBorder="1" applyAlignment="1"/>
    <xf numFmtId="4" fontId="5" fillId="0" borderId="1" xfId="17" applyNumberFormat="1" applyFont="1" applyBorder="1" applyAlignment="1">
      <alignment horizontal="right"/>
    </xf>
    <xf numFmtId="2" fontId="5" fillId="0" borderId="1" xfId="0" applyNumberFormat="1" applyFont="1" applyBorder="1"/>
    <xf numFmtId="4" fontId="9" fillId="0" borderId="1" xfId="0" applyNumberFormat="1" applyFont="1" applyBorder="1" applyAlignment="1">
      <alignment wrapText="1"/>
    </xf>
    <xf numFmtId="4" fontId="9" fillId="0" borderId="1" xfId="17" applyNumberFormat="1" applyFont="1" applyBorder="1" applyAlignment="1">
      <alignment horizontal="right" wrapText="1"/>
    </xf>
    <xf numFmtId="4" fontId="10" fillId="0" borderId="1" xfId="0" applyNumberFormat="1" applyFont="1" applyBorder="1" applyAlignment="1">
      <alignment horizontal="right" vertical="center" wrapText="1"/>
    </xf>
    <xf numFmtId="4" fontId="10" fillId="0" borderId="1" xfId="0" applyNumberFormat="1" applyFont="1" applyBorder="1"/>
    <xf numFmtId="4" fontId="10" fillId="0" borderId="1" xfId="17" applyNumberFormat="1" applyFont="1" applyBorder="1" applyAlignment="1">
      <alignment horizontal="right"/>
    </xf>
    <xf numFmtId="4" fontId="9" fillId="0" borderId="1" xfId="0" applyNumberFormat="1" applyFont="1" applyBorder="1" applyAlignment="1">
      <alignment horizontal="right" vertical="center" wrapText="1"/>
    </xf>
    <xf numFmtId="168" fontId="27" fillId="0" borderId="1" xfId="3" applyNumberFormat="1" applyFont="1" applyFill="1" applyBorder="1"/>
    <xf numFmtId="168" fontId="9" fillId="0" borderId="1" xfId="19" applyNumberFormat="1" applyFont="1" applyBorder="1" applyAlignment="1">
      <alignment horizontal="right" vertical="center"/>
    </xf>
    <xf numFmtId="168" fontId="7" fillId="0" borderId="2" xfId="1" applyNumberFormat="1" applyFont="1" applyFill="1" applyBorder="1" applyAlignment="1">
      <alignment vertical="center"/>
    </xf>
    <xf numFmtId="168" fontId="19" fillId="0" borderId="2" xfId="3" applyNumberFormat="1" applyFont="1" applyFill="1" applyBorder="1"/>
    <xf numFmtId="168" fontId="19" fillId="0" borderId="1" xfId="3" applyNumberFormat="1" applyFont="1" applyFill="1" applyBorder="1"/>
    <xf numFmtId="0" fontId="5" fillId="0" borderId="1" xfId="0" applyNumberFormat="1" applyFont="1" applyBorder="1" applyAlignment="1">
      <alignment horizontal="left"/>
    </xf>
    <xf numFmtId="0" fontId="19" fillId="0" borderId="12" xfId="2" applyFont="1" applyFill="1" applyBorder="1" applyAlignment="1">
      <alignment horizontal="left" wrapText="1"/>
    </xf>
    <xf numFmtId="168" fontId="7" fillId="0" borderId="12" xfId="1" applyNumberFormat="1" applyFont="1" applyFill="1" applyBorder="1" applyAlignment="1">
      <alignment vertical="center"/>
    </xf>
    <xf numFmtId="168" fontId="19" fillId="0" borderId="12" xfId="3" applyNumberFormat="1" applyFont="1" applyFill="1" applyBorder="1"/>
    <xf numFmtId="0" fontId="7" fillId="0" borderId="1" xfId="2" applyFont="1" applyFill="1" applyBorder="1" applyAlignment="1">
      <alignment horizontal="left" wrapText="1"/>
    </xf>
    <xf numFmtId="168" fontId="7" fillId="0" borderId="1" xfId="1" applyNumberFormat="1" applyFont="1" applyFill="1" applyBorder="1" applyAlignment="1">
      <alignment vertical="center"/>
    </xf>
    <xf numFmtId="0" fontId="19" fillId="0" borderId="1" xfId="2" applyFont="1" applyFill="1" applyBorder="1" applyAlignment="1">
      <alignment horizontal="left" wrapText="1"/>
    </xf>
    <xf numFmtId="11"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top" wrapText="1"/>
    </xf>
    <xf numFmtId="0" fontId="10" fillId="0" borderId="1" xfId="0" applyFont="1" applyBorder="1" applyAlignment="1">
      <alignment horizontal="center" vertical="center" wrapText="1"/>
    </xf>
    <xf numFmtId="0" fontId="10" fillId="0" borderId="0" xfId="0" applyFont="1"/>
    <xf numFmtId="0" fontId="10" fillId="0" borderId="1" xfId="0" applyFont="1" applyBorder="1" applyAlignment="1">
      <alignment wrapText="1"/>
    </xf>
    <xf numFmtId="166" fontId="10" fillId="0" borderId="1" xfId="0" applyNumberFormat="1" applyFont="1" applyFill="1" applyBorder="1" applyAlignment="1">
      <alignment horizontal="right" vertical="center" wrapText="1"/>
    </xf>
    <xf numFmtId="0" fontId="10" fillId="0" borderId="8" xfId="0" applyFont="1" applyBorder="1" applyAlignment="1">
      <alignment horizontal="right"/>
    </xf>
    <xf numFmtId="49" fontId="9" fillId="0" borderId="1" xfId="0" applyNumberFormat="1" applyFont="1" applyBorder="1" applyAlignment="1">
      <alignment horizontal="center" vertical="center"/>
    </xf>
    <xf numFmtId="0" fontId="5" fillId="0" borderId="1" xfId="0" applyFont="1" applyFill="1" applyBorder="1" applyAlignment="1">
      <alignment horizontal="right"/>
    </xf>
    <xf numFmtId="0" fontId="16" fillId="0" borderId="0" xfId="0" applyFont="1" applyBorder="1" applyAlignment="1">
      <alignment vertical="center" wrapText="1"/>
    </xf>
    <xf numFmtId="0" fontId="34" fillId="0" borderId="0" xfId="0" applyFont="1" applyAlignment="1">
      <alignment wrapText="1"/>
    </xf>
    <xf numFmtId="171" fontId="5" fillId="0" borderId="1" xfId="0" applyNumberFormat="1" applyFont="1" applyFill="1" applyBorder="1" applyAlignment="1" applyProtection="1">
      <alignment horizontal="left" vertical="center" wrapText="1"/>
    </xf>
    <xf numFmtId="0" fontId="32"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5" xfId="0" applyFont="1" applyBorder="1" applyAlignment="1">
      <alignment wrapText="1"/>
    </xf>
    <xf numFmtId="4" fontId="5" fillId="0" borderId="1" xfId="0" applyNumberFormat="1" applyFont="1" applyFill="1" applyBorder="1"/>
    <xf numFmtId="43" fontId="5" fillId="0" borderId="1" xfId="17" applyFont="1" applyBorder="1"/>
    <xf numFmtId="0" fontId="23" fillId="2" borderId="1" xfId="0" applyNumberFormat="1" applyFont="1" applyFill="1" applyBorder="1" applyAlignment="1">
      <alignment horizontal="left" vertical="top" wrapText="1"/>
    </xf>
    <xf numFmtId="49" fontId="23" fillId="2" borderId="1" xfId="0" applyNumberFormat="1" applyFont="1" applyFill="1" applyBorder="1" applyAlignment="1">
      <alignment horizontal="center" vertical="top" wrapText="1"/>
    </xf>
    <xf numFmtId="4" fontId="23" fillId="2" borderId="1" xfId="0" applyNumberFormat="1" applyFont="1" applyFill="1" applyBorder="1" applyAlignment="1">
      <alignment horizontal="right" vertical="top" wrapText="1"/>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top" wrapText="1"/>
    </xf>
    <xf numFmtId="4" fontId="0" fillId="0" borderId="1" xfId="0" applyNumberFormat="1" applyFont="1" applyBorder="1" applyAlignment="1">
      <alignment horizontal="right" vertical="top" wrapText="1"/>
    </xf>
    <xf numFmtId="49" fontId="9" fillId="0" borderId="1" xfId="0" applyNumberFormat="1" applyFont="1" applyBorder="1" applyAlignment="1">
      <alignment horizontal="center" vertical="center"/>
    </xf>
    <xf numFmtId="43" fontId="19" fillId="0" borderId="1" xfId="17" applyFont="1" applyFill="1" applyBorder="1"/>
    <xf numFmtId="43" fontId="10" fillId="0" borderId="1" xfId="17" applyFont="1" applyBorder="1"/>
    <xf numFmtId="168" fontId="9" fillId="0" borderId="1" xfId="20" applyNumberFormat="1" applyFont="1" applyBorder="1" applyAlignment="1">
      <alignment horizontal="right" vertical="center"/>
    </xf>
    <xf numFmtId="0" fontId="0" fillId="0" borderId="13" xfId="0" applyFont="1" applyBorder="1"/>
    <xf numFmtId="4" fontId="23" fillId="0" borderId="1" xfId="0" applyNumberFormat="1" applyFont="1" applyFill="1" applyBorder="1" applyAlignment="1">
      <alignment horizontal="right" vertical="top" wrapText="1"/>
    </xf>
    <xf numFmtId="49" fontId="9" fillId="0" borderId="1" xfId="0" applyNumberFormat="1" applyFont="1" applyBorder="1" applyAlignment="1">
      <alignment horizontal="center" vertical="center"/>
    </xf>
    <xf numFmtId="0" fontId="10" fillId="0" borderId="1" xfId="0" applyFont="1" applyFill="1" applyBorder="1" applyAlignment="1">
      <alignment horizontal="left" vertical="center" wrapText="1"/>
    </xf>
    <xf numFmtId="174" fontId="10" fillId="0" borderId="1" xfId="17" applyNumberFormat="1" applyFont="1" applyBorder="1"/>
    <xf numFmtId="0" fontId="8" fillId="0" borderId="1" xfId="0" applyFont="1" applyFill="1" applyBorder="1" applyAlignment="1">
      <alignment horizontal="center" vertical="center" wrapText="1"/>
    </xf>
    <xf numFmtId="4" fontId="5" fillId="0" borderId="1" xfId="0" applyNumberFormat="1" applyFont="1" applyBorder="1" applyAlignment="1">
      <alignment horizontal="right" vertical="center"/>
    </xf>
    <xf numFmtId="4" fontId="5" fillId="0" borderId="1" xfId="17" applyNumberFormat="1" applyFont="1" applyBorder="1" applyAlignment="1">
      <alignment horizontal="right" vertical="center"/>
    </xf>
    <xf numFmtId="49" fontId="5" fillId="0" borderId="1"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43" fontId="27" fillId="0" borderId="1" xfId="17" applyFont="1" applyFill="1" applyBorder="1" applyAlignment="1">
      <alignment horizontal="right"/>
    </xf>
    <xf numFmtId="175" fontId="5" fillId="0" borderId="0" xfId="0" applyNumberFormat="1" applyFont="1"/>
    <xf numFmtId="43" fontId="33" fillId="3" borderId="1" xfId="17" applyFont="1" applyFill="1" applyBorder="1"/>
    <xf numFmtId="43" fontId="19" fillId="0" borderId="2" xfId="17" applyFont="1" applyFill="1" applyBorder="1" applyAlignment="1">
      <alignment horizontal="right"/>
    </xf>
    <xf numFmtId="166" fontId="10" fillId="0" borderId="7" xfId="0" applyNumberFormat="1" applyFont="1" applyFill="1" applyBorder="1" applyAlignment="1">
      <alignment horizontal="right" vertical="center" wrapText="1"/>
    </xf>
    <xf numFmtId="166" fontId="26" fillId="0" borderId="1" xfId="0" applyNumberFormat="1" applyFont="1" applyBorder="1" applyAlignment="1">
      <alignment horizontal="right"/>
    </xf>
    <xf numFmtId="43" fontId="10" fillId="0" borderId="1" xfId="17" applyNumberFormat="1" applyFont="1" applyBorder="1" applyAlignment="1">
      <alignment horizontal="left" vertical="center" wrapText="1"/>
    </xf>
    <xf numFmtId="43" fontId="10" fillId="0" borderId="1" xfId="17" applyNumberFormat="1" applyFont="1" applyBorder="1"/>
    <xf numFmtId="43" fontId="10" fillId="0" borderId="1" xfId="17" applyNumberFormat="1" applyFont="1" applyBorder="1" applyAlignment="1">
      <alignment wrapText="1"/>
    </xf>
    <xf numFmtId="43" fontId="9" fillId="0" borderId="1" xfId="17" applyFont="1" applyBorder="1" applyAlignment="1">
      <alignment horizontal="center" vertical="center"/>
    </xf>
    <xf numFmtId="0" fontId="5" fillId="0" borderId="1" xfId="0" applyNumberFormat="1" applyFont="1" applyFill="1" applyBorder="1" applyAlignment="1">
      <alignment wrapText="1"/>
    </xf>
    <xf numFmtId="49" fontId="6" fillId="0" borderId="1" xfId="0" applyNumberFormat="1" applyFont="1" applyBorder="1" applyAlignment="1">
      <alignment horizontal="center" wrapText="1"/>
    </xf>
    <xf numFmtId="49" fontId="6" fillId="0" borderId="1" xfId="0" applyNumberFormat="1" applyFont="1" applyBorder="1" applyAlignment="1">
      <alignment wrapText="1"/>
    </xf>
    <xf numFmtId="49" fontId="6" fillId="0" borderId="1" xfId="0" applyNumberFormat="1" applyFont="1" applyBorder="1" applyAlignment="1">
      <alignment horizontal="center"/>
    </xf>
    <xf numFmtId="49" fontId="6" fillId="0" borderId="1" xfId="0" applyNumberFormat="1" applyFont="1" applyBorder="1"/>
    <xf numFmtId="0" fontId="14" fillId="0" borderId="0" xfId="0" applyFont="1" applyFill="1" applyAlignment="1">
      <alignment horizontal="center" vertical="top"/>
    </xf>
    <xf numFmtId="0" fontId="14" fillId="0" borderId="0" xfId="0" applyFont="1" applyFill="1" applyAlignment="1">
      <alignment horizontal="center"/>
    </xf>
    <xf numFmtId="49" fontId="13" fillId="0" borderId="0" xfId="0" applyNumberFormat="1" applyFont="1" applyFill="1" applyAlignment="1">
      <alignment horizontal="center" vertical="top"/>
    </xf>
    <xf numFmtId="0" fontId="13" fillId="0" borderId="0" xfId="0" applyNumberFormat="1" applyFont="1" applyFill="1"/>
    <xf numFmtId="49" fontId="13" fillId="0" borderId="0" xfId="0" applyNumberFormat="1" applyFont="1" applyFill="1" applyAlignment="1">
      <alignment horizontal="center"/>
    </xf>
    <xf numFmtId="0" fontId="13" fillId="0" borderId="0" xfId="0" applyFont="1" applyFill="1" applyAlignment="1">
      <alignment horizontal="right"/>
    </xf>
    <xf numFmtId="0" fontId="13"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67" fontId="6" fillId="0" borderId="1" xfId="0" applyNumberFormat="1" applyFont="1" applyFill="1" applyBorder="1" applyAlignment="1">
      <alignment horizontal="center" vertical="center" wrapText="1"/>
    </xf>
    <xf numFmtId="0" fontId="0" fillId="0" borderId="0" xfId="0" applyFill="1"/>
    <xf numFmtId="0" fontId="35" fillId="0" borderId="14" xfId="0" applyNumberFormat="1" applyFont="1" applyFill="1" applyBorder="1" applyAlignment="1">
      <alignment horizontal="center" vertical="top" wrapText="1"/>
    </xf>
    <xf numFmtId="0" fontId="36" fillId="0" borderId="1" xfId="0" quotePrefix="1" applyNumberFormat="1" applyFont="1" applyFill="1" applyBorder="1" applyAlignment="1">
      <alignment horizontal="center" vertical="top" wrapText="1"/>
    </xf>
    <xf numFmtId="43" fontId="5" fillId="0" borderId="1" xfId="17" applyFont="1" applyFill="1" applyBorder="1" applyAlignment="1">
      <alignment horizontal="left"/>
    </xf>
    <xf numFmtId="4" fontId="5" fillId="0" borderId="1" xfId="0" applyNumberFormat="1" applyFont="1" applyFill="1" applyBorder="1" applyAlignment="1">
      <alignment horizontal="left"/>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49" fontId="7" fillId="2" borderId="1" xfId="0" applyNumberFormat="1" applyFont="1" applyFill="1" applyBorder="1" applyAlignment="1">
      <alignment horizontal="center" vertical="center" wrapText="1"/>
    </xf>
    <xf numFmtId="0" fontId="10" fillId="0" borderId="1" xfId="0" applyNumberFormat="1" applyFont="1" applyBorder="1" applyAlignment="1">
      <alignment horizontal="center" vertical="center"/>
    </xf>
    <xf numFmtId="0" fontId="10" fillId="0" borderId="1" xfId="0" applyFont="1" applyFill="1" applyBorder="1" applyAlignment="1">
      <alignment horizontal="center" vertical="center"/>
    </xf>
    <xf numFmtId="4" fontId="37" fillId="0" borderId="1" xfId="0" applyNumberFormat="1" applyFont="1" applyBorder="1"/>
    <xf numFmtId="0" fontId="25" fillId="0" borderId="1" xfId="0" applyNumberFormat="1" applyFont="1" applyFill="1" applyBorder="1" applyAlignment="1">
      <alignment horizontal="center" vertical="center" textRotation="90" wrapText="1"/>
    </xf>
    <xf numFmtId="0" fontId="9" fillId="0" borderId="1" xfId="0" applyFont="1" applyBorder="1"/>
    <xf numFmtId="43" fontId="10" fillId="0" borderId="1" xfId="17" applyFont="1" applyBorder="1" applyAlignment="1">
      <alignment horizontal="right"/>
    </xf>
    <xf numFmtId="49" fontId="9" fillId="0" borderId="1" xfId="0" applyNumberFormat="1" applyFont="1" applyBorder="1" applyAlignment="1">
      <alignment horizontal="center" vertical="center"/>
    </xf>
    <xf numFmtId="0" fontId="19" fillId="0" borderId="1" xfId="6" applyFont="1" applyFill="1" applyBorder="1" applyAlignment="1">
      <alignment horizontal="left" wrapText="1"/>
    </xf>
    <xf numFmtId="0" fontId="19" fillId="0" borderId="1" xfId="7" applyFont="1" applyFill="1" applyBorder="1" applyAlignment="1">
      <alignment horizontal="left" wrapText="1"/>
    </xf>
    <xf numFmtId="11" fontId="5" fillId="0" borderId="1" xfId="0" applyNumberFormat="1" applyFont="1" applyBorder="1" applyAlignment="1">
      <alignment wrapText="1"/>
    </xf>
    <xf numFmtId="43" fontId="5" fillId="0" borderId="0" xfId="17" applyFont="1" applyFill="1" applyAlignment="1">
      <alignment horizontal="right" vertical="center"/>
    </xf>
    <xf numFmtId="43" fontId="5" fillId="0" borderId="0" xfId="17" applyFont="1" applyFill="1" applyAlignment="1">
      <alignment horizontal="right"/>
    </xf>
    <xf numFmtId="0" fontId="7" fillId="2" borderId="1" xfId="0" applyNumberFormat="1" applyFont="1" applyFill="1" applyBorder="1" applyAlignment="1">
      <alignment horizontal="left" vertical="center" wrapText="1"/>
    </xf>
    <xf numFmtId="0" fontId="10" fillId="0" borderId="1" xfId="0" applyFont="1" applyBorder="1" applyAlignment="1">
      <alignment vertical="center" wrapText="1"/>
    </xf>
    <xf numFmtId="0" fontId="10" fillId="0" borderId="1" xfId="0" applyNumberFormat="1" applyFont="1" applyBorder="1" applyAlignment="1">
      <alignment vertical="center"/>
    </xf>
    <xf numFmtId="0" fontId="10" fillId="0" borderId="1" xfId="0" applyFont="1" applyBorder="1" applyAlignment="1">
      <alignment vertical="center"/>
    </xf>
    <xf numFmtId="0" fontId="13" fillId="0" borderId="1" xfId="0" applyNumberFormat="1" applyFont="1" applyFill="1" applyBorder="1" applyAlignment="1">
      <alignment vertical="top" wrapText="1"/>
    </xf>
    <xf numFmtId="4" fontId="5" fillId="0" borderId="1" xfId="0" applyNumberFormat="1" applyFont="1" applyFill="1" applyBorder="1" applyAlignment="1"/>
    <xf numFmtId="0" fontId="5" fillId="0" borderId="0" xfId="0" applyFont="1" applyFill="1" applyAlignment="1">
      <alignment horizontal="center"/>
    </xf>
    <xf numFmtId="0" fontId="5" fillId="0" borderId="1" xfId="0" applyFont="1" applyFill="1" applyBorder="1" applyAlignment="1">
      <alignment horizontal="center"/>
    </xf>
    <xf numFmtId="43" fontId="19" fillId="0" borderId="2" xfId="17" applyFont="1" applyFill="1" applyBorder="1"/>
    <xf numFmtId="0" fontId="10" fillId="0" borderId="6" xfId="0" applyFont="1" applyBorder="1" applyAlignment="1">
      <alignment horizontal="left" vertical="center" wrapText="1"/>
    </xf>
    <xf numFmtId="43" fontId="10" fillId="0" borderId="6" xfId="17" applyFont="1" applyBorder="1"/>
    <xf numFmtId="43" fontId="37" fillId="0" borderId="1" xfId="17" applyFont="1" applyBorder="1"/>
    <xf numFmtId="0" fontId="5" fillId="0" borderId="1" xfId="0" applyNumberFormat="1" applyFont="1" applyBorder="1" applyAlignment="1">
      <alignment horizontal="distributed" vertical="top"/>
    </xf>
    <xf numFmtId="0" fontId="5" fillId="0" borderId="1" xfId="0" applyNumberFormat="1" applyFont="1" applyFill="1" applyBorder="1" applyAlignment="1">
      <alignment horizontal="distributed" vertical="top"/>
    </xf>
    <xf numFmtId="43" fontId="5" fillId="0" borderId="1" xfId="17" applyFont="1" applyBorder="1" applyAlignment="1">
      <alignment horizontal="distributed" vertical="top"/>
    </xf>
    <xf numFmtId="43" fontId="5" fillId="0" borderId="1" xfId="17" applyFont="1" applyFill="1" applyBorder="1" applyAlignment="1">
      <alignment horizontal="distributed" vertical="top"/>
    </xf>
    <xf numFmtId="4" fontId="5" fillId="0" borderId="1" xfId="0" applyNumberFormat="1" applyFont="1" applyBorder="1" applyAlignment="1">
      <alignment horizontal="right" vertical="center" wrapText="1"/>
    </xf>
    <xf numFmtId="4" fontId="5" fillId="0" borderId="1" xfId="17" applyNumberFormat="1" applyFont="1" applyBorder="1" applyAlignment="1">
      <alignment horizontal="right" vertical="center" wrapText="1"/>
    </xf>
    <xf numFmtId="43" fontId="5" fillId="0" borderId="1" xfId="17" applyFont="1" applyBorder="1" applyAlignment="1">
      <alignment horizontal="right" vertical="center" wrapText="1"/>
    </xf>
    <xf numFmtId="43" fontId="5" fillId="0" borderId="1" xfId="17" applyFont="1" applyBorder="1" applyAlignment="1">
      <alignment horizontal="distributed" vertical="distributed"/>
    </xf>
    <xf numFmtId="0" fontId="10" fillId="0" borderId="1" xfId="0" applyFont="1" applyFill="1" applyBorder="1" applyAlignment="1">
      <alignment vertical="center" wrapText="1"/>
    </xf>
    <xf numFmtId="49" fontId="5" fillId="0" borderId="1" xfId="0" applyNumberFormat="1" applyFont="1" applyFill="1" applyBorder="1"/>
    <xf numFmtId="43" fontId="5" fillId="0" borderId="1" xfId="17" applyFont="1" applyFill="1" applyBorder="1" applyAlignment="1">
      <alignment horizontal="distributed"/>
    </xf>
    <xf numFmtId="49" fontId="28" fillId="0" borderId="1" xfId="23" applyNumberFormat="1" applyFont="1" applyBorder="1" applyAlignment="1" applyProtection="1">
      <alignment horizontal="left" vertical="center" wrapText="1"/>
    </xf>
    <xf numFmtId="4" fontId="28" fillId="0" borderId="1" xfId="23" applyNumberFormat="1" applyFont="1" applyFill="1" applyBorder="1" applyAlignment="1" applyProtection="1">
      <alignment horizontal="right" vertical="center" wrapText="1"/>
    </xf>
    <xf numFmtId="166" fontId="28" fillId="0" borderId="1" xfId="0" applyNumberFormat="1" applyFont="1" applyFill="1" applyBorder="1" applyAlignment="1">
      <alignment horizontal="right" vertical="center" wrapText="1"/>
    </xf>
    <xf numFmtId="0" fontId="40" fillId="0" borderId="1" xfId="0" applyNumberFormat="1" applyFont="1" applyBorder="1" applyAlignment="1"/>
    <xf numFmtId="43" fontId="0" fillId="0" borderId="0" xfId="17" applyFont="1"/>
    <xf numFmtId="43" fontId="0" fillId="0" borderId="1" xfId="17" applyFont="1" applyBorder="1"/>
    <xf numFmtId="0" fontId="0" fillId="4" borderId="0" xfId="0" applyFill="1"/>
    <xf numFmtId="0" fontId="41" fillId="0" borderId="0" xfId="0" applyFont="1" applyAlignment="1">
      <alignment horizontal="center"/>
    </xf>
    <xf numFmtId="0" fontId="0" fillId="0" borderId="1" xfId="0" applyFill="1" applyBorder="1"/>
    <xf numFmtId="43" fontId="0" fillId="0" borderId="1" xfId="17" applyFont="1" applyFill="1" applyBorder="1"/>
    <xf numFmtId="0" fontId="0" fillId="0" borderId="0" xfId="0" applyAlignment="1">
      <alignment horizontal="left"/>
    </xf>
    <xf numFmtId="14" fontId="0" fillId="0" borderId="0" xfId="0" applyNumberFormat="1" applyAlignment="1">
      <alignment horizontal="left"/>
    </xf>
    <xf numFmtId="166" fontId="25" fillId="0" borderId="1" xfId="0" applyNumberFormat="1" applyFont="1" applyFill="1" applyBorder="1" applyAlignment="1">
      <alignment horizontal="right" vertical="top"/>
    </xf>
    <xf numFmtId="0" fontId="5" fillId="0" borderId="1" xfId="0" applyNumberFormat="1" applyFont="1" applyBorder="1" applyAlignment="1">
      <alignment horizontal="distributed"/>
    </xf>
    <xf numFmtId="49" fontId="9" fillId="0" borderId="1" xfId="0" applyNumberFormat="1" applyFont="1" applyBorder="1" applyAlignment="1">
      <alignment horizontal="center" vertical="center"/>
    </xf>
    <xf numFmtId="0" fontId="16" fillId="0" borderId="0"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1" xfId="24" applyNumberFormat="1" applyFont="1" applyBorder="1" applyAlignment="1" applyProtection="1">
      <alignment horizontal="left" vertical="center" wrapText="1"/>
    </xf>
    <xf numFmtId="49" fontId="10" fillId="0" borderId="1" xfId="24" applyNumberFormat="1" applyFont="1" applyBorder="1" applyAlignment="1" applyProtection="1">
      <alignment horizontal="center" vertical="center" wrapText="1"/>
    </xf>
    <xf numFmtId="164" fontId="8" fillId="0" borderId="1" xfId="0" applyNumberFormat="1" applyFont="1" applyFill="1" applyBorder="1" applyAlignment="1">
      <alignment horizontal="left"/>
    </xf>
    <xf numFmtId="166" fontId="10" fillId="0" borderId="1" xfId="20" applyNumberFormat="1" applyFont="1" applyFill="1" applyBorder="1" applyAlignment="1">
      <alignment vertical="center"/>
    </xf>
    <xf numFmtId="0" fontId="7" fillId="2" borderId="1" xfId="0" applyNumberFormat="1" applyFont="1" applyFill="1" applyBorder="1" applyAlignment="1">
      <alignment horizontal="left" vertical="top" wrapText="1"/>
    </xf>
    <xf numFmtId="4" fontId="5" fillId="0" borderId="0" xfId="0" applyNumberFormat="1" applyFont="1" applyAlignment="1">
      <alignment horizontal="center" vertical="center"/>
    </xf>
    <xf numFmtId="0" fontId="0" fillId="0" borderId="0" xfId="0" applyBorder="1" applyAlignment="1">
      <alignment horizontal="left"/>
    </xf>
    <xf numFmtId="0" fontId="0" fillId="0" borderId="0" xfId="0" applyBorder="1"/>
    <xf numFmtId="43" fontId="0" fillId="0" borderId="0" xfId="17" applyFont="1" applyBorder="1"/>
    <xf numFmtId="0" fontId="5" fillId="0" borderId="1" xfId="0" applyFont="1" applyBorder="1" applyAlignment="1">
      <alignment horizontal="distributed" wrapText="1"/>
    </xf>
    <xf numFmtId="171" fontId="10" fillId="0" borderId="1" xfId="25" applyNumberFormat="1" applyFont="1" applyBorder="1" applyAlignment="1" applyProtection="1">
      <alignment horizontal="left" vertical="center" wrapText="1"/>
    </xf>
    <xf numFmtId="49" fontId="10" fillId="0" borderId="1" xfId="25" applyNumberFormat="1" applyFont="1" applyBorder="1" applyAlignment="1" applyProtection="1">
      <alignment horizontal="center" vertical="center" wrapText="1"/>
    </xf>
    <xf numFmtId="0" fontId="5" fillId="0" borderId="1" xfId="0" applyFont="1" applyBorder="1" applyAlignment="1">
      <alignment horizontal="center"/>
    </xf>
    <xf numFmtId="166" fontId="10" fillId="0" borderId="1" xfId="0" applyNumberFormat="1" applyFont="1" applyFill="1" applyBorder="1" applyAlignment="1">
      <alignment horizontal="right" wrapText="1"/>
    </xf>
    <xf numFmtId="43" fontId="10" fillId="0" borderId="1" xfId="17" applyFont="1" applyBorder="1" applyAlignment="1">
      <alignment horizontal="right" vertical="center"/>
    </xf>
    <xf numFmtId="43" fontId="0" fillId="5" borderId="0" xfId="17" applyFont="1" applyFill="1"/>
    <xf numFmtId="0" fontId="0" fillId="0" borderId="0" xfId="0" applyFill="1" applyAlignment="1">
      <alignment horizontal="left"/>
    </xf>
    <xf numFmtId="49" fontId="9" fillId="0" borderId="1" xfId="0" applyNumberFormat="1" applyFont="1" applyBorder="1" applyAlignment="1">
      <alignment horizontal="center" vertical="center"/>
    </xf>
    <xf numFmtId="43" fontId="5" fillId="0" borderId="1" xfId="17" applyFont="1" applyFill="1" applyBorder="1" applyAlignment="1">
      <alignment horizontal="right"/>
    </xf>
    <xf numFmtId="0" fontId="23" fillId="2" borderId="1" xfId="0" applyFont="1" applyFill="1" applyBorder="1" applyAlignment="1">
      <alignment wrapText="1"/>
    </xf>
    <xf numFmtId="0" fontId="23" fillId="2" borderId="1" xfId="0" applyFont="1" applyFill="1" applyBorder="1" applyAlignment="1">
      <alignment horizontal="center" vertical="top" wrapText="1"/>
    </xf>
    <xf numFmtId="49" fontId="5" fillId="0" borderId="7" xfId="0" applyNumberFormat="1" applyFont="1" applyFill="1" applyBorder="1" applyAlignment="1">
      <alignment vertical="center" wrapText="1"/>
    </xf>
    <xf numFmtId="49" fontId="5" fillId="0" borderId="9"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4" fontId="5" fillId="0" borderId="1" xfId="0" applyNumberFormat="1" applyFont="1" applyFill="1" applyBorder="1" applyAlignment="1">
      <alignment vertical="center" wrapText="1"/>
    </xf>
    <xf numFmtId="49" fontId="5" fillId="0" borderId="7" xfId="0" applyNumberFormat="1" applyFont="1" applyBorder="1" applyAlignment="1">
      <alignment vertical="center" wrapText="1"/>
    </xf>
    <xf numFmtId="49" fontId="5" fillId="0" borderId="9" xfId="0" applyNumberFormat="1" applyFont="1" applyBorder="1" applyAlignment="1">
      <alignment vertical="center" wrapText="1"/>
    </xf>
    <xf numFmtId="49" fontId="5" fillId="0" borderId="5" xfId="0" applyNumberFormat="1" applyFont="1" applyBorder="1" applyAlignment="1">
      <alignment vertical="center" wrapText="1"/>
    </xf>
    <xf numFmtId="4" fontId="5" fillId="0" borderId="1" xfId="19" applyNumberFormat="1" applyFont="1" applyBorder="1" applyAlignment="1">
      <alignment horizontal="right" vertical="center"/>
    </xf>
    <xf numFmtId="0" fontId="5" fillId="0" borderId="1" xfId="0" applyFont="1" applyFill="1" applyBorder="1" applyAlignment="1">
      <alignment horizontal="justify" vertical="top" wrapText="1"/>
    </xf>
    <xf numFmtId="0" fontId="5" fillId="0" borderId="1" xfId="0" applyFont="1" applyBorder="1" applyAlignment="1">
      <alignment horizontal="justify" vertical="top" wrapText="1"/>
    </xf>
    <xf numFmtId="0" fontId="5" fillId="0" borderId="0" xfId="0" applyFont="1" applyAlignment="1">
      <alignment horizontal="justify" vertical="top"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wrapText="1"/>
    </xf>
    <xf numFmtId="49" fontId="5" fillId="0" borderId="1" xfId="0" applyNumberFormat="1" applyFont="1" applyFill="1" applyBorder="1" applyAlignment="1">
      <alignment horizontal="center" wrapText="1"/>
    </xf>
    <xf numFmtId="4" fontId="5" fillId="0" borderId="1" xfId="0" applyNumberFormat="1" applyFont="1" applyFill="1" applyBorder="1" applyAlignment="1">
      <alignment horizontal="right" vertical="center" wrapText="1"/>
    </xf>
    <xf numFmtId="43" fontId="19" fillId="0" borderId="1" xfId="17" applyFont="1" applyFill="1" applyBorder="1" applyAlignment="1">
      <alignment horizontal="right"/>
    </xf>
    <xf numFmtId="0" fontId="7" fillId="0" borderId="1" xfId="6" applyFont="1" applyFill="1" applyBorder="1" applyAlignment="1">
      <alignment horizontal="left" wrapText="1"/>
    </xf>
    <xf numFmtId="0" fontId="5" fillId="0" borderId="1" xfId="0" applyFont="1" applyBorder="1" applyAlignment="1">
      <alignment horizontal="left"/>
    </xf>
    <xf numFmtId="43" fontId="5" fillId="0" borderId="1" xfId="17" applyFont="1" applyBorder="1" applyAlignment="1">
      <alignment horizontal="right"/>
    </xf>
    <xf numFmtId="0" fontId="8" fillId="0" borderId="1" xfId="0" applyFont="1" applyFill="1" applyBorder="1" applyAlignment="1">
      <alignment horizontal="center"/>
    </xf>
    <xf numFmtId="43" fontId="10" fillId="0" borderId="1" xfId="17" applyFont="1" applyFill="1" applyBorder="1" applyAlignment="1">
      <alignment horizontal="right" vertical="center"/>
    </xf>
    <xf numFmtId="43" fontId="7" fillId="0" borderId="1" xfId="17" applyFont="1" applyFill="1" applyBorder="1" applyAlignment="1">
      <alignment vertical="center" wrapText="1"/>
    </xf>
    <xf numFmtId="43" fontId="10" fillId="0" borderId="1" xfId="17" applyFont="1" applyFill="1" applyBorder="1" applyAlignment="1">
      <alignment vertical="center"/>
    </xf>
    <xf numFmtId="43" fontId="10" fillId="0" borderId="1" xfId="17" applyFont="1" applyFill="1" applyBorder="1" applyAlignment="1" applyProtection="1">
      <alignment vertical="center" wrapText="1"/>
    </xf>
    <xf numFmtId="43" fontId="10" fillId="0" borderId="1" xfId="17" applyFont="1" applyFill="1" applyBorder="1" applyAlignment="1" applyProtection="1">
      <alignment horizontal="right" vertical="center" wrapText="1"/>
    </xf>
    <xf numFmtId="0" fontId="10" fillId="0" borderId="1" xfId="0" applyNumberFormat="1" applyFont="1" applyBorder="1" applyAlignment="1">
      <alignment horizontal="distributed" vertical="center"/>
    </xf>
    <xf numFmtId="0" fontId="12" fillId="0" borderId="0" xfId="0" applyFont="1" applyBorder="1" applyAlignment="1">
      <alignment horizontal="center" wrapText="1"/>
    </xf>
    <xf numFmtId="0" fontId="5" fillId="0" borderId="0" xfId="0" applyFont="1" applyAlignment="1">
      <alignment horizontal="right" wrapText="1"/>
    </xf>
    <xf numFmtId="0" fontId="13" fillId="0" borderId="0" xfId="0" applyFont="1" applyAlignment="1">
      <alignment horizontal="right" vertical="center" wrapText="1"/>
    </xf>
    <xf numFmtId="49" fontId="14" fillId="0" borderId="7" xfId="0" applyNumberFormat="1" applyFont="1" applyFill="1" applyBorder="1" applyAlignment="1">
      <alignment horizontal="left" vertical="center" wrapText="1"/>
    </xf>
    <xf numFmtId="49" fontId="14" fillId="0" borderId="9" xfId="0" applyNumberFormat="1" applyFont="1" applyFill="1" applyBorder="1" applyAlignment="1">
      <alignment horizontal="left" vertical="center" wrapText="1"/>
    </xf>
    <xf numFmtId="49" fontId="14" fillId="0" borderId="5" xfId="0" applyNumberFormat="1"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2" fillId="0" borderId="8" xfId="0" applyFont="1" applyBorder="1" applyAlignment="1">
      <alignment horizontal="center" vertical="center" wrapText="1"/>
    </xf>
    <xf numFmtId="0" fontId="8" fillId="0" borderId="1" xfId="0" applyFont="1" applyFill="1" applyBorder="1" applyAlignment="1">
      <alignment horizontal="left" vertical="center" wrapText="1"/>
    </xf>
    <xf numFmtId="0" fontId="14" fillId="0" borderId="7" xfId="0" applyFont="1" applyFill="1" applyBorder="1" applyAlignment="1">
      <alignment horizontal="left" vertical="center"/>
    </xf>
    <xf numFmtId="0" fontId="14" fillId="0" borderId="9" xfId="0" applyFont="1" applyFill="1" applyBorder="1" applyAlignment="1">
      <alignment horizontal="left" vertical="center"/>
    </xf>
    <xf numFmtId="0" fontId="14" fillId="0" borderId="5" xfId="0" applyFont="1" applyFill="1" applyBorder="1" applyAlignment="1">
      <alignment horizontal="left" vertical="center"/>
    </xf>
    <xf numFmtId="167" fontId="12" fillId="0" borderId="0" xfId="0" applyNumberFormat="1" applyFont="1" applyFill="1" applyAlignment="1">
      <alignment horizontal="center" wrapText="1"/>
    </xf>
    <xf numFmtId="0" fontId="25" fillId="0" borderId="0" xfId="0" applyNumberFormat="1" applyFont="1" applyFill="1" applyAlignment="1">
      <alignment wrapText="1"/>
    </xf>
    <xf numFmtId="0" fontId="16" fillId="0" borderId="0" xfId="0" applyFont="1" applyBorder="1" applyAlignment="1">
      <alignment horizontal="center" wrapText="1"/>
    </xf>
    <xf numFmtId="0" fontId="5" fillId="0" borderId="0" xfId="0" applyFont="1" applyFill="1" applyAlignment="1">
      <alignment horizontal="right" wrapText="1"/>
    </xf>
    <xf numFmtId="0" fontId="25" fillId="0" borderId="7" xfId="0" applyFont="1" applyBorder="1" applyAlignment="1">
      <alignment horizontal="center" vertical="top"/>
    </xf>
    <xf numFmtId="0" fontId="25" fillId="0" borderId="5" xfId="0" applyFont="1" applyBorder="1" applyAlignment="1">
      <alignment horizontal="center" vertical="top"/>
    </xf>
    <xf numFmtId="0" fontId="25" fillId="0" borderId="7" xfId="0" applyFont="1" applyBorder="1" applyAlignment="1">
      <alignment horizontal="center" vertical="top" wrapText="1"/>
    </xf>
    <xf numFmtId="0" fontId="25" fillId="0" borderId="5" xfId="0" applyFont="1" applyBorder="1" applyAlignment="1">
      <alignment horizontal="center" vertical="top" wrapText="1"/>
    </xf>
    <xf numFmtId="4" fontId="5" fillId="0" borderId="1" xfId="0" applyNumberFormat="1" applyFont="1" applyBorder="1" applyAlignment="1">
      <alignment horizontal="center" vertical="center" wrapText="1"/>
    </xf>
    <xf numFmtId="0" fontId="12" fillId="0" borderId="0" xfId="0" applyFont="1" applyFill="1" applyBorder="1" applyAlignment="1">
      <alignment horizontal="center" wrapText="1"/>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38" fillId="0" borderId="1" xfId="0" applyNumberFormat="1" applyFont="1" applyFill="1" applyBorder="1" applyAlignment="1">
      <alignment horizontal="center" vertical="center"/>
    </xf>
    <xf numFmtId="0" fontId="12"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3" fontId="5" fillId="0" borderId="4" xfId="17" applyFont="1" applyFill="1" applyBorder="1" applyAlignment="1">
      <alignment horizontal="center" vertical="center" wrapText="1"/>
    </xf>
    <xf numFmtId="43" fontId="5" fillId="0" borderId="6" xfId="17"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7" xfId="0" applyFont="1" applyBorder="1" applyAlignment="1">
      <alignment horizontal="center"/>
    </xf>
    <xf numFmtId="0" fontId="5" fillId="0" borderId="5"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16" fillId="0" borderId="0" xfId="0" applyFont="1" applyBorder="1" applyAlignment="1">
      <alignment horizontal="center" vertical="center" wrapText="1"/>
    </xf>
    <xf numFmtId="0" fontId="9" fillId="0" borderId="1" xfId="0" applyFont="1" applyBorder="1" applyAlignment="1">
      <alignment horizontal="center" wrapText="1"/>
    </xf>
    <xf numFmtId="0" fontId="10" fillId="0" borderId="1" xfId="0" applyFont="1" applyBorder="1" applyAlignment="1">
      <alignment horizontal="center" vertical="center" wrapText="1"/>
    </xf>
    <xf numFmtId="0" fontId="12" fillId="0" borderId="0" xfId="0" applyFont="1" applyAlignment="1">
      <alignment horizontal="center" vertical="center" wrapText="1"/>
    </xf>
    <xf numFmtId="0" fontId="10" fillId="0" borderId="1" xfId="0" applyFont="1" applyBorder="1" applyAlignment="1">
      <alignment horizontal="center"/>
    </xf>
    <xf numFmtId="0" fontId="34" fillId="0" borderId="0" xfId="0"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7" xfId="0" applyNumberFormat="1" applyFont="1" applyBorder="1" applyAlignment="1">
      <alignment horizontal="center" vertical="center"/>
    </xf>
    <xf numFmtId="0" fontId="12" fillId="0" borderId="0" xfId="0" applyFont="1" applyAlignment="1">
      <alignment horizontal="center" wrapText="1"/>
    </xf>
    <xf numFmtId="0" fontId="39" fillId="0" borderId="1" xfId="0" applyNumberFormat="1" applyFont="1" applyFill="1" applyBorder="1" applyAlignment="1">
      <alignment horizontal="left" vertical="top" wrapText="1"/>
    </xf>
    <xf numFmtId="0" fontId="39" fillId="0" borderId="1" xfId="0" quotePrefix="1" applyNumberFormat="1" applyFont="1" applyFill="1" applyBorder="1" applyAlignment="1">
      <alignment horizontal="left" vertical="top" wrapText="1"/>
    </xf>
    <xf numFmtId="0" fontId="12" fillId="0" borderId="0" xfId="0" applyFont="1" applyFill="1" applyAlignment="1">
      <alignment horizontal="center" vertical="top" wrapText="1"/>
    </xf>
    <xf numFmtId="49" fontId="5" fillId="0" borderId="8" xfId="0" applyNumberFormat="1" applyFont="1" applyFill="1" applyBorder="1" applyAlignment="1">
      <alignment horizontal="right" vertical="center"/>
    </xf>
    <xf numFmtId="49" fontId="5" fillId="0" borderId="8" xfId="0" applyNumberFormat="1" applyFont="1" applyBorder="1" applyAlignment="1">
      <alignment horizontal="right" vertical="center"/>
    </xf>
    <xf numFmtId="0" fontId="12" fillId="0" borderId="0"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cellXfs>
  <cellStyles count="26">
    <cellStyle name="Обычный" xfId="0" builtinId="0"/>
    <cellStyle name="Обычный 10" xfId="1"/>
    <cellStyle name="Обычный 11" xfId="2"/>
    <cellStyle name="Обычный 12" xfId="3"/>
    <cellStyle name="Обычный 2" xfId="4"/>
    <cellStyle name="Обычный 22" xfId="5"/>
    <cellStyle name="Обычный 23" xfId="6"/>
    <cellStyle name="Обычный 29" xfId="7"/>
    <cellStyle name="Обычный 30" xfId="8"/>
    <cellStyle name="Обычный 4" xfId="21"/>
    <cellStyle name="Обычный 43" xfId="9"/>
    <cellStyle name="Обычный 44" xfId="10"/>
    <cellStyle name="Обычный 45" xfId="11"/>
    <cellStyle name="Обычный 46" xfId="12"/>
    <cellStyle name="Обычный 47" xfId="13"/>
    <cellStyle name="Обычный 48" xfId="14"/>
    <cellStyle name="Обычный_Лист1" xfId="22"/>
    <cellStyle name="Обычный_софин" xfId="24"/>
    <cellStyle name="Обычный_софин_1" xfId="25"/>
    <cellStyle name="Обычный_Шпаргалка" xfId="23"/>
    <cellStyle name="Тысячи [0]_Лист1" xfId="15"/>
    <cellStyle name="Тысячи_Лист1" xfId="16"/>
    <cellStyle name="Финансовый" xfId="17" builtinId="3"/>
    <cellStyle name="Финансовый 2" xfId="18"/>
    <cellStyle name="Финансовый 3" xfId="19"/>
    <cellStyle name="Финансовый 3 2" xfId="2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00B0F0"/>
  </sheetPr>
  <dimension ref="A1:E25"/>
  <sheetViews>
    <sheetView tabSelected="1" topLeftCell="A2" workbookViewId="0">
      <selection activeCell="E11" sqref="E11"/>
    </sheetView>
  </sheetViews>
  <sheetFormatPr defaultRowHeight="12.75" x14ac:dyDescent="0.2"/>
  <cols>
    <col min="1" max="1" width="28.5703125" style="53" customWidth="1"/>
    <col min="2" max="2" width="54.28515625" style="53" customWidth="1"/>
    <col min="3" max="3" width="17.7109375" style="53" customWidth="1"/>
    <col min="4" max="4" width="18" style="53" bestFit="1" customWidth="1"/>
    <col min="5" max="5" width="17.5703125" style="53" customWidth="1"/>
    <col min="6" max="16384" width="9.140625" style="53"/>
  </cols>
  <sheetData>
    <row r="1" spans="1:5" ht="43.5" hidden="1" customHeight="1" x14ac:dyDescent="0.2">
      <c r="A1" s="444" t="str">
        <f>"Приложение №"&amp;Н2деф&amp;"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c r="C1" s="444"/>
      <c r="D1" s="444"/>
      <c r="E1" s="444"/>
    </row>
    <row r="2" spans="1:5" ht="44.25" customHeight="1" x14ac:dyDescent="0.2">
      <c r="A2" s="444" t="str">
        <f>"Приложение "&amp;Н1деф&amp;" к решению
Богучанского районного Совета депутатов
от "&amp;Р1дата&amp;" года №"&amp;Р1номер</f>
        <v>Приложение 1 к решению
Богучанского районного Совета депутатов
от  04.12.2020 года №5/1-16</v>
      </c>
      <c r="B2" s="444"/>
      <c r="C2" s="444"/>
      <c r="D2" s="444"/>
      <c r="E2" s="444"/>
    </row>
    <row r="3" spans="1:5" ht="57" customHeight="1" x14ac:dyDescent="0.25">
      <c r="A3" s="443" t="str">
        <f>"Источники внутреннего финансирования дефицита районного бюджета на "&amp;год&amp;" год и плановый период "&amp;ПлПер&amp;" годов"</f>
        <v>Источники внутреннего финансирования дефицита районного бюджета на 2021 год и плановый период 2022-2023 годов</v>
      </c>
      <c r="B3" s="443"/>
      <c r="C3" s="443"/>
      <c r="D3" s="443"/>
      <c r="E3" s="443"/>
    </row>
    <row r="4" spans="1:5" ht="15.75" x14ac:dyDescent="0.25">
      <c r="B4" s="120"/>
      <c r="C4" s="120"/>
      <c r="E4" s="281" t="s">
        <v>73</v>
      </c>
    </row>
    <row r="5" spans="1:5" ht="15" x14ac:dyDescent="0.25">
      <c r="A5" s="79" t="s">
        <v>120</v>
      </c>
      <c r="B5" s="79" t="s">
        <v>121</v>
      </c>
      <c r="C5" s="80" t="s">
        <v>1525</v>
      </c>
      <c r="D5" s="80" t="s">
        <v>2084</v>
      </c>
      <c r="E5" s="80" t="s">
        <v>2082</v>
      </c>
    </row>
    <row r="6" spans="1:5" ht="30" x14ac:dyDescent="0.25">
      <c r="A6" s="46" t="s">
        <v>122</v>
      </c>
      <c r="B6" s="81" t="s">
        <v>123</v>
      </c>
      <c r="C6" s="28">
        <f>SUM(C7+C12)</f>
        <v>9239847</v>
      </c>
      <c r="D6" s="28">
        <f>SUM(D7+D12)</f>
        <v>0</v>
      </c>
      <c r="E6" s="28">
        <f>SUM(E7+E12)</f>
        <v>0</v>
      </c>
    </row>
    <row r="7" spans="1:5" ht="30" x14ac:dyDescent="0.25">
      <c r="A7" s="165" t="s">
        <v>480</v>
      </c>
      <c r="B7" s="81" t="s">
        <v>124</v>
      </c>
      <c r="C7" s="28">
        <f>C8-C10</f>
        <v>0</v>
      </c>
      <c r="D7" s="28">
        <f>D8-D10</f>
        <v>0</v>
      </c>
      <c r="E7" s="28">
        <f>E8-E10</f>
        <v>0</v>
      </c>
    </row>
    <row r="8" spans="1:5" ht="42.75" x14ac:dyDescent="0.2">
      <c r="A8" s="46" t="s">
        <v>125</v>
      </c>
      <c r="B8" s="16" t="s">
        <v>126</v>
      </c>
      <c r="C8" s="82">
        <f>C9</f>
        <v>20000000</v>
      </c>
      <c r="D8" s="82">
        <f>D9</f>
        <v>20000000</v>
      </c>
      <c r="E8" s="82">
        <f>E9</f>
        <v>20000000</v>
      </c>
    </row>
    <row r="9" spans="1:5" ht="57" x14ac:dyDescent="0.2">
      <c r="A9" s="46" t="s">
        <v>1201</v>
      </c>
      <c r="B9" s="16" t="s">
        <v>180</v>
      </c>
      <c r="C9" s="82">
        <v>20000000</v>
      </c>
      <c r="D9" s="82">
        <v>20000000</v>
      </c>
      <c r="E9" s="82">
        <v>20000000</v>
      </c>
    </row>
    <row r="10" spans="1:5" ht="42.75" x14ac:dyDescent="0.2">
      <c r="A10" s="46" t="s">
        <v>181</v>
      </c>
      <c r="B10" s="16" t="s">
        <v>182</v>
      </c>
      <c r="C10" s="82">
        <f>C11</f>
        <v>20000000</v>
      </c>
      <c r="D10" s="82">
        <f>D11</f>
        <v>20000000</v>
      </c>
      <c r="E10" s="82">
        <f>E11</f>
        <v>20000000</v>
      </c>
    </row>
    <row r="11" spans="1:5" ht="57" x14ac:dyDescent="0.2">
      <c r="A11" s="46" t="s">
        <v>1202</v>
      </c>
      <c r="B11" s="16" t="s">
        <v>38</v>
      </c>
      <c r="C11" s="82">
        <v>20000000</v>
      </c>
      <c r="D11" s="82">
        <v>20000000</v>
      </c>
      <c r="E11" s="82">
        <v>20000000</v>
      </c>
    </row>
    <row r="12" spans="1:5" ht="28.5" x14ac:dyDescent="0.2">
      <c r="A12" s="46" t="s">
        <v>183</v>
      </c>
      <c r="B12" s="16" t="s">
        <v>154</v>
      </c>
      <c r="C12" s="82">
        <f>-C13+C17</f>
        <v>9239847</v>
      </c>
      <c r="D12" s="82">
        <f>-D13+D17</f>
        <v>0</v>
      </c>
      <c r="E12" s="82">
        <f>-E13+E17</f>
        <v>0</v>
      </c>
    </row>
    <row r="13" spans="1:5" ht="14.25" x14ac:dyDescent="0.2">
      <c r="A13" s="46" t="s">
        <v>155</v>
      </c>
      <c r="B13" s="16" t="s">
        <v>100</v>
      </c>
      <c r="C13" s="82">
        <f>C14</f>
        <v>2335923420</v>
      </c>
      <c r="D13" s="82">
        <f t="shared" ref="D13:E15" si="0">D14</f>
        <v>2245637720</v>
      </c>
      <c r="E13" s="82">
        <f t="shared" si="0"/>
        <v>2295006420</v>
      </c>
    </row>
    <row r="14" spans="1:5" ht="14.25" x14ac:dyDescent="0.2">
      <c r="A14" s="46" t="s">
        <v>156</v>
      </c>
      <c r="B14" s="16" t="s">
        <v>101</v>
      </c>
      <c r="C14" s="83">
        <f>C15</f>
        <v>2335923420</v>
      </c>
      <c r="D14" s="83">
        <f t="shared" si="0"/>
        <v>2245637720</v>
      </c>
      <c r="E14" s="83">
        <f t="shared" si="0"/>
        <v>2295006420</v>
      </c>
    </row>
    <row r="15" spans="1:5" ht="28.5" x14ac:dyDescent="0.2">
      <c r="A15" s="46" t="s">
        <v>157</v>
      </c>
      <c r="B15" s="16" t="s">
        <v>203</v>
      </c>
      <c r="C15" s="82">
        <f>C16</f>
        <v>2335923420</v>
      </c>
      <c r="D15" s="82">
        <f t="shared" si="0"/>
        <v>2245637720</v>
      </c>
      <c r="E15" s="82">
        <f t="shared" si="0"/>
        <v>2295006420</v>
      </c>
    </row>
    <row r="16" spans="1:5" ht="28.5" x14ac:dyDescent="0.2">
      <c r="A16" s="46" t="s">
        <v>204</v>
      </c>
      <c r="B16" s="16" t="s">
        <v>161</v>
      </c>
      <c r="C16" s="82">
        <f>'Дох '!I285+C8</f>
        <v>2335923420</v>
      </c>
      <c r="D16" s="82">
        <f>'Дох '!J285+D8</f>
        <v>2245637720</v>
      </c>
      <c r="E16" s="82">
        <f>'Дох '!K285+E8</f>
        <v>2295006420</v>
      </c>
    </row>
    <row r="17" spans="1:5" ht="14.25" x14ac:dyDescent="0.2">
      <c r="A17" s="46" t="s">
        <v>162</v>
      </c>
      <c r="B17" s="16" t="s">
        <v>102</v>
      </c>
      <c r="C17" s="82">
        <f>C18</f>
        <v>2345163267</v>
      </c>
      <c r="D17" s="82">
        <f t="shared" ref="D17:E19" si="1">D18</f>
        <v>2245637720</v>
      </c>
      <c r="E17" s="82">
        <f t="shared" si="1"/>
        <v>2295006420</v>
      </c>
    </row>
    <row r="18" spans="1:5" ht="14.25" x14ac:dyDescent="0.2">
      <c r="A18" s="16" t="s">
        <v>163</v>
      </c>
      <c r="B18" s="16" t="s">
        <v>103</v>
      </c>
      <c r="C18" s="84">
        <f>C19</f>
        <v>2345163267</v>
      </c>
      <c r="D18" s="84">
        <f t="shared" si="1"/>
        <v>2245637720</v>
      </c>
      <c r="E18" s="84">
        <f t="shared" si="1"/>
        <v>2295006420</v>
      </c>
    </row>
    <row r="19" spans="1:5" ht="28.5" x14ac:dyDescent="0.2">
      <c r="A19" s="16" t="s">
        <v>164</v>
      </c>
      <c r="B19" s="16" t="s">
        <v>165</v>
      </c>
      <c r="C19" s="84">
        <f>C20</f>
        <v>2345163267</v>
      </c>
      <c r="D19" s="84">
        <f t="shared" si="1"/>
        <v>2245637720</v>
      </c>
      <c r="E19" s="84">
        <f t="shared" si="1"/>
        <v>2295006420</v>
      </c>
    </row>
    <row r="20" spans="1:5" ht="28.5" x14ac:dyDescent="0.2">
      <c r="A20" s="46" t="s">
        <v>166</v>
      </c>
      <c r="B20" s="16" t="s">
        <v>167</v>
      </c>
      <c r="C20" s="82">
        <f>Вед21!F7+C10</f>
        <v>2345163267</v>
      </c>
      <c r="D20" s="82">
        <f>'вед 22-23'!F7+D10</f>
        <v>2245637720</v>
      </c>
      <c r="E20" s="82">
        <f>'вед 22-23'!G7+E10</f>
        <v>2295006420</v>
      </c>
    </row>
    <row r="21" spans="1:5" ht="47.25" hidden="1" x14ac:dyDescent="0.25">
      <c r="A21" s="85" t="s">
        <v>223</v>
      </c>
      <c r="B21" s="86" t="s">
        <v>224</v>
      </c>
      <c r="C21" s="87">
        <v>0</v>
      </c>
    </row>
    <row r="22" spans="1:5" ht="30" hidden="1" x14ac:dyDescent="0.2">
      <c r="A22" s="85" t="s">
        <v>225</v>
      </c>
      <c r="B22" s="85" t="s">
        <v>193</v>
      </c>
      <c r="C22" s="88"/>
    </row>
    <row r="23" spans="1:5" ht="75" hidden="1" x14ac:dyDescent="0.2">
      <c r="A23" s="89" t="s">
        <v>194</v>
      </c>
      <c r="B23" s="85" t="s">
        <v>195</v>
      </c>
      <c r="C23" s="90"/>
    </row>
    <row r="24" spans="1:5" ht="30" hidden="1" x14ac:dyDescent="0.2">
      <c r="A24" s="91" t="s">
        <v>196</v>
      </c>
      <c r="B24" s="92" t="s">
        <v>197</v>
      </c>
      <c r="C24" s="93"/>
    </row>
    <row r="25" spans="1:5" ht="60" hidden="1" x14ac:dyDescent="0.2">
      <c r="A25" s="91" t="s">
        <v>198</v>
      </c>
      <c r="B25" s="92" t="s">
        <v>93</v>
      </c>
      <c r="C25" s="93"/>
    </row>
  </sheetData>
  <mergeCells count="3">
    <mergeCell ref="A3:E3"/>
    <mergeCell ref="A2:E2"/>
    <mergeCell ref="A1:E1"/>
  </mergeCells>
  <phoneticPr fontId="3" type="noConversion"/>
  <pageMargins left="0.98425196850393704" right="0.23622047244094491" top="0.74803149606299213" bottom="0.74803149606299213" header="0.31496062992125984" footer="0.31496062992125984"/>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354"/>
  <sheetViews>
    <sheetView topLeftCell="A2" workbookViewId="0">
      <selection activeCell="A1350" sqref="A1350:A1354"/>
    </sheetView>
  </sheetViews>
  <sheetFormatPr defaultRowHeight="12.75" x14ac:dyDescent="0.2"/>
  <cols>
    <col min="1" max="1" width="55.85546875" style="3" customWidth="1"/>
    <col min="2" max="2" width="12.85546875" style="141" customWidth="1"/>
    <col min="3" max="3" width="6.42578125" style="3" customWidth="1"/>
    <col min="4" max="4" width="7.140625" style="3" customWidth="1"/>
    <col min="5" max="5" width="18" style="19" customWidth="1"/>
    <col min="6" max="16384" width="9.140625" style="3"/>
  </cols>
  <sheetData>
    <row r="1" spans="1:5" ht="42.75" hidden="1" customHeight="1" x14ac:dyDescent="0.2">
      <c r="A1" s="444" t="str">
        <f>"Приложение №"&amp;Н2цср&amp;"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c r="C1" s="444"/>
      <c r="D1" s="444"/>
      <c r="E1" s="444"/>
    </row>
    <row r="2" spans="1:5" ht="47.25" customHeight="1" x14ac:dyDescent="0.2">
      <c r="A2" s="444" t="str">
        <f>"Приложение "&amp;Н1цср&amp;" к решению
Богучанского районного Совета депутатов
от "&amp;Р1дата&amp;" года №"&amp;Р1номер</f>
        <v>Приложение 9 к решению
Богучанского районного Совета депутатов
от  04.12.2020 года №5/1-16</v>
      </c>
      <c r="B2" s="444"/>
      <c r="C2" s="444"/>
      <c r="D2" s="444"/>
      <c r="E2" s="444"/>
    </row>
    <row r="3" spans="1:5" ht="111.75" customHeight="1" x14ac:dyDescent="0.25">
      <c r="A3" s="443" t="str">
        <f>"Распределение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"&amp;год&amp;" год"</f>
        <v>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2021 год</v>
      </c>
      <c r="B3" s="443"/>
      <c r="C3" s="443"/>
      <c r="D3" s="443"/>
      <c r="E3" s="443"/>
    </row>
    <row r="4" spans="1:5" x14ac:dyDescent="0.2">
      <c r="E4" s="8" t="s">
        <v>73</v>
      </c>
    </row>
    <row r="5" spans="1:5" ht="12.75" customHeight="1" x14ac:dyDescent="0.2">
      <c r="A5" s="472" t="s">
        <v>1518</v>
      </c>
      <c r="B5" s="480" t="s">
        <v>184</v>
      </c>
      <c r="C5" s="483"/>
      <c r="D5" s="481"/>
      <c r="E5" s="472" t="s">
        <v>1417</v>
      </c>
    </row>
    <row r="6" spans="1:5" ht="51" x14ac:dyDescent="0.2">
      <c r="A6" s="473"/>
      <c r="B6" s="142" t="s">
        <v>1516</v>
      </c>
      <c r="C6" s="310" t="s">
        <v>1517</v>
      </c>
      <c r="D6" s="310" t="s">
        <v>1520</v>
      </c>
      <c r="E6" s="473"/>
    </row>
    <row r="7" spans="1:5" s="11" customFormat="1" x14ac:dyDescent="0.2">
      <c r="A7" s="292" t="s">
        <v>694</v>
      </c>
      <c r="B7" s="293" t="s">
        <v>1314</v>
      </c>
      <c r="C7" s="293" t="s">
        <v>1314</v>
      </c>
      <c r="D7" s="293" t="s">
        <v>1314</v>
      </c>
      <c r="E7" s="294">
        <v>2325163267</v>
      </c>
    </row>
    <row r="8" spans="1:5" ht="25.5" x14ac:dyDescent="0.2">
      <c r="A8" s="292" t="s">
        <v>483</v>
      </c>
      <c r="B8" s="293" t="s">
        <v>1031</v>
      </c>
      <c r="C8" s="293" t="s">
        <v>1314</v>
      </c>
      <c r="D8" s="293" t="s">
        <v>1314</v>
      </c>
      <c r="E8" s="294">
        <v>1344887338</v>
      </c>
    </row>
    <row r="9" spans="1:5" ht="25.5" x14ac:dyDescent="0.2">
      <c r="A9" s="292" t="s">
        <v>484</v>
      </c>
      <c r="B9" s="293" t="s">
        <v>1032</v>
      </c>
      <c r="C9" s="293" t="s">
        <v>1314</v>
      </c>
      <c r="D9" s="293" t="s">
        <v>1314</v>
      </c>
      <c r="E9" s="294">
        <v>1256466034</v>
      </c>
    </row>
    <row r="10" spans="1:5" ht="102" x14ac:dyDescent="0.2">
      <c r="A10" s="292" t="s">
        <v>450</v>
      </c>
      <c r="B10" s="293" t="s">
        <v>799</v>
      </c>
      <c r="C10" s="293" t="s">
        <v>1314</v>
      </c>
      <c r="D10" s="293" t="s">
        <v>1314</v>
      </c>
      <c r="E10" s="294">
        <v>58423717</v>
      </c>
    </row>
    <row r="11" spans="1:5" ht="51" x14ac:dyDescent="0.2">
      <c r="A11" s="292" t="s">
        <v>1501</v>
      </c>
      <c r="B11" s="293" t="s">
        <v>799</v>
      </c>
      <c r="C11" s="293" t="s">
        <v>290</v>
      </c>
      <c r="D11" s="293" t="s">
        <v>1314</v>
      </c>
      <c r="E11" s="294">
        <v>28698517</v>
      </c>
    </row>
    <row r="12" spans="1:5" x14ac:dyDescent="0.2">
      <c r="A12" s="292" t="s">
        <v>1331</v>
      </c>
      <c r="B12" s="293" t="s">
        <v>799</v>
      </c>
      <c r="C12" s="293" t="s">
        <v>140</v>
      </c>
      <c r="D12" s="293" t="s">
        <v>1314</v>
      </c>
      <c r="E12" s="294">
        <v>28698517</v>
      </c>
    </row>
    <row r="13" spans="1:5" x14ac:dyDescent="0.2">
      <c r="A13" s="292" t="s">
        <v>147</v>
      </c>
      <c r="B13" s="293" t="s">
        <v>799</v>
      </c>
      <c r="C13" s="293" t="s">
        <v>140</v>
      </c>
      <c r="D13" s="293" t="s">
        <v>1220</v>
      </c>
      <c r="E13" s="294">
        <v>28698517</v>
      </c>
    </row>
    <row r="14" spans="1:5" x14ac:dyDescent="0.2">
      <c r="A14" s="292" t="s">
        <v>159</v>
      </c>
      <c r="B14" s="293" t="s">
        <v>799</v>
      </c>
      <c r="C14" s="293" t="s">
        <v>140</v>
      </c>
      <c r="D14" s="293" t="s">
        <v>448</v>
      </c>
      <c r="E14" s="294">
        <v>28698517</v>
      </c>
    </row>
    <row r="15" spans="1:5" ht="25.5" x14ac:dyDescent="0.2">
      <c r="A15" s="292" t="s">
        <v>1502</v>
      </c>
      <c r="B15" s="293" t="s">
        <v>799</v>
      </c>
      <c r="C15" s="293" t="s">
        <v>1503</v>
      </c>
      <c r="D15" s="293" t="s">
        <v>1314</v>
      </c>
      <c r="E15" s="294">
        <v>29665200</v>
      </c>
    </row>
    <row r="16" spans="1:5" ht="25.5" x14ac:dyDescent="0.2">
      <c r="A16" s="292" t="s">
        <v>1338</v>
      </c>
      <c r="B16" s="293" t="s">
        <v>799</v>
      </c>
      <c r="C16" s="293" t="s">
        <v>1339</v>
      </c>
      <c r="D16" s="293" t="s">
        <v>1314</v>
      </c>
      <c r="E16" s="294">
        <v>29665200</v>
      </c>
    </row>
    <row r="17" spans="1:5" x14ac:dyDescent="0.2">
      <c r="A17" s="292" t="s">
        <v>147</v>
      </c>
      <c r="B17" s="293" t="s">
        <v>799</v>
      </c>
      <c r="C17" s="293" t="s">
        <v>1339</v>
      </c>
      <c r="D17" s="293" t="s">
        <v>1220</v>
      </c>
      <c r="E17" s="294">
        <v>29665200</v>
      </c>
    </row>
    <row r="18" spans="1:5" x14ac:dyDescent="0.2">
      <c r="A18" s="292" t="s">
        <v>159</v>
      </c>
      <c r="B18" s="293" t="s">
        <v>799</v>
      </c>
      <c r="C18" s="293" t="s">
        <v>1339</v>
      </c>
      <c r="D18" s="293" t="s">
        <v>448</v>
      </c>
      <c r="E18" s="294">
        <v>29665200</v>
      </c>
    </row>
    <row r="19" spans="1:5" x14ac:dyDescent="0.2">
      <c r="A19" s="292" t="s">
        <v>1504</v>
      </c>
      <c r="B19" s="293" t="s">
        <v>799</v>
      </c>
      <c r="C19" s="293" t="s">
        <v>1505</v>
      </c>
      <c r="D19" s="293" t="s">
        <v>1314</v>
      </c>
      <c r="E19" s="294">
        <v>60000</v>
      </c>
    </row>
    <row r="20" spans="1:5" x14ac:dyDescent="0.2">
      <c r="A20" s="292" t="s">
        <v>1343</v>
      </c>
      <c r="B20" s="293" t="s">
        <v>799</v>
      </c>
      <c r="C20" s="293" t="s">
        <v>1344</v>
      </c>
      <c r="D20" s="293" t="s">
        <v>1314</v>
      </c>
      <c r="E20" s="294">
        <v>60000</v>
      </c>
    </row>
    <row r="21" spans="1:5" x14ac:dyDescent="0.2">
      <c r="A21" s="292" t="s">
        <v>147</v>
      </c>
      <c r="B21" s="293" t="s">
        <v>799</v>
      </c>
      <c r="C21" s="293" t="s">
        <v>1344</v>
      </c>
      <c r="D21" s="293" t="s">
        <v>1220</v>
      </c>
      <c r="E21" s="294">
        <v>60000</v>
      </c>
    </row>
    <row r="22" spans="1:5" x14ac:dyDescent="0.2">
      <c r="A22" s="292" t="s">
        <v>159</v>
      </c>
      <c r="B22" s="293" t="s">
        <v>799</v>
      </c>
      <c r="C22" s="293" t="s">
        <v>1344</v>
      </c>
      <c r="D22" s="293" t="s">
        <v>448</v>
      </c>
      <c r="E22" s="294">
        <v>60000</v>
      </c>
    </row>
    <row r="23" spans="1:5" ht="102" x14ac:dyDescent="0.2">
      <c r="A23" s="292" t="s">
        <v>453</v>
      </c>
      <c r="B23" s="293" t="s">
        <v>807</v>
      </c>
      <c r="C23" s="293" t="s">
        <v>1314</v>
      </c>
      <c r="D23" s="293" t="s">
        <v>1314</v>
      </c>
      <c r="E23" s="294">
        <v>57636838</v>
      </c>
    </row>
    <row r="24" spans="1:5" ht="51" x14ac:dyDescent="0.2">
      <c r="A24" s="292" t="s">
        <v>1501</v>
      </c>
      <c r="B24" s="293" t="s">
        <v>807</v>
      </c>
      <c r="C24" s="293" t="s">
        <v>290</v>
      </c>
      <c r="D24" s="293" t="s">
        <v>1314</v>
      </c>
      <c r="E24" s="294">
        <v>45403738</v>
      </c>
    </row>
    <row r="25" spans="1:5" x14ac:dyDescent="0.2">
      <c r="A25" s="292" t="s">
        <v>1331</v>
      </c>
      <c r="B25" s="293" t="s">
        <v>807</v>
      </c>
      <c r="C25" s="293" t="s">
        <v>140</v>
      </c>
      <c r="D25" s="293" t="s">
        <v>1314</v>
      </c>
      <c r="E25" s="294">
        <v>45403738</v>
      </c>
    </row>
    <row r="26" spans="1:5" x14ac:dyDescent="0.2">
      <c r="A26" s="292" t="s">
        <v>147</v>
      </c>
      <c r="B26" s="293" t="s">
        <v>807</v>
      </c>
      <c r="C26" s="293" t="s">
        <v>140</v>
      </c>
      <c r="D26" s="293" t="s">
        <v>1220</v>
      </c>
      <c r="E26" s="294">
        <v>45403738</v>
      </c>
    </row>
    <row r="27" spans="1:5" x14ac:dyDescent="0.2">
      <c r="A27" s="292" t="s">
        <v>160</v>
      </c>
      <c r="B27" s="293" t="s">
        <v>807</v>
      </c>
      <c r="C27" s="293" t="s">
        <v>140</v>
      </c>
      <c r="D27" s="293" t="s">
        <v>435</v>
      </c>
      <c r="E27" s="294">
        <v>45403738</v>
      </c>
    </row>
    <row r="28" spans="1:5" ht="25.5" x14ac:dyDescent="0.2">
      <c r="A28" s="292" t="s">
        <v>1502</v>
      </c>
      <c r="B28" s="293" t="s">
        <v>807</v>
      </c>
      <c r="C28" s="293" t="s">
        <v>1503</v>
      </c>
      <c r="D28" s="293" t="s">
        <v>1314</v>
      </c>
      <c r="E28" s="294">
        <v>12183100</v>
      </c>
    </row>
    <row r="29" spans="1:5" ht="25.5" x14ac:dyDescent="0.2">
      <c r="A29" s="292" t="s">
        <v>1338</v>
      </c>
      <c r="B29" s="293" t="s">
        <v>807</v>
      </c>
      <c r="C29" s="293" t="s">
        <v>1339</v>
      </c>
      <c r="D29" s="293" t="s">
        <v>1314</v>
      </c>
      <c r="E29" s="294">
        <v>12183100</v>
      </c>
    </row>
    <row r="30" spans="1:5" x14ac:dyDescent="0.2">
      <c r="A30" s="292" t="s">
        <v>147</v>
      </c>
      <c r="B30" s="293" t="s">
        <v>807</v>
      </c>
      <c r="C30" s="293" t="s">
        <v>1339</v>
      </c>
      <c r="D30" s="293" t="s">
        <v>1220</v>
      </c>
      <c r="E30" s="294">
        <v>12183100</v>
      </c>
    </row>
    <row r="31" spans="1:5" x14ac:dyDescent="0.2">
      <c r="A31" s="292" t="s">
        <v>160</v>
      </c>
      <c r="B31" s="293" t="s">
        <v>807</v>
      </c>
      <c r="C31" s="293" t="s">
        <v>1339</v>
      </c>
      <c r="D31" s="293" t="s">
        <v>435</v>
      </c>
      <c r="E31" s="294">
        <v>12183100</v>
      </c>
    </row>
    <row r="32" spans="1:5" x14ac:dyDescent="0.2">
      <c r="A32" s="292" t="s">
        <v>1504</v>
      </c>
      <c r="B32" s="293" t="s">
        <v>807</v>
      </c>
      <c r="C32" s="293" t="s">
        <v>1505</v>
      </c>
      <c r="D32" s="293" t="s">
        <v>1314</v>
      </c>
      <c r="E32" s="294">
        <v>50000</v>
      </c>
    </row>
    <row r="33" spans="1:5" x14ac:dyDescent="0.2">
      <c r="A33" s="292" t="s">
        <v>1343</v>
      </c>
      <c r="B33" s="293" t="s">
        <v>807</v>
      </c>
      <c r="C33" s="293" t="s">
        <v>1344</v>
      </c>
      <c r="D33" s="293" t="s">
        <v>1314</v>
      </c>
      <c r="E33" s="294">
        <v>50000</v>
      </c>
    </row>
    <row r="34" spans="1:5" x14ac:dyDescent="0.2">
      <c r="A34" s="292" t="s">
        <v>147</v>
      </c>
      <c r="B34" s="293" t="s">
        <v>807</v>
      </c>
      <c r="C34" s="293" t="s">
        <v>1344</v>
      </c>
      <c r="D34" s="293" t="s">
        <v>1220</v>
      </c>
      <c r="E34" s="294">
        <v>50000</v>
      </c>
    </row>
    <row r="35" spans="1:5" x14ac:dyDescent="0.2">
      <c r="A35" s="292" t="s">
        <v>160</v>
      </c>
      <c r="B35" s="293" t="s">
        <v>807</v>
      </c>
      <c r="C35" s="293" t="s">
        <v>1344</v>
      </c>
      <c r="D35" s="293" t="s">
        <v>435</v>
      </c>
      <c r="E35" s="294">
        <v>50000</v>
      </c>
    </row>
    <row r="36" spans="1:5" ht="102" x14ac:dyDescent="0.2">
      <c r="A36" s="292" t="s">
        <v>454</v>
      </c>
      <c r="B36" s="293" t="s">
        <v>811</v>
      </c>
      <c r="C36" s="293" t="s">
        <v>1314</v>
      </c>
      <c r="D36" s="293" t="s">
        <v>1314</v>
      </c>
      <c r="E36" s="294">
        <v>32484500</v>
      </c>
    </row>
    <row r="37" spans="1:5" ht="51" x14ac:dyDescent="0.2">
      <c r="A37" s="292" t="s">
        <v>1501</v>
      </c>
      <c r="B37" s="293" t="s">
        <v>811</v>
      </c>
      <c r="C37" s="293" t="s">
        <v>290</v>
      </c>
      <c r="D37" s="293" t="s">
        <v>1314</v>
      </c>
      <c r="E37" s="294">
        <v>16445000</v>
      </c>
    </row>
    <row r="38" spans="1:5" x14ac:dyDescent="0.2">
      <c r="A38" s="292" t="s">
        <v>1331</v>
      </c>
      <c r="B38" s="293" t="s">
        <v>811</v>
      </c>
      <c r="C38" s="293" t="s">
        <v>140</v>
      </c>
      <c r="D38" s="293" t="s">
        <v>1314</v>
      </c>
      <c r="E38" s="294">
        <v>16445000</v>
      </c>
    </row>
    <row r="39" spans="1:5" x14ac:dyDescent="0.2">
      <c r="A39" s="292" t="s">
        <v>147</v>
      </c>
      <c r="B39" s="293" t="s">
        <v>811</v>
      </c>
      <c r="C39" s="293" t="s">
        <v>140</v>
      </c>
      <c r="D39" s="293" t="s">
        <v>1220</v>
      </c>
      <c r="E39" s="294">
        <v>16445000</v>
      </c>
    </row>
    <row r="40" spans="1:5" x14ac:dyDescent="0.2">
      <c r="A40" s="292" t="s">
        <v>1147</v>
      </c>
      <c r="B40" s="293" t="s">
        <v>811</v>
      </c>
      <c r="C40" s="293" t="s">
        <v>140</v>
      </c>
      <c r="D40" s="293" t="s">
        <v>1148</v>
      </c>
      <c r="E40" s="294">
        <v>16445000</v>
      </c>
    </row>
    <row r="41" spans="1:5" ht="25.5" x14ac:dyDescent="0.2">
      <c r="A41" s="292" t="s">
        <v>1502</v>
      </c>
      <c r="B41" s="293" t="s">
        <v>811</v>
      </c>
      <c r="C41" s="293" t="s">
        <v>1503</v>
      </c>
      <c r="D41" s="293" t="s">
        <v>1314</v>
      </c>
      <c r="E41" s="294">
        <v>742500</v>
      </c>
    </row>
    <row r="42" spans="1:5" ht="25.5" x14ac:dyDescent="0.2">
      <c r="A42" s="292" t="s">
        <v>1338</v>
      </c>
      <c r="B42" s="293" t="s">
        <v>811</v>
      </c>
      <c r="C42" s="293" t="s">
        <v>1339</v>
      </c>
      <c r="D42" s="293" t="s">
        <v>1314</v>
      </c>
      <c r="E42" s="294">
        <v>742500</v>
      </c>
    </row>
    <row r="43" spans="1:5" x14ac:dyDescent="0.2">
      <c r="A43" s="292" t="s">
        <v>147</v>
      </c>
      <c r="B43" s="293" t="s">
        <v>811</v>
      </c>
      <c r="C43" s="293" t="s">
        <v>1339</v>
      </c>
      <c r="D43" s="293" t="s">
        <v>1220</v>
      </c>
      <c r="E43" s="294">
        <v>742500</v>
      </c>
    </row>
    <row r="44" spans="1:5" x14ac:dyDescent="0.2">
      <c r="A44" s="292" t="s">
        <v>1147</v>
      </c>
      <c r="B44" s="293" t="s">
        <v>811</v>
      </c>
      <c r="C44" s="293" t="s">
        <v>1339</v>
      </c>
      <c r="D44" s="293" t="s">
        <v>1148</v>
      </c>
      <c r="E44" s="294">
        <v>742500</v>
      </c>
    </row>
    <row r="45" spans="1:5" ht="25.5" x14ac:dyDescent="0.2">
      <c r="A45" s="292" t="s">
        <v>1510</v>
      </c>
      <c r="B45" s="293" t="s">
        <v>811</v>
      </c>
      <c r="C45" s="293" t="s">
        <v>1511</v>
      </c>
      <c r="D45" s="293" t="s">
        <v>1314</v>
      </c>
      <c r="E45" s="294">
        <v>15295000</v>
      </c>
    </row>
    <row r="46" spans="1:5" x14ac:dyDescent="0.2">
      <c r="A46" s="292" t="s">
        <v>1340</v>
      </c>
      <c r="B46" s="293" t="s">
        <v>811</v>
      </c>
      <c r="C46" s="293" t="s">
        <v>1341</v>
      </c>
      <c r="D46" s="293" t="s">
        <v>1314</v>
      </c>
      <c r="E46" s="294">
        <v>15295000</v>
      </c>
    </row>
    <row r="47" spans="1:5" x14ac:dyDescent="0.2">
      <c r="A47" s="292" t="s">
        <v>147</v>
      </c>
      <c r="B47" s="293" t="s">
        <v>811</v>
      </c>
      <c r="C47" s="293" t="s">
        <v>1341</v>
      </c>
      <c r="D47" s="293" t="s">
        <v>1220</v>
      </c>
      <c r="E47" s="294">
        <v>13926900</v>
      </c>
    </row>
    <row r="48" spans="1:5" x14ac:dyDescent="0.2">
      <c r="A48" s="292" t="s">
        <v>1147</v>
      </c>
      <c r="B48" s="293" t="s">
        <v>811</v>
      </c>
      <c r="C48" s="293" t="s">
        <v>1341</v>
      </c>
      <c r="D48" s="293" t="s">
        <v>1148</v>
      </c>
      <c r="E48" s="294">
        <v>13926900</v>
      </c>
    </row>
    <row r="49" spans="1:5" x14ac:dyDescent="0.2">
      <c r="A49" s="292" t="s">
        <v>265</v>
      </c>
      <c r="B49" s="293" t="s">
        <v>811</v>
      </c>
      <c r="C49" s="293" t="s">
        <v>1341</v>
      </c>
      <c r="D49" s="293" t="s">
        <v>1222</v>
      </c>
      <c r="E49" s="294">
        <v>1368100</v>
      </c>
    </row>
    <row r="50" spans="1:5" x14ac:dyDescent="0.2">
      <c r="A50" s="292" t="s">
        <v>1384</v>
      </c>
      <c r="B50" s="293" t="s">
        <v>811</v>
      </c>
      <c r="C50" s="293" t="s">
        <v>1341</v>
      </c>
      <c r="D50" s="293" t="s">
        <v>1385</v>
      </c>
      <c r="E50" s="294">
        <v>1368100</v>
      </c>
    </row>
    <row r="51" spans="1:5" x14ac:dyDescent="0.2">
      <c r="A51" s="292" t="s">
        <v>1504</v>
      </c>
      <c r="B51" s="293" t="s">
        <v>811</v>
      </c>
      <c r="C51" s="293" t="s">
        <v>1505</v>
      </c>
      <c r="D51" s="293" t="s">
        <v>1314</v>
      </c>
      <c r="E51" s="294">
        <v>2000</v>
      </c>
    </row>
    <row r="52" spans="1:5" x14ac:dyDescent="0.2">
      <c r="A52" s="292" t="s">
        <v>1343</v>
      </c>
      <c r="B52" s="293" t="s">
        <v>811</v>
      </c>
      <c r="C52" s="293" t="s">
        <v>1344</v>
      </c>
      <c r="D52" s="293" t="s">
        <v>1314</v>
      </c>
      <c r="E52" s="294">
        <v>2000</v>
      </c>
    </row>
    <row r="53" spans="1:5" x14ac:dyDescent="0.2">
      <c r="A53" s="292" t="s">
        <v>147</v>
      </c>
      <c r="B53" s="293" t="s">
        <v>811</v>
      </c>
      <c r="C53" s="293" t="s">
        <v>1344</v>
      </c>
      <c r="D53" s="293" t="s">
        <v>1220</v>
      </c>
      <c r="E53" s="294">
        <v>2000</v>
      </c>
    </row>
    <row r="54" spans="1:5" x14ac:dyDescent="0.2">
      <c r="A54" s="292" t="s">
        <v>1147</v>
      </c>
      <c r="B54" s="293" t="s">
        <v>811</v>
      </c>
      <c r="C54" s="293" t="s">
        <v>1344</v>
      </c>
      <c r="D54" s="293" t="s">
        <v>1148</v>
      </c>
      <c r="E54" s="294">
        <v>2000</v>
      </c>
    </row>
    <row r="55" spans="1:5" ht="127.5" x14ac:dyDescent="0.2">
      <c r="A55" s="292" t="s">
        <v>1689</v>
      </c>
      <c r="B55" s="293" t="s">
        <v>1690</v>
      </c>
      <c r="C55" s="293" t="s">
        <v>1314</v>
      </c>
      <c r="D55" s="293" t="s">
        <v>1314</v>
      </c>
      <c r="E55" s="294">
        <v>651000</v>
      </c>
    </row>
    <row r="56" spans="1:5" ht="51" x14ac:dyDescent="0.2">
      <c r="A56" s="292" t="s">
        <v>1501</v>
      </c>
      <c r="B56" s="293" t="s">
        <v>1690</v>
      </c>
      <c r="C56" s="293" t="s">
        <v>290</v>
      </c>
      <c r="D56" s="293" t="s">
        <v>1314</v>
      </c>
      <c r="E56" s="294">
        <v>651000</v>
      </c>
    </row>
    <row r="57" spans="1:5" x14ac:dyDescent="0.2">
      <c r="A57" s="292" t="s">
        <v>1331</v>
      </c>
      <c r="B57" s="293" t="s">
        <v>1690</v>
      </c>
      <c r="C57" s="293" t="s">
        <v>140</v>
      </c>
      <c r="D57" s="293" t="s">
        <v>1314</v>
      </c>
      <c r="E57" s="294">
        <v>651000</v>
      </c>
    </row>
    <row r="58" spans="1:5" x14ac:dyDescent="0.2">
      <c r="A58" s="292" t="s">
        <v>147</v>
      </c>
      <c r="B58" s="293" t="s">
        <v>1690</v>
      </c>
      <c r="C58" s="293" t="s">
        <v>140</v>
      </c>
      <c r="D58" s="293" t="s">
        <v>1220</v>
      </c>
      <c r="E58" s="294">
        <v>651000</v>
      </c>
    </row>
    <row r="59" spans="1:5" x14ac:dyDescent="0.2">
      <c r="A59" s="292" t="s">
        <v>1147</v>
      </c>
      <c r="B59" s="293" t="s">
        <v>1690</v>
      </c>
      <c r="C59" s="293" t="s">
        <v>140</v>
      </c>
      <c r="D59" s="293" t="s">
        <v>1148</v>
      </c>
      <c r="E59" s="294">
        <v>651000</v>
      </c>
    </row>
    <row r="60" spans="1:5" ht="153" x14ac:dyDescent="0.2">
      <c r="A60" s="292" t="s">
        <v>1691</v>
      </c>
      <c r="B60" s="293" t="s">
        <v>1692</v>
      </c>
      <c r="C60" s="293" t="s">
        <v>1314</v>
      </c>
      <c r="D60" s="293" t="s">
        <v>1314</v>
      </c>
      <c r="E60" s="294">
        <v>1411400</v>
      </c>
    </row>
    <row r="61" spans="1:5" ht="51" x14ac:dyDescent="0.2">
      <c r="A61" s="292" t="s">
        <v>1501</v>
      </c>
      <c r="B61" s="293" t="s">
        <v>1692</v>
      </c>
      <c r="C61" s="293" t="s">
        <v>290</v>
      </c>
      <c r="D61" s="293" t="s">
        <v>1314</v>
      </c>
      <c r="E61" s="294">
        <v>911400</v>
      </c>
    </row>
    <row r="62" spans="1:5" x14ac:dyDescent="0.2">
      <c r="A62" s="292" t="s">
        <v>1331</v>
      </c>
      <c r="B62" s="293" t="s">
        <v>1692</v>
      </c>
      <c r="C62" s="293" t="s">
        <v>140</v>
      </c>
      <c r="D62" s="293" t="s">
        <v>1314</v>
      </c>
      <c r="E62" s="294">
        <v>911400</v>
      </c>
    </row>
    <row r="63" spans="1:5" x14ac:dyDescent="0.2">
      <c r="A63" s="292" t="s">
        <v>147</v>
      </c>
      <c r="B63" s="293" t="s">
        <v>1692</v>
      </c>
      <c r="C63" s="293" t="s">
        <v>140</v>
      </c>
      <c r="D63" s="293" t="s">
        <v>1220</v>
      </c>
      <c r="E63" s="294">
        <v>911400</v>
      </c>
    </row>
    <row r="64" spans="1:5" x14ac:dyDescent="0.2">
      <c r="A64" s="292" t="s">
        <v>1147</v>
      </c>
      <c r="B64" s="293" t="s">
        <v>1692</v>
      </c>
      <c r="C64" s="293" t="s">
        <v>140</v>
      </c>
      <c r="D64" s="293" t="s">
        <v>1148</v>
      </c>
      <c r="E64" s="294">
        <v>911400</v>
      </c>
    </row>
    <row r="65" spans="1:5" ht="25.5" x14ac:dyDescent="0.2">
      <c r="A65" s="292" t="s">
        <v>1510</v>
      </c>
      <c r="B65" s="293" t="s">
        <v>1692</v>
      </c>
      <c r="C65" s="293" t="s">
        <v>1511</v>
      </c>
      <c r="D65" s="293" t="s">
        <v>1314</v>
      </c>
      <c r="E65" s="294">
        <v>500000</v>
      </c>
    </row>
    <row r="66" spans="1:5" x14ac:dyDescent="0.2">
      <c r="A66" s="292" t="s">
        <v>1340</v>
      </c>
      <c r="B66" s="293" t="s">
        <v>1692</v>
      </c>
      <c r="C66" s="293" t="s">
        <v>1341</v>
      </c>
      <c r="D66" s="293" t="s">
        <v>1314</v>
      </c>
      <c r="E66" s="294">
        <v>500000</v>
      </c>
    </row>
    <row r="67" spans="1:5" x14ac:dyDescent="0.2">
      <c r="A67" s="292" t="s">
        <v>147</v>
      </c>
      <c r="B67" s="293" t="s">
        <v>1692</v>
      </c>
      <c r="C67" s="293" t="s">
        <v>1341</v>
      </c>
      <c r="D67" s="293" t="s">
        <v>1220</v>
      </c>
      <c r="E67" s="294">
        <v>500000</v>
      </c>
    </row>
    <row r="68" spans="1:5" x14ac:dyDescent="0.2">
      <c r="A68" s="292" t="s">
        <v>1147</v>
      </c>
      <c r="B68" s="293" t="s">
        <v>1692</v>
      </c>
      <c r="C68" s="293" t="s">
        <v>1341</v>
      </c>
      <c r="D68" s="293" t="s">
        <v>1148</v>
      </c>
      <c r="E68" s="294">
        <v>500000</v>
      </c>
    </row>
    <row r="69" spans="1:5" ht="102" x14ac:dyDescent="0.2">
      <c r="A69" s="292" t="s">
        <v>457</v>
      </c>
      <c r="B69" s="293" t="s">
        <v>824</v>
      </c>
      <c r="C69" s="293" t="s">
        <v>1314</v>
      </c>
      <c r="D69" s="293" t="s">
        <v>1314</v>
      </c>
      <c r="E69" s="294">
        <v>1008000</v>
      </c>
    </row>
    <row r="70" spans="1:5" ht="25.5" x14ac:dyDescent="0.2">
      <c r="A70" s="292" t="s">
        <v>1510</v>
      </c>
      <c r="B70" s="293" t="s">
        <v>824</v>
      </c>
      <c r="C70" s="293" t="s">
        <v>1511</v>
      </c>
      <c r="D70" s="293" t="s">
        <v>1314</v>
      </c>
      <c r="E70" s="294">
        <v>1008000</v>
      </c>
    </row>
    <row r="71" spans="1:5" x14ac:dyDescent="0.2">
      <c r="A71" s="292" t="s">
        <v>1340</v>
      </c>
      <c r="B71" s="293" t="s">
        <v>824</v>
      </c>
      <c r="C71" s="293" t="s">
        <v>1341</v>
      </c>
      <c r="D71" s="293" t="s">
        <v>1314</v>
      </c>
      <c r="E71" s="294">
        <v>1008000</v>
      </c>
    </row>
    <row r="72" spans="1:5" x14ac:dyDescent="0.2">
      <c r="A72" s="292" t="s">
        <v>147</v>
      </c>
      <c r="B72" s="293" t="s">
        <v>824</v>
      </c>
      <c r="C72" s="293" t="s">
        <v>1341</v>
      </c>
      <c r="D72" s="293" t="s">
        <v>1220</v>
      </c>
      <c r="E72" s="294">
        <v>1008000</v>
      </c>
    </row>
    <row r="73" spans="1:5" x14ac:dyDescent="0.2">
      <c r="A73" s="292" t="s">
        <v>1145</v>
      </c>
      <c r="B73" s="293" t="s">
        <v>824</v>
      </c>
      <c r="C73" s="293" t="s">
        <v>1341</v>
      </c>
      <c r="D73" s="293" t="s">
        <v>405</v>
      </c>
      <c r="E73" s="294">
        <v>1008000</v>
      </c>
    </row>
    <row r="74" spans="1:5" ht="127.5" x14ac:dyDescent="0.2">
      <c r="A74" s="292" t="s">
        <v>619</v>
      </c>
      <c r="B74" s="293" t="s">
        <v>800</v>
      </c>
      <c r="C74" s="293" t="s">
        <v>1314</v>
      </c>
      <c r="D74" s="293" t="s">
        <v>1314</v>
      </c>
      <c r="E74" s="294">
        <v>43083180</v>
      </c>
    </row>
    <row r="75" spans="1:5" ht="51" x14ac:dyDescent="0.2">
      <c r="A75" s="292" t="s">
        <v>1501</v>
      </c>
      <c r="B75" s="293" t="s">
        <v>800</v>
      </c>
      <c r="C75" s="293" t="s">
        <v>290</v>
      </c>
      <c r="D75" s="293" t="s">
        <v>1314</v>
      </c>
      <c r="E75" s="294">
        <v>43083180</v>
      </c>
    </row>
    <row r="76" spans="1:5" x14ac:dyDescent="0.2">
      <c r="A76" s="292" t="s">
        <v>1331</v>
      </c>
      <c r="B76" s="293" t="s">
        <v>800</v>
      </c>
      <c r="C76" s="293" t="s">
        <v>140</v>
      </c>
      <c r="D76" s="293" t="s">
        <v>1314</v>
      </c>
      <c r="E76" s="294">
        <v>43083180</v>
      </c>
    </row>
    <row r="77" spans="1:5" x14ac:dyDescent="0.2">
      <c r="A77" s="292" t="s">
        <v>147</v>
      </c>
      <c r="B77" s="293" t="s">
        <v>800</v>
      </c>
      <c r="C77" s="293" t="s">
        <v>140</v>
      </c>
      <c r="D77" s="293" t="s">
        <v>1220</v>
      </c>
      <c r="E77" s="294">
        <v>43083180</v>
      </c>
    </row>
    <row r="78" spans="1:5" x14ac:dyDescent="0.2">
      <c r="A78" s="292" t="s">
        <v>159</v>
      </c>
      <c r="B78" s="293" t="s">
        <v>800</v>
      </c>
      <c r="C78" s="293" t="s">
        <v>140</v>
      </c>
      <c r="D78" s="293" t="s">
        <v>448</v>
      </c>
      <c r="E78" s="294">
        <v>43083180</v>
      </c>
    </row>
    <row r="79" spans="1:5" ht="140.25" x14ac:dyDescent="0.2">
      <c r="A79" s="292" t="s">
        <v>455</v>
      </c>
      <c r="B79" s="293" t="s">
        <v>808</v>
      </c>
      <c r="C79" s="293" t="s">
        <v>1314</v>
      </c>
      <c r="D79" s="293" t="s">
        <v>1314</v>
      </c>
      <c r="E79" s="294">
        <v>56398100</v>
      </c>
    </row>
    <row r="80" spans="1:5" ht="51" x14ac:dyDescent="0.2">
      <c r="A80" s="292" t="s">
        <v>1501</v>
      </c>
      <c r="B80" s="293" t="s">
        <v>808</v>
      </c>
      <c r="C80" s="293" t="s">
        <v>290</v>
      </c>
      <c r="D80" s="293" t="s">
        <v>1314</v>
      </c>
      <c r="E80" s="294">
        <v>56398100</v>
      </c>
    </row>
    <row r="81" spans="1:5" x14ac:dyDescent="0.2">
      <c r="A81" s="292" t="s">
        <v>1331</v>
      </c>
      <c r="B81" s="293" t="s">
        <v>808</v>
      </c>
      <c r="C81" s="293" t="s">
        <v>140</v>
      </c>
      <c r="D81" s="293" t="s">
        <v>1314</v>
      </c>
      <c r="E81" s="294">
        <v>56398100</v>
      </c>
    </row>
    <row r="82" spans="1:5" x14ac:dyDescent="0.2">
      <c r="A82" s="292" t="s">
        <v>147</v>
      </c>
      <c r="B82" s="293" t="s">
        <v>808</v>
      </c>
      <c r="C82" s="293" t="s">
        <v>140</v>
      </c>
      <c r="D82" s="293" t="s">
        <v>1220</v>
      </c>
      <c r="E82" s="294">
        <v>56398100</v>
      </c>
    </row>
    <row r="83" spans="1:5" x14ac:dyDescent="0.2">
      <c r="A83" s="292" t="s">
        <v>160</v>
      </c>
      <c r="B83" s="293" t="s">
        <v>808</v>
      </c>
      <c r="C83" s="293" t="s">
        <v>140</v>
      </c>
      <c r="D83" s="293" t="s">
        <v>435</v>
      </c>
      <c r="E83" s="294">
        <v>56398100</v>
      </c>
    </row>
    <row r="84" spans="1:5" ht="127.5" x14ac:dyDescent="0.2">
      <c r="A84" s="292" t="s">
        <v>623</v>
      </c>
      <c r="B84" s="293" t="s">
        <v>812</v>
      </c>
      <c r="C84" s="293" t="s">
        <v>1314</v>
      </c>
      <c r="D84" s="293" t="s">
        <v>1314</v>
      </c>
      <c r="E84" s="294">
        <v>3653000</v>
      </c>
    </row>
    <row r="85" spans="1:5" ht="51" x14ac:dyDescent="0.2">
      <c r="A85" s="292" t="s">
        <v>1501</v>
      </c>
      <c r="B85" s="293" t="s">
        <v>812</v>
      </c>
      <c r="C85" s="293" t="s">
        <v>290</v>
      </c>
      <c r="D85" s="293" t="s">
        <v>1314</v>
      </c>
      <c r="E85" s="294">
        <v>1953000</v>
      </c>
    </row>
    <row r="86" spans="1:5" x14ac:dyDescent="0.2">
      <c r="A86" s="292" t="s">
        <v>1331</v>
      </c>
      <c r="B86" s="293" t="s">
        <v>812</v>
      </c>
      <c r="C86" s="293" t="s">
        <v>140</v>
      </c>
      <c r="D86" s="293" t="s">
        <v>1314</v>
      </c>
      <c r="E86" s="294">
        <v>1953000</v>
      </c>
    </row>
    <row r="87" spans="1:5" x14ac:dyDescent="0.2">
      <c r="A87" s="292" t="s">
        <v>147</v>
      </c>
      <c r="B87" s="293" t="s">
        <v>812</v>
      </c>
      <c r="C87" s="293" t="s">
        <v>140</v>
      </c>
      <c r="D87" s="293" t="s">
        <v>1220</v>
      </c>
      <c r="E87" s="294">
        <v>1953000</v>
      </c>
    </row>
    <row r="88" spans="1:5" x14ac:dyDescent="0.2">
      <c r="A88" s="292" t="s">
        <v>1147</v>
      </c>
      <c r="B88" s="293" t="s">
        <v>812</v>
      </c>
      <c r="C88" s="293" t="s">
        <v>140</v>
      </c>
      <c r="D88" s="293" t="s">
        <v>1148</v>
      </c>
      <c r="E88" s="294">
        <v>1953000</v>
      </c>
    </row>
    <row r="89" spans="1:5" ht="25.5" x14ac:dyDescent="0.2">
      <c r="A89" s="292" t="s">
        <v>1510</v>
      </c>
      <c r="B89" s="293" t="s">
        <v>812</v>
      </c>
      <c r="C89" s="293" t="s">
        <v>1511</v>
      </c>
      <c r="D89" s="293" t="s">
        <v>1314</v>
      </c>
      <c r="E89" s="294">
        <v>1700000</v>
      </c>
    </row>
    <row r="90" spans="1:5" x14ac:dyDescent="0.2">
      <c r="A90" s="292" t="s">
        <v>1340</v>
      </c>
      <c r="B90" s="293" t="s">
        <v>812</v>
      </c>
      <c r="C90" s="293" t="s">
        <v>1341</v>
      </c>
      <c r="D90" s="293" t="s">
        <v>1314</v>
      </c>
      <c r="E90" s="294">
        <v>1700000</v>
      </c>
    </row>
    <row r="91" spans="1:5" x14ac:dyDescent="0.2">
      <c r="A91" s="292" t="s">
        <v>147</v>
      </c>
      <c r="B91" s="293" t="s">
        <v>812</v>
      </c>
      <c r="C91" s="293" t="s">
        <v>1341</v>
      </c>
      <c r="D91" s="293" t="s">
        <v>1220</v>
      </c>
      <c r="E91" s="294">
        <v>1700000</v>
      </c>
    </row>
    <row r="92" spans="1:5" x14ac:dyDescent="0.2">
      <c r="A92" s="292" t="s">
        <v>1147</v>
      </c>
      <c r="B92" s="293" t="s">
        <v>812</v>
      </c>
      <c r="C92" s="293" t="s">
        <v>1341</v>
      </c>
      <c r="D92" s="293" t="s">
        <v>1148</v>
      </c>
      <c r="E92" s="294">
        <v>1700000</v>
      </c>
    </row>
    <row r="93" spans="1:5" ht="140.25" x14ac:dyDescent="0.2">
      <c r="A93" s="292" t="s">
        <v>458</v>
      </c>
      <c r="B93" s="293" t="s">
        <v>825</v>
      </c>
      <c r="C93" s="293" t="s">
        <v>1314</v>
      </c>
      <c r="D93" s="293" t="s">
        <v>1314</v>
      </c>
      <c r="E93" s="294">
        <v>850000</v>
      </c>
    </row>
    <row r="94" spans="1:5" ht="25.5" x14ac:dyDescent="0.2">
      <c r="A94" s="292" t="s">
        <v>1510</v>
      </c>
      <c r="B94" s="293" t="s">
        <v>825</v>
      </c>
      <c r="C94" s="293" t="s">
        <v>1511</v>
      </c>
      <c r="D94" s="293" t="s">
        <v>1314</v>
      </c>
      <c r="E94" s="294">
        <v>850000</v>
      </c>
    </row>
    <row r="95" spans="1:5" x14ac:dyDescent="0.2">
      <c r="A95" s="292" t="s">
        <v>1340</v>
      </c>
      <c r="B95" s="293" t="s">
        <v>825</v>
      </c>
      <c r="C95" s="293" t="s">
        <v>1341</v>
      </c>
      <c r="D95" s="293" t="s">
        <v>1314</v>
      </c>
      <c r="E95" s="294">
        <v>850000</v>
      </c>
    </row>
    <row r="96" spans="1:5" x14ac:dyDescent="0.2">
      <c r="A96" s="292" t="s">
        <v>147</v>
      </c>
      <c r="B96" s="293" t="s">
        <v>825</v>
      </c>
      <c r="C96" s="293" t="s">
        <v>1341</v>
      </c>
      <c r="D96" s="293" t="s">
        <v>1220</v>
      </c>
      <c r="E96" s="294">
        <v>850000</v>
      </c>
    </row>
    <row r="97" spans="1:5" x14ac:dyDescent="0.2">
      <c r="A97" s="292" t="s">
        <v>1145</v>
      </c>
      <c r="B97" s="293" t="s">
        <v>825</v>
      </c>
      <c r="C97" s="293" t="s">
        <v>1341</v>
      </c>
      <c r="D97" s="293" t="s">
        <v>405</v>
      </c>
      <c r="E97" s="294">
        <v>850000</v>
      </c>
    </row>
    <row r="98" spans="1:5" ht="114.75" x14ac:dyDescent="0.2">
      <c r="A98" s="292" t="s">
        <v>572</v>
      </c>
      <c r="B98" s="293" t="s">
        <v>814</v>
      </c>
      <c r="C98" s="293" t="s">
        <v>1314</v>
      </c>
      <c r="D98" s="293" t="s">
        <v>1314</v>
      </c>
      <c r="E98" s="294">
        <v>2608000</v>
      </c>
    </row>
    <row r="99" spans="1:5" ht="51" x14ac:dyDescent="0.2">
      <c r="A99" s="292" t="s">
        <v>1501</v>
      </c>
      <c r="B99" s="293" t="s">
        <v>814</v>
      </c>
      <c r="C99" s="293" t="s">
        <v>290</v>
      </c>
      <c r="D99" s="293" t="s">
        <v>1314</v>
      </c>
      <c r="E99" s="294">
        <v>798000</v>
      </c>
    </row>
    <row r="100" spans="1:5" x14ac:dyDescent="0.2">
      <c r="A100" s="292" t="s">
        <v>1331</v>
      </c>
      <c r="B100" s="293" t="s">
        <v>814</v>
      </c>
      <c r="C100" s="293" t="s">
        <v>140</v>
      </c>
      <c r="D100" s="293" t="s">
        <v>1314</v>
      </c>
      <c r="E100" s="294">
        <v>798000</v>
      </c>
    </row>
    <row r="101" spans="1:5" x14ac:dyDescent="0.2">
      <c r="A101" s="292" t="s">
        <v>147</v>
      </c>
      <c r="B101" s="293" t="s">
        <v>814</v>
      </c>
      <c r="C101" s="293" t="s">
        <v>140</v>
      </c>
      <c r="D101" s="293" t="s">
        <v>1220</v>
      </c>
      <c r="E101" s="294">
        <v>798000</v>
      </c>
    </row>
    <row r="102" spans="1:5" x14ac:dyDescent="0.2">
      <c r="A102" s="292" t="s">
        <v>160</v>
      </c>
      <c r="B102" s="293" t="s">
        <v>814</v>
      </c>
      <c r="C102" s="293" t="s">
        <v>140</v>
      </c>
      <c r="D102" s="293" t="s">
        <v>435</v>
      </c>
      <c r="E102" s="294">
        <v>798000</v>
      </c>
    </row>
    <row r="103" spans="1:5" ht="25.5" x14ac:dyDescent="0.2">
      <c r="A103" s="292" t="s">
        <v>1502</v>
      </c>
      <c r="B103" s="293" t="s">
        <v>814</v>
      </c>
      <c r="C103" s="293" t="s">
        <v>1503</v>
      </c>
      <c r="D103" s="293" t="s">
        <v>1314</v>
      </c>
      <c r="E103" s="294">
        <v>1810000</v>
      </c>
    </row>
    <row r="104" spans="1:5" ht="25.5" x14ac:dyDescent="0.2">
      <c r="A104" s="292" t="s">
        <v>1338</v>
      </c>
      <c r="B104" s="293" t="s">
        <v>814</v>
      </c>
      <c r="C104" s="293" t="s">
        <v>1339</v>
      </c>
      <c r="D104" s="293" t="s">
        <v>1314</v>
      </c>
      <c r="E104" s="294">
        <v>1810000</v>
      </c>
    </row>
    <row r="105" spans="1:5" x14ac:dyDescent="0.2">
      <c r="A105" s="292" t="s">
        <v>147</v>
      </c>
      <c r="B105" s="293" t="s">
        <v>814</v>
      </c>
      <c r="C105" s="293" t="s">
        <v>1339</v>
      </c>
      <c r="D105" s="293" t="s">
        <v>1220</v>
      </c>
      <c r="E105" s="294">
        <v>1810000</v>
      </c>
    </row>
    <row r="106" spans="1:5" x14ac:dyDescent="0.2">
      <c r="A106" s="292" t="s">
        <v>160</v>
      </c>
      <c r="B106" s="293" t="s">
        <v>814</v>
      </c>
      <c r="C106" s="293" t="s">
        <v>1339</v>
      </c>
      <c r="D106" s="293" t="s">
        <v>435</v>
      </c>
      <c r="E106" s="294">
        <v>1810000</v>
      </c>
    </row>
    <row r="107" spans="1:5" ht="114.75" x14ac:dyDescent="0.2">
      <c r="A107" s="292" t="s">
        <v>624</v>
      </c>
      <c r="B107" s="293" t="s">
        <v>813</v>
      </c>
      <c r="C107" s="293" t="s">
        <v>1314</v>
      </c>
      <c r="D107" s="293" t="s">
        <v>1314</v>
      </c>
      <c r="E107" s="294">
        <v>78700</v>
      </c>
    </row>
    <row r="108" spans="1:5" ht="51" x14ac:dyDescent="0.2">
      <c r="A108" s="292" t="s">
        <v>1501</v>
      </c>
      <c r="B108" s="293" t="s">
        <v>813</v>
      </c>
      <c r="C108" s="293" t="s">
        <v>290</v>
      </c>
      <c r="D108" s="293" t="s">
        <v>1314</v>
      </c>
      <c r="E108" s="294">
        <v>23500</v>
      </c>
    </row>
    <row r="109" spans="1:5" x14ac:dyDescent="0.2">
      <c r="A109" s="292" t="s">
        <v>1331</v>
      </c>
      <c r="B109" s="293" t="s">
        <v>813</v>
      </c>
      <c r="C109" s="293" t="s">
        <v>140</v>
      </c>
      <c r="D109" s="293" t="s">
        <v>1314</v>
      </c>
      <c r="E109" s="294">
        <v>23500</v>
      </c>
    </row>
    <row r="110" spans="1:5" x14ac:dyDescent="0.2">
      <c r="A110" s="292" t="s">
        <v>147</v>
      </c>
      <c r="B110" s="293" t="s">
        <v>813</v>
      </c>
      <c r="C110" s="293" t="s">
        <v>140</v>
      </c>
      <c r="D110" s="293" t="s">
        <v>1220</v>
      </c>
      <c r="E110" s="294">
        <v>23500</v>
      </c>
    </row>
    <row r="111" spans="1:5" x14ac:dyDescent="0.2">
      <c r="A111" s="292" t="s">
        <v>1147</v>
      </c>
      <c r="B111" s="293" t="s">
        <v>813</v>
      </c>
      <c r="C111" s="293" t="s">
        <v>140</v>
      </c>
      <c r="D111" s="293" t="s">
        <v>1148</v>
      </c>
      <c r="E111" s="294">
        <v>23500</v>
      </c>
    </row>
    <row r="112" spans="1:5" ht="25.5" x14ac:dyDescent="0.2">
      <c r="A112" s="292" t="s">
        <v>1510</v>
      </c>
      <c r="B112" s="293" t="s">
        <v>813</v>
      </c>
      <c r="C112" s="293" t="s">
        <v>1511</v>
      </c>
      <c r="D112" s="293" t="s">
        <v>1314</v>
      </c>
      <c r="E112" s="294">
        <v>55200</v>
      </c>
    </row>
    <row r="113" spans="1:5" x14ac:dyDescent="0.2">
      <c r="A113" s="292" t="s">
        <v>1340</v>
      </c>
      <c r="B113" s="293" t="s">
        <v>813</v>
      </c>
      <c r="C113" s="293" t="s">
        <v>1341</v>
      </c>
      <c r="D113" s="293" t="s">
        <v>1314</v>
      </c>
      <c r="E113" s="294">
        <v>55200</v>
      </c>
    </row>
    <row r="114" spans="1:5" x14ac:dyDescent="0.2">
      <c r="A114" s="292" t="s">
        <v>147</v>
      </c>
      <c r="B114" s="293" t="s">
        <v>813</v>
      </c>
      <c r="C114" s="293" t="s">
        <v>1341</v>
      </c>
      <c r="D114" s="293" t="s">
        <v>1220</v>
      </c>
      <c r="E114" s="294">
        <v>55200</v>
      </c>
    </row>
    <row r="115" spans="1:5" x14ac:dyDescent="0.2">
      <c r="A115" s="292" t="s">
        <v>1147</v>
      </c>
      <c r="B115" s="293" t="s">
        <v>813</v>
      </c>
      <c r="C115" s="293" t="s">
        <v>1341</v>
      </c>
      <c r="D115" s="293" t="s">
        <v>1148</v>
      </c>
      <c r="E115" s="294">
        <v>55200</v>
      </c>
    </row>
    <row r="116" spans="1:5" ht="102" x14ac:dyDescent="0.2">
      <c r="A116" s="292" t="s">
        <v>620</v>
      </c>
      <c r="B116" s="293" t="s">
        <v>801</v>
      </c>
      <c r="C116" s="293" t="s">
        <v>1314</v>
      </c>
      <c r="D116" s="293" t="s">
        <v>1314</v>
      </c>
      <c r="E116" s="294">
        <v>869000</v>
      </c>
    </row>
    <row r="117" spans="1:5" ht="51" x14ac:dyDescent="0.2">
      <c r="A117" s="292" t="s">
        <v>1501</v>
      </c>
      <c r="B117" s="293" t="s">
        <v>801</v>
      </c>
      <c r="C117" s="293" t="s">
        <v>290</v>
      </c>
      <c r="D117" s="293" t="s">
        <v>1314</v>
      </c>
      <c r="E117" s="294">
        <v>869000</v>
      </c>
    </row>
    <row r="118" spans="1:5" x14ac:dyDescent="0.2">
      <c r="A118" s="292" t="s">
        <v>1331</v>
      </c>
      <c r="B118" s="293" t="s">
        <v>801</v>
      </c>
      <c r="C118" s="293" t="s">
        <v>140</v>
      </c>
      <c r="D118" s="293" t="s">
        <v>1314</v>
      </c>
      <c r="E118" s="294">
        <v>869000</v>
      </c>
    </row>
    <row r="119" spans="1:5" x14ac:dyDescent="0.2">
      <c r="A119" s="292" t="s">
        <v>147</v>
      </c>
      <c r="B119" s="293" t="s">
        <v>801</v>
      </c>
      <c r="C119" s="293" t="s">
        <v>140</v>
      </c>
      <c r="D119" s="293" t="s">
        <v>1220</v>
      </c>
      <c r="E119" s="294">
        <v>869000</v>
      </c>
    </row>
    <row r="120" spans="1:5" x14ac:dyDescent="0.2">
      <c r="A120" s="292" t="s">
        <v>159</v>
      </c>
      <c r="B120" s="293" t="s">
        <v>801</v>
      </c>
      <c r="C120" s="293" t="s">
        <v>140</v>
      </c>
      <c r="D120" s="293" t="s">
        <v>448</v>
      </c>
      <c r="E120" s="294">
        <v>869000</v>
      </c>
    </row>
    <row r="121" spans="1:5" ht="102" x14ac:dyDescent="0.2">
      <c r="A121" s="292" t="s">
        <v>625</v>
      </c>
      <c r="B121" s="293" t="s">
        <v>809</v>
      </c>
      <c r="C121" s="293" t="s">
        <v>1314</v>
      </c>
      <c r="D121" s="293" t="s">
        <v>1314</v>
      </c>
      <c r="E121" s="294">
        <v>1020000</v>
      </c>
    </row>
    <row r="122" spans="1:5" ht="51" x14ac:dyDescent="0.2">
      <c r="A122" s="292" t="s">
        <v>1501</v>
      </c>
      <c r="B122" s="293" t="s">
        <v>809</v>
      </c>
      <c r="C122" s="293" t="s">
        <v>290</v>
      </c>
      <c r="D122" s="293" t="s">
        <v>1314</v>
      </c>
      <c r="E122" s="294">
        <v>1020000</v>
      </c>
    </row>
    <row r="123" spans="1:5" x14ac:dyDescent="0.2">
      <c r="A123" s="292" t="s">
        <v>1331</v>
      </c>
      <c r="B123" s="293" t="s">
        <v>809</v>
      </c>
      <c r="C123" s="293" t="s">
        <v>140</v>
      </c>
      <c r="D123" s="293" t="s">
        <v>1314</v>
      </c>
      <c r="E123" s="294">
        <v>1020000</v>
      </c>
    </row>
    <row r="124" spans="1:5" x14ac:dyDescent="0.2">
      <c r="A124" s="292" t="s">
        <v>147</v>
      </c>
      <c r="B124" s="293" t="s">
        <v>809</v>
      </c>
      <c r="C124" s="293" t="s">
        <v>140</v>
      </c>
      <c r="D124" s="293" t="s">
        <v>1220</v>
      </c>
      <c r="E124" s="294">
        <v>1020000</v>
      </c>
    </row>
    <row r="125" spans="1:5" x14ac:dyDescent="0.2">
      <c r="A125" s="292" t="s">
        <v>160</v>
      </c>
      <c r="B125" s="293" t="s">
        <v>809</v>
      </c>
      <c r="C125" s="293" t="s">
        <v>140</v>
      </c>
      <c r="D125" s="293" t="s">
        <v>435</v>
      </c>
      <c r="E125" s="294">
        <v>1020000</v>
      </c>
    </row>
    <row r="126" spans="1:5" ht="102" x14ac:dyDescent="0.2">
      <c r="A126" s="292" t="s">
        <v>626</v>
      </c>
      <c r="B126" s="293" t="s">
        <v>816</v>
      </c>
      <c r="C126" s="293" t="s">
        <v>1314</v>
      </c>
      <c r="D126" s="293" t="s">
        <v>1314</v>
      </c>
      <c r="E126" s="294">
        <v>310000</v>
      </c>
    </row>
    <row r="127" spans="1:5" ht="51" x14ac:dyDescent="0.2">
      <c r="A127" s="292" t="s">
        <v>1501</v>
      </c>
      <c r="B127" s="293" t="s">
        <v>816</v>
      </c>
      <c r="C127" s="293" t="s">
        <v>290</v>
      </c>
      <c r="D127" s="293" t="s">
        <v>1314</v>
      </c>
      <c r="E127" s="294">
        <v>150000</v>
      </c>
    </row>
    <row r="128" spans="1:5" x14ac:dyDescent="0.2">
      <c r="A128" s="292" t="s">
        <v>1331</v>
      </c>
      <c r="B128" s="293" t="s">
        <v>816</v>
      </c>
      <c r="C128" s="293" t="s">
        <v>140</v>
      </c>
      <c r="D128" s="293" t="s">
        <v>1314</v>
      </c>
      <c r="E128" s="294">
        <v>150000</v>
      </c>
    </row>
    <row r="129" spans="1:5" x14ac:dyDescent="0.2">
      <c r="A129" s="292" t="s">
        <v>147</v>
      </c>
      <c r="B129" s="293" t="s">
        <v>816</v>
      </c>
      <c r="C129" s="293" t="s">
        <v>140</v>
      </c>
      <c r="D129" s="293" t="s">
        <v>1220</v>
      </c>
      <c r="E129" s="294">
        <v>150000</v>
      </c>
    </row>
    <row r="130" spans="1:5" x14ac:dyDescent="0.2">
      <c r="A130" s="292" t="s">
        <v>1147</v>
      </c>
      <c r="B130" s="293" t="s">
        <v>816</v>
      </c>
      <c r="C130" s="293" t="s">
        <v>140</v>
      </c>
      <c r="D130" s="293" t="s">
        <v>1148</v>
      </c>
      <c r="E130" s="294">
        <v>150000</v>
      </c>
    </row>
    <row r="131" spans="1:5" ht="25.5" x14ac:dyDescent="0.2">
      <c r="A131" s="292" t="s">
        <v>1510</v>
      </c>
      <c r="B131" s="293" t="s">
        <v>816</v>
      </c>
      <c r="C131" s="293" t="s">
        <v>1511</v>
      </c>
      <c r="D131" s="293" t="s">
        <v>1314</v>
      </c>
      <c r="E131" s="294">
        <v>160000</v>
      </c>
    </row>
    <row r="132" spans="1:5" x14ac:dyDescent="0.2">
      <c r="A132" s="292" t="s">
        <v>1340</v>
      </c>
      <c r="B132" s="293" t="s">
        <v>816</v>
      </c>
      <c r="C132" s="293" t="s">
        <v>1341</v>
      </c>
      <c r="D132" s="293" t="s">
        <v>1314</v>
      </c>
      <c r="E132" s="294">
        <v>160000</v>
      </c>
    </row>
    <row r="133" spans="1:5" x14ac:dyDescent="0.2">
      <c r="A133" s="292" t="s">
        <v>147</v>
      </c>
      <c r="B133" s="293" t="s">
        <v>816</v>
      </c>
      <c r="C133" s="293" t="s">
        <v>1341</v>
      </c>
      <c r="D133" s="293" t="s">
        <v>1220</v>
      </c>
      <c r="E133" s="294">
        <v>160000</v>
      </c>
    </row>
    <row r="134" spans="1:5" x14ac:dyDescent="0.2">
      <c r="A134" s="292" t="s">
        <v>1147</v>
      </c>
      <c r="B134" s="293" t="s">
        <v>816</v>
      </c>
      <c r="C134" s="293" t="s">
        <v>1341</v>
      </c>
      <c r="D134" s="293" t="s">
        <v>1148</v>
      </c>
      <c r="E134" s="294">
        <v>160000</v>
      </c>
    </row>
    <row r="135" spans="1:5" ht="102" x14ac:dyDescent="0.2">
      <c r="A135" s="292" t="s">
        <v>826</v>
      </c>
      <c r="B135" s="293" t="s">
        <v>827</v>
      </c>
      <c r="C135" s="293" t="s">
        <v>1314</v>
      </c>
      <c r="D135" s="293" t="s">
        <v>1314</v>
      </c>
      <c r="E135" s="294">
        <v>93000</v>
      </c>
    </row>
    <row r="136" spans="1:5" ht="25.5" x14ac:dyDescent="0.2">
      <c r="A136" s="292" t="s">
        <v>1510</v>
      </c>
      <c r="B136" s="293" t="s">
        <v>827</v>
      </c>
      <c r="C136" s="293" t="s">
        <v>1511</v>
      </c>
      <c r="D136" s="293" t="s">
        <v>1314</v>
      </c>
      <c r="E136" s="294">
        <v>93000</v>
      </c>
    </row>
    <row r="137" spans="1:5" x14ac:dyDescent="0.2">
      <c r="A137" s="292" t="s">
        <v>1340</v>
      </c>
      <c r="B137" s="293" t="s">
        <v>827</v>
      </c>
      <c r="C137" s="293" t="s">
        <v>1341</v>
      </c>
      <c r="D137" s="293" t="s">
        <v>1314</v>
      </c>
      <c r="E137" s="294">
        <v>93000</v>
      </c>
    </row>
    <row r="138" spans="1:5" x14ac:dyDescent="0.2">
      <c r="A138" s="292" t="s">
        <v>147</v>
      </c>
      <c r="B138" s="293" t="s">
        <v>827</v>
      </c>
      <c r="C138" s="293" t="s">
        <v>1341</v>
      </c>
      <c r="D138" s="293" t="s">
        <v>1220</v>
      </c>
      <c r="E138" s="294">
        <v>93000</v>
      </c>
    </row>
    <row r="139" spans="1:5" x14ac:dyDescent="0.2">
      <c r="A139" s="292" t="s">
        <v>1145</v>
      </c>
      <c r="B139" s="293" t="s">
        <v>827</v>
      </c>
      <c r="C139" s="293" t="s">
        <v>1341</v>
      </c>
      <c r="D139" s="293" t="s">
        <v>405</v>
      </c>
      <c r="E139" s="294">
        <v>93000</v>
      </c>
    </row>
    <row r="140" spans="1:5" ht="102" x14ac:dyDescent="0.2">
      <c r="A140" s="292" t="s">
        <v>621</v>
      </c>
      <c r="B140" s="293" t="s">
        <v>802</v>
      </c>
      <c r="C140" s="293" t="s">
        <v>1314</v>
      </c>
      <c r="D140" s="293" t="s">
        <v>1314</v>
      </c>
      <c r="E140" s="294">
        <v>38244161</v>
      </c>
    </row>
    <row r="141" spans="1:5" ht="25.5" x14ac:dyDescent="0.2">
      <c r="A141" s="292" t="s">
        <v>1502</v>
      </c>
      <c r="B141" s="293" t="s">
        <v>802</v>
      </c>
      <c r="C141" s="293" t="s">
        <v>1503</v>
      </c>
      <c r="D141" s="293" t="s">
        <v>1314</v>
      </c>
      <c r="E141" s="294">
        <v>38244161</v>
      </c>
    </row>
    <row r="142" spans="1:5" ht="25.5" x14ac:dyDescent="0.2">
      <c r="A142" s="292" t="s">
        <v>1338</v>
      </c>
      <c r="B142" s="293" t="s">
        <v>802</v>
      </c>
      <c r="C142" s="293" t="s">
        <v>1339</v>
      </c>
      <c r="D142" s="293" t="s">
        <v>1314</v>
      </c>
      <c r="E142" s="294">
        <v>38244161</v>
      </c>
    </row>
    <row r="143" spans="1:5" x14ac:dyDescent="0.2">
      <c r="A143" s="292" t="s">
        <v>147</v>
      </c>
      <c r="B143" s="293" t="s">
        <v>802</v>
      </c>
      <c r="C143" s="293" t="s">
        <v>1339</v>
      </c>
      <c r="D143" s="293" t="s">
        <v>1220</v>
      </c>
      <c r="E143" s="294">
        <v>38244161</v>
      </c>
    </row>
    <row r="144" spans="1:5" x14ac:dyDescent="0.2">
      <c r="A144" s="292" t="s">
        <v>159</v>
      </c>
      <c r="B144" s="293" t="s">
        <v>802</v>
      </c>
      <c r="C144" s="293" t="s">
        <v>1339</v>
      </c>
      <c r="D144" s="293" t="s">
        <v>448</v>
      </c>
      <c r="E144" s="294">
        <v>38244161</v>
      </c>
    </row>
    <row r="145" spans="1:5" ht="114.75" x14ac:dyDescent="0.2">
      <c r="A145" s="292" t="s">
        <v>627</v>
      </c>
      <c r="B145" s="293" t="s">
        <v>810</v>
      </c>
      <c r="C145" s="293" t="s">
        <v>1314</v>
      </c>
      <c r="D145" s="293" t="s">
        <v>1314</v>
      </c>
      <c r="E145" s="294">
        <v>87977000</v>
      </c>
    </row>
    <row r="146" spans="1:5" ht="25.5" x14ac:dyDescent="0.2">
      <c r="A146" s="292" t="s">
        <v>1502</v>
      </c>
      <c r="B146" s="293" t="s">
        <v>810</v>
      </c>
      <c r="C146" s="293" t="s">
        <v>1503</v>
      </c>
      <c r="D146" s="293" t="s">
        <v>1314</v>
      </c>
      <c r="E146" s="294">
        <v>87977000</v>
      </c>
    </row>
    <row r="147" spans="1:5" ht="25.5" x14ac:dyDescent="0.2">
      <c r="A147" s="292" t="s">
        <v>1338</v>
      </c>
      <c r="B147" s="293" t="s">
        <v>810</v>
      </c>
      <c r="C147" s="293" t="s">
        <v>1339</v>
      </c>
      <c r="D147" s="293" t="s">
        <v>1314</v>
      </c>
      <c r="E147" s="294">
        <v>87977000</v>
      </c>
    </row>
    <row r="148" spans="1:5" x14ac:dyDescent="0.2">
      <c r="A148" s="292" t="s">
        <v>147</v>
      </c>
      <c r="B148" s="293" t="s">
        <v>810</v>
      </c>
      <c r="C148" s="293" t="s">
        <v>1339</v>
      </c>
      <c r="D148" s="293" t="s">
        <v>1220</v>
      </c>
      <c r="E148" s="294">
        <v>87977000</v>
      </c>
    </row>
    <row r="149" spans="1:5" x14ac:dyDescent="0.2">
      <c r="A149" s="292" t="s">
        <v>160</v>
      </c>
      <c r="B149" s="293" t="s">
        <v>810</v>
      </c>
      <c r="C149" s="293" t="s">
        <v>1339</v>
      </c>
      <c r="D149" s="293" t="s">
        <v>435</v>
      </c>
      <c r="E149" s="294">
        <v>87977000</v>
      </c>
    </row>
    <row r="150" spans="1:5" ht="102" x14ac:dyDescent="0.2">
      <c r="A150" s="292" t="s">
        <v>628</v>
      </c>
      <c r="B150" s="293" t="s">
        <v>817</v>
      </c>
      <c r="C150" s="293" t="s">
        <v>1314</v>
      </c>
      <c r="D150" s="293" t="s">
        <v>1314</v>
      </c>
      <c r="E150" s="294">
        <v>2608300</v>
      </c>
    </row>
    <row r="151" spans="1:5" ht="25.5" x14ac:dyDescent="0.2">
      <c r="A151" s="292" t="s">
        <v>1502</v>
      </c>
      <c r="B151" s="293" t="s">
        <v>817</v>
      </c>
      <c r="C151" s="293" t="s">
        <v>1503</v>
      </c>
      <c r="D151" s="293" t="s">
        <v>1314</v>
      </c>
      <c r="E151" s="294">
        <v>1232000</v>
      </c>
    </row>
    <row r="152" spans="1:5" ht="25.5" x14ac:dyDescent="0.2">
      <c r="A152" s="292" t="s">
        <v>1338</v>
      </c>
      <c r="B152" s="293" t="s">
        <v>817</v>
      </c>
      <c r="C152" s="293" t="s">
        <v>1339</v>
      </c>
      <c r="D152" s="293" t="s">
        <v>1314</v>
      </c>
      <c r="E152" s="294">
        <v>1232000</v>
      </c>
    </row>
    <row r="153" spans="1:5" x14ac:dyDescent="0.2">
      <c r="A153" s="292" t="s">
        <v>147</v>
      </c>
      <c r="B153" s="293" t="s">
        <v>817</v>
      </c>
      <c r="C153" s="293" t="s">
        <v>1339</v>
      </c>
      <c r="D153" s="293" t="s">
        <v>1220</v>
      </c>
      <c r="E153" s="294">
        <v>1232000</v>
      </c>
    </row>
    <row r="154" spans="1:5" x14ac:dyDescent="0.2">
      <c r="A154" s="292" t="s">
        <v>1147</v>
      </c>
      <c r="B154" s="293" t="s">
        <v>817</v>
      </c>
      <c r="C154" s="293" t="s">
        <v>1339</v>
      </c>
      <c r="D154" s="293" t="s">
        <v>1148</v>
      </c>
      <c r="E154" s="294">
        <v>1232000</v>
      </c>
    </row>
    <row r="155" spans="1:5" ht="25.5" x14ac:dyDescent="0.2">
      <c r="A155" s="292" t="s">
        <v>1510</v>
      </c>
      <c r="B155" s="293" t="s">
        <v>817</v>
      </c>
      <c r="C155" s="293" t="s">
        <v>1511</v>
      </c>
      <c r="D155" s="293" t="s">
        <v>1314</v>
      </c>
      <c r="E155" s="294">
        <v>1376300</v>
      </c>
    </row>
    <row r="156" spans="1:5" x14ac:dyDescent="0.2">
      <c r="A156" s="292" t="s">
        <v>1340</v>
      </c>
      <c r="B156" s="293" t="s">
        <v>817</v>
      </c>
      <c r="C156" s="293" t="s">
        <v>1341</v>
      </c>
      <c r="D156" s="293" t="s">
        <v>1314</v>
      </c>
      <c r="E156" s="294">
        <v>1376300</v>
      </c>
    </row>
    <row r="157" spans="1:5" x14ac:dyDescent="0.2">
      <c r="A157" s="292" t="s">
        <v>147</v>
      </c>
      <c r="B157" s="293" t="s">
        <v>817</v>
      </c>
      <c r="C157" s="293" t="s">
        <v>1341</v>
      </c>
      <c r="D157" s="293" t="s">
        <v>1220</v>
      </c>
      <c r="E157" s="294">
        <v>871400</v>
      </c>
    </row>
    <row r="158" spans="1:5" x14ac:dyDescent="0.2">
      <c r="A158" s="292" t="s">
        <v>1147</v>
      </c>
      <c r="B158" s="293" t="s">
        <v>817</v>
      </c>
      <c r="C158" s="293" t="s">
        <v>1341</v>
      </c>
      <c r="D158" s="293" t="s">
        <v>1148</v>
      </c>
      <c r="E158" s="294">
        <v>871400</v>
      </c>
    </row>
    <row r="159" spans="1:5" x14ac:dyDescent="0.2">
      <c r="A159" s="292" t="s">
        <v>265</v>
      </c>
      <c r="B159" s="293" t="s">
        <v>817</v>
      </c>
      <c r="C159" s="293" t="s">
        <v>1341</v>
      </c>
      <c r="D159" s="293" t="s">
        <v>1222</v>
      </c>
      <c r="E159" s="294">
        <v>504900</v>
      </c>
    </row>
    <row r="160" spans="1:5" x14ac:dyDescent="0.2">
      <c r="A160" s="292" t="s">
        <v>1384</v>
      </c>
      <c r="B160" s="293" t="s">
        <v>817</v>
      </c>
      <c r="C160" s="293" t="s">
        <v>1341</v>
      </c>
      <c r="D160" s="293" t="s">
        <v>1385</v>
      </c>
      <c r="E160" s="294">
        <v>504900</v>
      </c>
    </row>
    <row r="161" spans="1:5" ht="114.75" x14ac:dyDescent="0.2">
      <c r="A161" s="292" t="s">
        <v>1228</v>
      </c>
      <c r="B161" s="293" t="s">
        <v>1229</v>
      </c>
      <c r="C161" s="293" t="s">
        <v>1314</v>
      </c>
      <c r="D161" s="293" t="s">
        <v>1314</v>
      </c>
      <c r="E161" s="294">
        <v>102700</v>
      </c>
    </row>
    <row r="162" spans="1:5" ht="25.5" x14ac:dyDescent="0.2">
      <c r="A162" s="292" t="s">
        <v>1510</v>
      </c>
      <c r="B162" s="293" t="s">
        <v>1229</v>
      </c>
      <c r="C162" s="293" t="s">
        <v>1511</v>
      </c>
      <c r="D162" s="293" t="s">
        <v>1314</v>
      </c>
      <c r="E162" s="294">
        <v>102700</v>
      </c>
    </row>
    <row r="163" spans="1:5" x14ac:dyDescent="0.2">
      <c r="A163" s="292" t="s">
        <v>1340</v>
      </c>
      <c r="B163" s="293" t="s">
        <v>1229</v>
      </c>
      <c r="C163" s="293" t="s">
        <v>1341</v>
      </c>
      <c r="D163" s="293" t="s">
        <v>1314</v>
      </c>
      <c r="E163" s="294">
        <v>102700</v>
      </c>
    </row>
    <row r="164" spans="1:5" x14ac:dyDescent="0.2">
      <c r="A164" s="292" t="s">
        <v>147</v>
      </c>
      <c r="B164" s="293" t="s">
        <v>1229</v>
      </c>
      <c r="C164" s="293" t="s">
        <v>1341</v>
      </c>
      <c r="D164" s="293" t="s">
        <v>1220</v>
      </c>
      <c r="E164" s="294">
        <v>102700</v>
      </c>
    </row>
    <row r="165" spans="1:5" x14ac:dyDescent="0.2">
      <c r="A165" s="292" t="s">
        <v>1145</v>
      </c>
      <c r="B165" s="293" t="s">
        <v>1229</v>
      </c>
      <c r="C165" s="293" t="s">
        <v>1341</v>
      </c>
      <c r="D165" s="293" t="s">
        <v>405</v>
      </c>
      <c r="E165" s="294">
        <v>102700</v>
      </c>
    </row>
    <row r="166" spans="1:5" ht="89.25" x14ac:dyDescent="0.2">
      <c r="A166" s="292" t="s">
        <v>622</v>
      </c>
      <c r="B166" s="293" t="s">
        <v>803</v>
      </c>
      <c r="C166" s="293" t="s">
        <v>1314</v>
      </c>
      <c r="D166" s="293" t="s">
        <v>1314</v>
      </c>
      <c r="E166" s="294">
        <v>38590000</v>
      </c>
    </row>
    <row r="167" spans="1:5" ht="25.5" x14ac:dyDescent="0.2">
      <c r="A167" s="292" t="s">
        <v>1502</v>
      </c>
      <c r="B167" s="293" t="s">
        <v>803</v>
      </c>
      <c r="C167" s="293" t="s">
        <v>1503</v>
      </c>
      <c r="D167" s="293" t="s">
        <v>1314</v>
      </c>
      <c r="E167" s="294">
        <v>38590000</v>
      </c>
    </row>
    <row r="168" spans="1:5" ht="25.5" x14ac:dyDescent="0.2">
      <c r="A168" s="292" t="s">
        <v>1338</v>
      </c>
      <c r="B168" s="293" t="s">
        <v>803</v>
      </c>
      <c r="C168" s="293" t="s">
        <v>1339</v>
      </c>
      <c r="D168" s="293" t="s">
        <v>1314</v>
      </c>
      <c r="E168" s="294">
        <v>38590000</v>
      </c>
    </row>
    <row r="169" spans="1:5" x14ac:dyDescent="0.2">
      <c r="A169" s="292" t="s">
        <v>147</v>
      </c>
      <c r="B169" s="293" t="s">
        <v>803</v>
      </c>
      <c r="C169" s="293" t="s">
        <v>1339</v>
      </c>
      <c r="D169" s="293" t="s">
        <v>1220</v>
      </c>
      <c r="E169" s="294">
        <v>38590000</v>
      </c>
    </row>
    <row r="170" spans="1:5" x14ac:dyDescent="0.2">
      <c r="A170" s="292" t="s">
        <v>159</v>
      </c>
      <c r="B170" s="293" t="s">
        <v>803</v>
      </c>
      <c r="C170" s="293" t="s">
        <v>1339</v>
      </c>
      <c r="D170" s="293" t="s">
        <v>448</v>
      </c>
      <c r="E170" s="294">
        <v>38590000</v>
      </c>
    </row>
    <row r="171" spans="1:5" ht="102" x14ac:dyDescent="0.2">
      <c r="A171" s="292" t="s">
        <v>629</v>
      </c>
      <c r="B171" s="293" t="s">
        <v>815</v>
      </c>
      <c r="C171" s="293" t="s">
        <v>1314</v>
      </c>
      <c r="D171" s="293" t="s">
        <v>1314</v>
      </c>
      <c r="E171" s="294">
        <v>5400000</v>
      </c>
    </row>
    <row r="172" spans="1:5" ht="25.5" x14ac:dyDescent="0.2">
      <c r="A172" s="292" t="s">
        <v>1502</v>
      </c>
      <c r="B172" s="293" t="s">
        <v>815</v>
      </c>
      <c r="C172" s="293" t="s">
        <v>1503</v>
      </c>
      <c r="D172" s="293" t="s">
        <v>1314</v>
      </c>
      <c r="E172" s="294">
        <v>5400000</v>
      </c>
    </row>
    <row r="173" spans="1:5" ht="25.5" x14ac:dyDescent="0.2">
      <c r="A173" s="292" t="s">
        <v>1338</v>
      </c>
      <c r="B173" s="293" t="s">
        <v>815</v>
      </c>
      <c r="C173" s="293" t="s">
        <v>1339</v>
      </c>
      <c r="D173" s="293" t="s">
        <v>1314</v>
      </c>
      <c r="E173" s="294">
        <v>5400000</v>
      </c>
    </row>
    <row r="174" spans="1:5" x14ac:dyDescent="0.2">
      <c r="A174" s="292" t="s">
        <v>147</v>
      </c>
      <c r="B174" s="293" t="s">
        <v>815</v>
      </c>
      <c r="C174" s="293" t="s">
        <v>1339</v>
      </c>
      <c r="D174" s="293" t="s">
        <v>1220</v>
      </c>
      <c r="E174" s="294">
        <v>5400000</v>
      </c>
    </row>
    <row r="175" spans="1:5" x14ac:dyDescent="0.2">
      <c r="A175" s="292" t="s">
        <v>160</v>
      </c>
      <c r="B175" s="293" t="s">
        <v>815</v>
      </c>
      <c r="C175" s="293" t="s">
        <v>1339</v>
      </c>
      <c r="D175" s="293" t="s">
        <v>435</v>
      </c>
      <c r="E175" s="294">
        <v>5400000</v>
      </c>
    </row>
    <row r="176" spans="1:5" ht="89.25" x14ac:dyDescent="0.2">
      <c r="A176" s="292" t="s">
        <v>1022</v>
      </c>
      <c r="B176" s="293" t="s">
        <v>1023</v>
      </c>
      <c r="C176" s="293" t="s">
        <v>1314</v>
      </c>
      <c r="D176" s="293" t="s">
        <v>1314</v>
      </c>
      <c r="E176" s="294">
        <v>10067000</v>
      </c>
    </row>
    <row r="177" spans="1:5" ht="25.5" x14ac:dyDescent="0.2">
      <c r="A177" s="292" t="s">
        <v>1502</v>
      </c>
      <c r="B177" s="293" t="s">
        <v>1023</v>
      </c>
      <c r="C177" s="293" t="s">
        <v>1503</v>
      </c>
      <c r="D177" s="293" t="s">
        <v>1314</v>
      </c>
      <c r="E177" s="294">
        <v>10067000</v>
      </c>
    </row>
    <row r="178" spans="1:5" ht="25.5" x14ac:dyDescent="0.2">
      <c r="A178" s="292" t="s">
        <v>1338</v>
      </c>
      <c r="B178" s="293" t="s">
        <v>1023</v>
      </c>
      <c r="C178" s="293" t="s">
        <v>1339</v>
      </c>
      <c r="D178" s="293" t="s">
        <v>1314</v>
      </c>
      <c r="E178" s="294">
        <v>10067000</v>
      </c>
    </row>
    <row r="179" spans="1:5" x14ac:dyDescent="0.2">
      <c r="A179" s="292" t="s">
        <v>147</v>
      </c>
      <c r="B179" s="293" t="s">
        <v>1023</v>
      </c>
      <c r="C179" s="293" t="s">
        <v>1339</v>
      </c>
      <c r="D179" s="293" t="s">
        <v>1220</v>
      </c>
      <c r="E179" s="294">
        <v>10067000</v>
      </c>
    </row>
    <row r="180" spans="1:5" x14ac:dyDescent="0.2">
      <c r="A180" s="292" t="s">
        <v>159</v>
      </c>
      <c r="B180" s="293" t="s">
        <v>1023</v>
      </c>
      <c r="C180" s="293" t="s">
        <v>1339</v>
      </c>
      <c r="D180" s="293" t="s">
        <v>448</v>
      </c>
      <c r="E180" s="294">
        <v>10067000</v>
      </c>
    </row>
    <row r="181" spans="1:5" ht="102" x14ac:dyDescent="0.2">
      <c r="A181" s="292" t="s">
        <v>1024</v>
      </c>
      <c r="B181" s="293" t="s">
        <v>1025</v>
      </c>
      <c r="C181" s="293" t="s">
        <v>1314</v>
      </c>
      <c r="D181" s="293" t="s">
        <v>1314</v>
      </c>
      <c r="E181" s="294">
        <v>10340000</v>
      </c>
    </row>
    <row r="182" spans="1:5" ht="25.5" x14ac:dyDescent="0.2">
      <c r="A182" s="292" t="s">
        <v>1502</v>
      </c>
      <c r="B182" s="293" t="s">
        <v>1025</v>
      </c>
      <c r="C182" s="293" t="s">
        <v>1503</v>
      </c>
      <c r="D182" s="293" t="s">
        <v>1314</v>
      </c>
      <c r="E182" s="294">
        <v>10340000</v>
      </c>
    </row>
    <row r="183" spans="1:5" ht="25.5" x14ac:dyDescent="0.2">
      <c r="A183" s="292" t="s">
        <v>1338</v>
      </c>
      <c r="B183" s="293" t="s">
        <v>1025</v>
      </c>
      <c r="C183" s="293" t="s">
        <v>1339</v>
      </c>
      <c r="D183" s="293" t="s">
        <v>1314</v>
      </c>
      <c r="E183" s="294">
        <v>10340000</v>
      </c>
    </row>
    <row r="184" spans="1:5" x14ac:dyDescent="0.2">
      <c r="A184" s="292" t="s">
        <v>147</v>
      </c>
      <c r="B184" s="293" t="s">
        <v>1025</v>
      </c>
      <c r="C184" s="293" t="s">
        <v>1339</v>
      </c>
      <c r="D184" s="293" t="s">
        <v>1220</v>
      </c>
      <c r="E184" s="294">
        <v>10340000</v>
      </c>
    </row>
    <row r="185" spans="1:5" x14ac:dyDescent="0.2">
      <c r="A185" s="292" t="s">
        <v>160</v>
      </c>
      <c r="B185" s="293" t="s">
        <v>1025</v>
      </c>
      <c r="C185" s="293" t="s">
        <v>1339</v>
      </c>
      <c r="D185" s="293" t="s">
        <v>435</v>
      </c>
      <c r="E185" s="294">
        <v>10340000</v>
      </c>
    </row>
    <row r="186" spans="1:5" ht="89.25" x14ac:dyDescent="0.2">
      <c r="A186" s="292" t="s">
        <v>1026</v>
      </c>
      <c r="B186" s="293" t="s">
        <v>1027</v>
      </c>
      <c r="C186" s="293" t="s">
        <v>1314</v>
      </c>
      <c r="D186" s="293" t="s">
        <v>1314</v>
      </c>
      <c r="E186" s="294">
        <v>371500</v>
      </c>
    </row>
    <row r="187" spans="1:5" ht="25.5" x14ac:dyDescent="0.2">
      <c r="A187" s="292" t="s">
        <v>1502</v>
      </c>
      <c r="B187" s="293" t="s">
        <v>1027</v>
      </c>
      <c r="C187" s="293" t="s">
        <v>1503</v>
      </c>
      <c r="D187" s="293" t="s">
        <v>1314</v>
      </c>
      <c r="E187" s="294">
        <v>270000</v>
      </c>
    </row>
    <row r="188" spans="1:5" ht="25.5" x14ac:dyDescent="0.2">
      <c r="A188" s="292" t="s">
        <v>1338</v>
      </c>
      <c r="B188" s="293" t="s">
        <v>1027</v>
      </c>
      <c r="C188" s="293" t="s">
        <v>1339</v>
      </c>
      <c r="D188" s="293" t="s">
        <v>1314</v>
      </c>
      <c r="E188" s="294">
        <v>270000</v>
      </c>
    </row>
    <row r="189" spans="1:5" x14ac:dyDescent="0.2">
      <c r="A189" s="292" t="s">
        <v>147</v>
      </c>
      <c r="B189" s="293" t="s">
        <v>1027</v>
      </c>
      <c r="C189" s="293" t="s">
        <v>1339</v>
      </c>
      <c r="D189" s="293" t="s">
        <v>1220</v>
      </c>
      <c r="E189" s="294">
        <v>270000</v>
      </c>
    </row>
    <row r="190" spans="1:5" x14ac:dyDescent="0.2">
      <c r="A190" s="292" t="s">
        <v>1147</v>
      </c>
      <c r="B190" s="293" t="s">
        <v>1027</v>
      </c>
      <c r="C190" s="293" t="s">
        <v>1339</v>
      </c>
      <c r="D190" s="293" t="s">
        <v>1148</v>
      </c>
      <c r="E190" s="294">
        <v>270000</v>
      </c>
    </row>
    <row r="191" spans="1:5" ht="25.5" x14ac:dyDescent="0.2">
      <c r="A191" s="292" t="s">
        <v>1510</v>
      </c>
      <c r="B191" s="293" t="s">
        <v>1027</v>
      </c>
      <c r="C191" s="293" t="s">
        <v>1511</v>
      </c>
      <c r="D191" s="293" t="s">
        <v>1314</v>
      </c>
      <c r="E191" s="294">
        <v>101500</v>
      </c>
    </row>
    <row r="192" spans="1:5" x14ac:dyDescent="0.2">
      <c r="A192" s="292" t="s">
        <v>1340</v>
      </c>
      <c r="B192" s="293" t="s">
        <v>1027</v>
      </c>
      <c r="C192" s="293" t="s">
        <v>1341</v>
      </c>
      <c r="D192" s="293" t="s">
        <v>1314</v>
      </c>
      <c r="E192" s="294">
        <v>101500</v>
      </c>
    </row>
    <row r="193" spans="1:5" x14ac:dyDescent="0.2">
      <c r="A193" s="292" t="s">
        <v>147</v>
      </c>
      <c r="B193" s="293" t="s">
        <v>1027</v>
      </c>
      <c r="C193" s="293" t="s">
        <v>1341</v>
      </c>
      <c r="D193" s="293" t="s">
        <v>1220</v>
      </c>
      <c r="E193" s="294">
        <v>57500</v>
      </c>
    </row>
    <row r="194" spans="1:5" x14ac:dyDescent="0.2">
      <c r="A194" s="292" t="s">
        <v>1147</v>
      </c>
      <c r="B194" s="293" t="s">
        <v>1027</v>
      </c>
      <c r="C194" s="293" t="s">
        <v>1341</v>
      </c>
      <c r="D194" s="293" t="s">
        <v>1148</v>
      </c>
      <c r="E194" s="294">
        <v>57500</v>
      </c>
    </row>
    <row r="195" spans="1:5" x14ac:dyDescent="0.2">
      <c r="A195" s="292" t="s">
        <v>265</v>
      </c>
      <c r="B195" s="293" t="s">
        <v>1027</v>
      </c>
      <c r="C195" s="293" t="s">
        <v>1341</v>
      </c>
      <c r="D195" s="293" t="s">
        <v>1222</v>
      </c>
      <c r="E195" s="294">
        <v>44000</v>
      </c>
    </row>
    <row r="196" spans="1:5" x14ac:dyDescent="0.2">
      <c r="A196" s="292" t="s">
        <v>1384</v>
      </c>
      <c r="B196" s="293" t="s">
        <v>1027</v>
      </c>
      <c r="C196" s="293" t="s">
        <v>1341</v>
      </c>
      <c r="D196" s="293" t="s">
        <v>1385</v>
      </c>
      <c r="E196" s="294">
        <v>44000</v>
      </c>
    </row>
    <row r="197" spans="1:5" ht="102" x14ac:dyDescent="0.2">
      <c r="A197" s="292" t="s">
        <v>1230</v>
      </c>
      <c r="B197" s="293" t="s">
        <v>1231</v>
      </c>
      <c r="C197" s="293" t="s">
        <v>1314</v>
      </c>
      <c r="D197" s="293" t="s">
        <v>1314</v>
      </c>
      <c r="E197" s="294">
        <v>308700</v>
      </c>
    </row>
    <row r="198" spans="1:5" ht="25.5" x14ac:dyDescent="0.2">
      <c r="A198" s="292" t="s">
        <v>1510</v>
      </c>
      <c r="B198" s="293" t="s">
        <v>1231</v>
      </c>
      <c r="C198" s="293" t="s">
        <v>1511</v>
      </c>
      <c r="D198" s="293" t="s">
        <v>1314</v>
      </c>
      <c r="E198" s="294">
        <v>308700</v>
      </c>
    </row>
    <row r="199" spans="1:5" x14ac:dyDescent="0.2">
      <c r="A199" s="292" t="s">
        <v>1340</v>
      </c>
      <c r="B199" s="293" t="s">
        <v>1231</v>
      </c>
      <c r="C199" s="293" t="s">
        <v>1341</v>
      </c>
      <c r="D199" s="293" t="s">
        <v>1314</v>
      </c>
      <c r="E199" s="294">
        <v>308700</v>
      </c>
    </row>
    <row r="200" spans="1:5" x14ac:dyDescent="0.2">
      <c r="A200" s="292" t="s">
        <v>147</v>
      </c>
      <c r="B200" s="293" t="s">
        <v>1231</v>
      </c>
      <c r="C200" s="293" t="s">
        <v>1341</v>
      </c>
      <c r="D200" s="293" t="s">
        <v>1220</v>
      </c>
      <c r="E200" s="294">
        <v>308700</v>
      </c>
    </row>
    <row r="201" spans="1:5" x14ac:dyDescent="0.2">
      <c r="A201" s="292" t="s">
        <v>1145</v>
      </c>
      <c r="B201" s="293" t="s">
        <v>1231</v>
      </c>
      <c r="C201" s="293" t="s">
        <v>1341</v>
      </c>
      <c r="D201" s="293" t="s">
        <v>405</v>
      </c>
      <c r="E201" s="294">
        <v>308700</v>
      </c>
    </row>
    <row r="202" spans="1:5" ht="216.75" x14ac:dyDescent="0.2">
      <c r="A202" s="292" t="s">
        <v>1546</v>
      </c>
      <c r="B202" s="293" t="s">
        <v>798</v>
      </c>
      <c r="C202" s="293" t="s">
        <v>1314</v>
      </c>
      <c r="D202" s="293" t="s">
        <v>1314</v>
      </c>
      <c r="E202" s="294">
        <v>90281800</v>
      </c>
    </row>
    <row r="203" spans="1:5" ht="51" x14ac:dyDescent="0.2">
      <c r="A203" s="292" t="s">
        <v>1501</v>
      </c>
      <c r="B203" s="293" t="s">
        <v>798</v>
      </c>
      <c r="C203" s="293" t="s">
        <v>290</v>
      </c>
      <c r="D203" s="293" t="s">
        <v>1314</v>
      </c>
      <c r="E203" s="294">
        <v>80930950</v>
      </c>
    </row>
    <row r="204" spans="1:5" x14ac:dyDescent="0.2">
      <c r="A204" s="292" t="s">
        <v>1331</v>
      </c>
      <c r="B204" s="293" t="s">
        <v>798</v>
      </c>
      <c r="C204" s="293" t="s">
        <v>140</v>
      </c>
      <c r="D204" s="293" t="s">
        <v>1314</v>
      </c>
      <c r="E204" s="294">
        <v>80930950</v>
      </c>
    </row>
    <row r="205" spans="1:5" x14ac:dyDescent="0.2">
      <c r="A205" s="292" t="s">
        <v>147</v>
      </c>
      <c r="B205" s="293" t="s">
        <v>798</v>
      </c>
      <c r="C205" s="293" t="s">
        <v>140</v>
      </c>
      <c r="D205" s="293" t="s">
        <v>1220</v>
      </c>
      <c r="E205" s="294">
        <v>80930950</v>
      </c>
    </row>
    <row r="206" spans="1:5" x14ac:dyDescent="0.2">
      <c r="A206" s="292" t="s">
        <v>159</v>
      </c>
      <c r="B206" s="293" t="s">
        <v>798</v>
      </c>
      <c r="C206" s="293" t="s">
        <v>140</v>
      </c>
      <c r="D206" s="293" t="s">
        <v>448</v>
      </c>
      <c r="E206" s="294">
        <v>80930950</v>
      </c>
    </row>
    <row r="207" spans="1:5" ht="25.5" x14ac:dyDescent="0.2">
      <c r="A207" s="292" t="s">
        <v>1502</v>
      </c>
      <c r="B207" s="293" t="s">
        <v>798</v>
      </c>
      <c r="C207" s="293" t="s">
        <v>1503</v>
      </c>
      <c r="D207" s="293" t="s">
        <v>1314</v>
      </c>
      <c r="E207" s="294">
        <v>9350850</v>
      </c>
    </row>
    <row r="208" spans="1:5" ht="25.5" x14ac:dyDescent="0.2">
      <c r="A208" s="292" t="s">
        <v>1338</v>
      </c>
      <c r="B208" s="293" t="s">
        <v>798</v>
      </c>
      <c r="C208" s="293" t="s">
        <v>1339</v>
      </c>
      <c r="D208" s="293" t="s">
        <v>1314</v>
      </c>
      <c r="E208" s="294">
        <v>9350850</v>
      </c>
    </row>
    <row r="209" spans="1:5" x14ac:dyDescent="0.2">
      <c r="A209" s="292" t="s">
        <v>147</v>
      </c>
      <c r="B209" s="293" t="s">
        <v>798</v>
      </c>
      <c r="C209" s="293" t="s">
        <v>1339</v>
      </c>
      <c r="D209" s="293" t="s">
        <v>1220</v>
      </c>
      <c r="E209" s="294">
        <v>9350850</v>
      </c>
    </row>
    <row r="210" spans="1:5" x14ac:dyDescent="0.2">
      <c r="A210" s="292" t="s">
        <v>159</v>
      </c>
      <c r="B210" s="293" t="s">
        <v>798</v>
      </c>
      <c r="C210" s="293" t="s">
        <v>1339</v>
      </c>
      <c r="D210" s="293" t="s">
        <v>448</v>
      </c>
      <c r="E210" s="294">
        <v>9350850</v>
      </c>
    </row>
    <row r="211" spans="1:5" ht="229.5" x14ac:dyDescent="0.2">
      <c r="A211" s="292" t="s">
        <v>1548</v>
      </c>
      <c r="B211" s="293" t="s">
        <v>806</v>
      </c>
      <c r="C211" s="293" t="s">
        <v>1314</v>
      </c>
      <c r="D211" s="293" t="s">
        <v>1314</v>
      </c>
      <c r="E211" s="294">
        <v>91381800</v>
      </c>
    </row>
    <row r="212" spans="1:5" ht="51" x14ac:dyDescent="0.2">
      <c r="A212" s="292" t="s">
        <v>1501</v>
      </c>
      <c r="B212" s="293" t="s">
        <v>806</v>
      </c>
      <c r="C212" s="293" t="s">
        <v>290</v>
      </c>
      <c r="D212" s="293" t="s">
        <v>1314</v>
      </c>
      <c r="E212" s="294">
        <v>81585176</v>
      </c>
    </row>
    <row r="213" spans="1:5" x14ac:dyDescent="0.2">
      <c r="A213" s="292" t="s">
        <v>1331</v>
      </c>
      <c r="B213" s="293" t="s">
        <v>806</v>
      </c>
      <c r="C213" s="293" t="s">
        <v>140</v>
      </c>
      <c r="D213" s="293" t="s">
        <v>1314</v>
      </c>
      <c r="E213" s="294">
        <v>81585176</v>
      </c>
    </row>
    <row r="214" spans="1:5" x14ac:dyDescent="0.2">
      <c r="A214" s="292" t="s">
        <v>147</v>
      </c>
      <c r="B214" s="293" t="s">
        <v>806</v>
      </c>
      <c r="C214" s="293" t="s">
        <v>140</v>
      </c>
      <c r="D214" s="293" t="s">
        <v>1220</v>
      </c>
      <c r="E214" s="294">
        <v>81585176</v>
      </c>
    </row>
    <row r="215" spans="1:5" x14ac:dyDescent="0.2">
      <c r="A215" s="292" t="s">
        <v>160</v>
      </c>
      <c r="B215" s="293" t="s">
        <v>806</v>
      </c>
      <c r="C215" s="293" t="s">
        <v>140</v>
      </c>
      <c r="D215" s="293" t="s">
        <v>435</v>
      </c>
      <c r="E215" s="294">
        <v>81585176</v>
      </c>
    </row>
    <row r="216" spans="1:5" ht="25.5" x14ac:dyDescent="0.2">
      <c r="A216" s="292" t="s">
        <v>1502</v>
      </c>
      <c r="B216" s="293" t="s">
        <v>806</v>
      </c>
      <c r="C216" s="293" t="s">
        <v>1503</v>
      </c>
      <c r="D216" s="293" t="s">
        <v>1314</v>
      </c>
      <c r="E216" s="294">
        <v>9796624</v>
      </c>
    </row>
    <row r="217" spans="1:5" ht="25.5" x14ac:dyDescent="0.2">
      <c r="A217" s="292" t="s">
        <v>1338</v>
      </c>
      <c r="B217" s="293" t="s">
        <v>806</v>
      </c>
      <c r="C217" s="293" t="s">
        <v>1339</v>
      </c>
      <c r="D217" s="293" t="s">
        <v>1314</v>
      </c>
      <c r="E217" s="294">
        <v>9796624</v>
      </c>
    </row>
    <row r="218" spans="1:5" x14ac:dyDescent="0.2">
      <c r="A218" s="292" t="s">
        <v>147</v>
      </c>
      <c r="B218" s="293" t="s">
        <v>806</v>
      </c>
      <c r="C218" s="293" t="s">
        <v>1339</v>
      </c>
      <c r="D218" s="293" t="s">
        <v>1220</v>
      </c>
      <c r="E218" s="294">
        <v>9796624</v>
      </c>
    </row>
    <row r="219" spans="1:5" x14ac:dyDescent="0.2">
      <c r="A219" s="292" t="s">
        <v>160</v>
      </c>
      <c r="B219" s="293" t="s">
        <v>806</v>
      </c>
      <c r="C219" s="293" t="s">
        <v>1339</v>
      </c>
      <c r="D219" s="293" t="s">
        <v>435</v>
      </c>
      <c r="E219" s="294">
        <v>9796624</v>
      </c>
    </row>
    <row r="220" spans="1:5" ht="140.25" x14ac:dyDescent="0.2">
      <c r="A220" s="292" t="s">
        <v>1552</v>
      </c>
      <c r="B220" s="293" t="s">
        <v>842</v>
      </c>
      <c r="C220" s="293" t="s">
        <v>1314</v>
      </c>
      <c r="D220" s="293" t="s">
        <v>1314</v>
      </c>
      <c r="E220" s="294">
        <v>800300</v>
      </c>
    </row>
    <row r="221" spans="1:5" ht="25.5" x14ac:dyDescent="0.2">
      <c r="A221" s="292" t="s">
        <v>1502</v>
      </c>
      <c r="B221" s="293" t="s">
        <v>842</v>
      </c>
      <c r="C221" s="293" t="s">
        <v>1503</v>
      </c>
      <c r="D221" s="293" t="s">
        <v>1314</v>
      </c>
      <c r="E221" s="294">
        <v>800300</v>
      </c>
    </row>
    <row r="222" spans="1:5" ht="25.5" x14ac:dyDescent="0.2">
      <c r="A222" s="292" t="s">
        <v>1338</v>
      </c>
      <c r="B222" s="293" t="s">
        <v>842</v>
      </c>
      <c r="C222" s="293" t="s">
        <v>1339</v>
      </c>
      <c r="D222" s="293" t="s">
        <v>1314</v>
      </c>
      <c r="E222" s="294">
        <v>800300</v>
      </c>
    </row>
    <row r="223" spans="1:5" x14ac:dyDescent="0.2">
      <c r="A223" s="292" t="s">
        <v>148</v>
      </c>
      <c r="B223" s="293" t="s">
        <v>842</v>
      </c>
      <c r="C223" s="293" t="s">
        <v>1339</v>
      </c>
      <c r="D223" s="293" t="s">
        <v>1221</v>
      </c>
      <c r="E223" s="294">
        <v>800300</v>
      </c>
    </row>
    <row r="224" spans="1:5" x14ac:dyDescent="0.2">
      <c r="A224" s="292" t="s">
        <v>105</v>
      </c>
      <c r="B224" s="293" t="s">
        <v>842</v>
      </c>
      <c r="C224" s="293" t="s">
        <v>1339</v>
      </c>
      <c r="D224" s="293" t="s">
        <v>418</v>
      </c>
      <c r="E224" s="294">
        <v>800300</v>
      </c>
    </row>
    <row r="225" spans="1:5" ht="102" x14ac:dyDescent="0.2">
      <c r="A225" s="292" t="s">
        <v>1554</v>
      </c>
      <c r="B225" s="293" t="s">
        <v>844</v>
      </c>
      <c r="C225" s="293" t="s">
        <v>1314</v>
      </c>
      <c r="D225" s="293" t="s">
        <v>1314</v>
      </c>
      <c r="E225" s="294">
        <v>2956600</v>
      </c>
    </row>
    <row r="226" spans="1:5" ht="25.5" x14ac:dyDescent="0.2">
      <c r="A226" s="292" t="s">
        <v>1502</v>
      </c>
      <c r="B226" s="293" t="s">
        <v>844</v>
      </c>
      <c r="C226" s="293" t="s">
        <v>1503</v>
      </c>
      <c r="D226" s="293" t="s">
        <v>1314</v>
      </c>
      <c r="E226" s="294">
        <v>50000</v>
      </c>
    </row>
    <row r="227" spans="1:5" ht="25.5" x14ac:dyDescent="0.2">
      <c r="A227" s="292" t="s">
        <v>1338</v>
      </c>
      <c r="B227" s="293" t="s">
        <v>844</v>
      </c>
      <c r="C227" s="293" t="s">
        <v>1339</v>
      </c>
      <c r="D227" s="293" t="s">
        <v>1314</v>
      </c>
      <c r="E227" s="294">
        <v>50000</v>
      </c>
    </row>
    <row r="228" spans="1:5" x14ac:dyDescent="0.2">
      <c r="A228" s="292" t="s">
        <v>148</v>
      </c>
      <c r="B228" s="293" t="s">
        <v>844</v>
      </c>
      <c r="C228" s="293" t="s">
        <v>1339</v>
      </c>
      <c r="D228" s="293" t="s">
        <v>1221</v>
      </c>
      <c r="E228" s="294">
        <v>50000</v>
      </c>
    </row>
    <row r="229" spans="1:5" x14ac:dyDescent="0.2">
      <c r="A229" s="292" t="s">
        <v>19</v>
      </c>
      <c r="B229" s="293" t="s">
        <v>844</v>
      </c>
      <c r="C229" s="293" t="s">
        <v>1339</v>
      </c>
      <c r="D229" s="293" t="s">
        <v>463</v>
      </c>
      <c r="E229" s="294">
        <v>50000</v>
      </c>
    </row>
    <row r="230" spans="1:5" x14ac:dyDescent="0.2">
      <c r="A230" s="292" t="s">
        <v>1506</v>
      </c>
      <c r="B230" s="293" t="s">
        <v>844</v>
      </c>
      <c r="C230" s="293" t="s">
        <v>1507</v>
      </c>
      <c r="D230" s="293" t="s">
        <v>1314</v>
      </c>
      <c r="E230" s="294">
        <v>2906600</v>
      </c>
    </row>
    <row r="231" spans="1:5" ht="25.5" x14ac:dyDescent="0.2">
      <c r="A231" s="292" t="s">
        <v>1342</v>
      </c>
      <c r="B231" s="293" t="s">
        <v>844</v>
      </c>
      <c r="C231" s="293" t="s">
        <v>604</v>
      </c>
      <c r="D231" s="293" t="s">
        <v>1314</v>
      </c>
      <c r="E231" s="294">
        <v>2906600</v>
      </c>
    </row>
    <row r="232" spans="1:5" x14ac:dyDescent="0.2">
      <c r="A232" s="292" t="s">
        <v>148</v>
      </c>
      <c r="B232" s="293" t="s">
        <v>844</v>
      </c>
      <c r="C232" s="293" t="s">
        <v>604</v>
      </c>
      <c r="D232" s="293" t="s">
        <v>1221</v>
      </c>
      <c r="E232" s="294">
        <v>2906600</v>
      </c>
    </row>
    <row r="233" spans="1:5" x14ac:dyDescent="0.2">
      <c r="A233" s="292" t="s">
        <v>19</v>
      </c>
      <c r="B233" s="293" t="s">
        <v>844</v>
      </c>
      <c r="C233" s="293" t="s">
        <v>604</v>
      </c>
      <c r="D233" s="293" t="s">
        <v>463</v>
      </c>
      <c r="E233" s="294">
        <v>2906600</v>
      </c>
    </row>
    <row r="234" spans="1:5" ht="229.5" x14ac:dyDescent="0.2">
      <c r="A234" s="292" t="s">
        <v>1549</v>
      </c>
      <c r="B234" s="293" t="s">
        <v>804</v>
      </c>
      <c r="C234" s="293" t="s">
        <v>1314</v>
      </c>
      <c r="D234" s="293" t="s">
        <v>1314</v>
      </c>
      <c r="E234" s="294">
        <v>377883700</v>
      </c>
    </row>
    <row r="235" spans="1:5" ht="51" x14ac:dyDescent="0.2">
      <c r="A235" s="292" t="s">
        <v>1501</v>
      </c>
      <c r="B235" s="293" t="s">
        <v>804</v>
      </c>
      <c r="C235" s="293" t="s">
        <v>290</v>
      </c>
      <c r="D235" s="293" t="s">
        <v>1314</v>
      </c>
      <c r="E235" s="294">
        <v>338063097</v>
      </c>
    </row>
    <row r="236" spans="1:5" x14ac:dyDescent="0.2">
      <c r="A236" s="292" t="s">
        <v>1331</v>
      </c>
      <c r="B236" s="293" t="s">
        <v>804</v>
      </c>
      <c r="C236" s="293" t="s">
        <v>140</v>
      </c>
      <c r="D236" s="293" t="s">
        <v>1314</v>
      </c>
      <c r="E236" s="294">
        <v>338063097</v>
      </c>
    </row>
    <row r="237" spans="1:5" x14ac:dyDescent="0.2">
      <c r="A237" s="292" t="s">
        <v>147</v>
      </c>
      <c r="B237" s="293" t="s">
        <v>804</v>
      </c>
      <c r="C237" s="293" t="s">
        <v>140</v>
      </c>
      <c r="D237" s="293" t="s">
        <v>1220</v>
      </c>
      <c r="E237" s="294">
        <v>338063097</v>
      </c>
    </row>
    <row r="238" spans="1:5" x14ac:dyDescent="0.2">
      <c r="A238" s="292" t="s">
        <v>160</v>
      </c>
      <c r="B238" s="293" t="s">
        <v>804</v>
      </c>
      <c r="C238" s="293" t="s">
        <v>140</v>
      </c>
      <c r="D238" s="293" t="s">
        <v>435</v>
      </c>
      <c r="E238" s="294">
        <v>333355065</v>
      </c>
    </row>
    <row r="239" spans="1:5" x14ac:dyDescent="0.2">
      <c r="A239" s="292" t="s">
        <v>1147</v>
      </c>
      <c r="B239" s="293" t="s">
        <v>804</v>
      </c>
      <c r="C239" s="293" t="s">
        <v>140</v>
      </c>
      <c r="D239" s="293" t="s">
        <v>1148</v>
      </c>
      <c r="E239" s="294">
        <v>4708032</v>
      </c>
    </row>
    <row r="240" spans="1:5" ht="25.5" x14ac:dyDescent="0.2">
      <c r="A240" s="292" t="s">
        <v>1502</v>
      </c>
      <c r="B240" s="293" t="s">
        <v>804</v>
      </c>
      <c r="C240" s="293" t="s">
        <v>1503</v>
      </c>
      <c r="D240" s="293" t="s">
        <v>1314</v>
      </c>
      <c r="E240" s="294">
        <v>39820603</v>
      </c>
    </row>
    <row r="241" spans="1:5" ht="25.5" x14ac:dyDescent="0.2">
      <c r="A241" s="292" t="s">
        <v>1338</v>
      </c>
      <c r="B241" s="293" t="s">
        <v>804</v>
      </c>
      <c r="C241" s="293" t="s">
        <v>1339</v>
      </c>
      <c r="D241" s="293" t="s">
        <v>1314</v>
      </c>
      <c r="E241" s="294">
        <v>39820603</v>
      </c>
    </row>
    <row r="242" spans="1:5" x14ac:dyDescent="0.2">
      <c r="A242" s="292" t="s">
        <v>147</v>
      </c>
      <c r="B242" s="293" t="s">
        <v>804</v>
      </c>
      <c r="C242" s="293" t="s">
        <v>1339</v>
      </c>
      <c r="D242" s="293" t="s">
        <v>1220</v>
      </c>
      <c r="E242" s="294">
        <v>39820603</v>
      </c>
    </row>
    <row r="243" spans="1:5" x14ac:dyDescent="0.2">
      <c r="A243" s="292" t="s">
        <v>160</v>
      </c>
      <c r="B243" s="293" t="s">
        <v>804</v>
      </c>
      <c r="C243" s="293" t="s">
        <v>1339</v>
      </c>
      <c r="D243" s="293" t="s">
        <v>435</v>
      </c>
      <c r="E243" s="294">
        <v>33777114</v>
      </c>
    </row>
    <row r="244" spans="1:5" x14ac:dyDescent="0.2">
      <c r="A244" s="292" t="s">
        <v>1147</v>
      </c>
      <c r="B244" s="293" t="s">
        <v>804</v>
      </c>
      <c r="C244" s="293" t="s">
        <v>1339</v>
      </c>
      <c r="D244" s="293" t="s">
        <v>1148</v>
      </c>
      <c r="E244" s="294">
        <v>6043489</v>
      </c>
    </row>
    <row r="245" spans="1:5" ht="102" x14ac:dyDescent="0.2">
      <c r="A245" s="292" t="s">
        <v>1553</v>
      </c>
      <c r="B245" s="293" t="s">
        <v>843</v>
      </c>
      <c r="C245" s="293" t="s">
        <v>1314</v>
      </c>
      <c r="D245" s="293" t="s">
        <v>1314</v>
      </c>
      <c r="E245" s="294">
        <v>23806300</v>
      </c>
    </row>
    <row r="246" spans="1:5" ht="25.5" x14ac:dyDescent="0.2">
      <c r="A246" s="292" t="s">
        <v>1502</v>
      </c>
      <c r="B246" s="293" t="s">
        <v>843</v>
      </c>
      <c r="C246" s="293" t="s">
        <v>1503</v>
      </c>
      <c r="D246" s="293" t="s">
        <v>1314</v>
      </c>
      <c r="E246" s="294">
        <v>23123020</v>
      </c>
    </row>
    <row r="247" spans="1:5" ht="25.5" x14ac:dyDescent="0.2">
      <c r="A247" s="292" t="s">
        <v>1338</v>
      </c>
      <c r="B247" s="293" t="s">
        <v>843</v>
      </c>
      <c r="C247" s="293" t="s">
        <v>1339</v>
      </c>
      <c r="D247" s="293" t="s">
        <v>1314</v>
      </c>
      <c r="E247" s="294">
        <v>23123020</v>
      </c>
    </row>
    <row r="248" spans="1:5" x14ac:dyDescent="0.2">
      <c r="A248" s="292" t="s">
        <v>148</v>
      </c>
      <c r="B248" s="293" t="s">
        <v>843</v>
      </c>
      <c r="C248" s="293" t="s">
        <v>1339</v>
      </c>
      <c r="D248" s="293" t="s">
        <v>1221</v>
      </c>
      <c r="E248" s="294">
        <v>23123020</v>
      </c>
    </row>
    <row r="249" spans="1:5" x14ac:dyDescent="0.2">
      <c r="A249" s="292" t="s">
        <v>105</v>
      </c>
      <c r="B249" s="293" t="s">
        <v>843</v>
      </c>
      <c r="C249" s="293" t="s">
        <v>1339</v>
      </c>
      <c r="D249" s="293" t="s">
        <v>418</v>
      </c>
      <c r="E249" s="294">
        <v>23123020</v>
      </c>
    </row>
    <row r="250" spans="1:5" x14ac:dyDescent="0.2">
      <c r="A250" s="292" t="s">
        <v>1506</v>
      </c>
      <c r="B250" s="293" t="s">
        <v>843</v>
      </c>
      <c r="C250" s="293" t="s">
        <v>1507</v>
      </c>
      <c r="D250" s="293" t="s">
        <v>1314</v>
      </c>
      <c r="E250" s="294">
        <v>683280</v>
      </c>
    </row>
    <row r="251" spans="1:5" ht="25.5" x14ac:dyDescent="0.2">
      <c r="A251" s="292" t="s">
        <v>1342</v>
      </c>
      <c r="B251" s="293" t="s">
        <v>843</v>
      </c>
      <c r="C251" s="293" t="s">
        <v>604</v>
      </c>
      <c r="D251" s="293" t="s">
        <v>1314</v>
      </c>
      <c r="E251" s="294">
        <v>683280</v>
      </c>
    </row>
    <row r="252" spans="1:5" x14ac:dyDescent="0.2">
      <c r="A252" s="292" t="s">
        <v>148</v>
      </c>
      <c r="B252" s="293" t="s">
        <v>843</v>
      </c>
      <c r="C252" s="293" t="s">
        <v>604</v>
      </c>
      <c r="D252" s="293" t="s">
        <v>1221</v>
      </c>
      <c r="E252" s="294">
        <v>683280</v>
      </c>
    </row>
    <row r="253" spans="1:5" x14ac:dyDescent="0.2">
      <c r="A253" s="292" t="s">
        <v>105</v>
      </c>
      <c r="B253" s="293" t="s">
        <v>843</v>
      </c>
      <c r="C253" s="293" t="s">
        <v>604</v>
      </c>
      <c r="D253" s="293" t="s">
        <v>418</v>
      </c>
      <c r="E253" s="294">
        <v>683280</v>
      </c>
    </row>
    <row r="254" spans="1:5" ht="216.75" x14ac:dyDescent="0.2">
      <c r="A254" s="292" t="s">
        <v>1547</v>
      </c>
      <c r="B254" s="293" t="s">
        <v>796</v>
      </c>
      <c r="C254" s="293" t="s">
        <v>1314</v>
      </c>
      <c r="D254" s="293" t="s">
        <v>1314</v>
      </c>
      <c r="E254" s="294">
        <v>146440200</v>
      </c>
    </row>
    <row r="255" spans="1:5" ht="51" x14ac:dyDescent="0.2">
      <c r="A255" s="292" t="s">
        <v>1501</v>
      </c>
      <c r="B255" s="293" t="s">
        <v>796</v>
      </c>
      <c r="C255" s="293" t="s">
        <v>290</v>
      </c>
      <c r="D255" s="293" t="s">
        <v>1314</v>
      </c>
      <c r="E255" s="294">
        <v>122657620</v>
      </c>
    </row>
    <row r="256" spans="1:5" x14ac:dyDescent="0.2">
      <c r="A256" s="292" t="s">
        <v>1331</v>
      </c>
      <c r="B256" s="293" t="s">
        <v>796</v>
      </c>
      <c r="C256" s="293" t="s">
        <v>140</v>
      </c>
      <c r="D256" s="293" t="s">
        <v>1314</v>
      </c>
      <c r="E256" s="294">
        <v>122657620</v>
      </c>
    </row>
    <row r="257" spans="1:5" x14ac:dyDescent="0.2">
      <c r="A257" s="292" t="s">
        <v>147</v>
      </c>
      <c r="B257" s="293" t="s">
        <v>796</v>
      </c>
      <c r="C257" s="293" t="s">
        <v>140</v>
      </c>
      <c r="D257" s="293" t="s">
        <v>1220</v>
      </c>
      <c r="E257" s="294">
        <v>122657620</v>
      </c>
    </row>
    <row r="258" spans="1:5" x14ac:dyDescent="0.2">
      <c r="A258" s="292" t="s">
        <v>159</v>
      </c>
      <c r="B258" s="293" t="s">
        <v>796</v>
      </c>
      <c r="C258" s="293" t="s">
        <v>140</v>
      </c>
      <c r="D258" s="293" t="s">
        <v>448</v>
      </c>
      <c r="E258" s="294">
        <v>122657620</v>
      </c>
    </row>
    <row r="259" spans="1:5" ht="25.5" x14ac:dyDescent="0.2">
      <c r="A259" s="292" t="s">
        <v>1502</v>
      </c>
      <c r="B259" s="293" t="s">
        <v>796</v>
      </c>
      <c r="C259" s="293" t="s">
        <v>1503</v>
      </c>
      <c r="D259" s="293" t="s">
        <v>1314</v>
      </c>
      <c r="E259" s="294">
        <v>23782580</v>
      </c>
    </row>
    <row r="260" spans="1:5" ht="25.5" x14ac:dyDescent="0.2">
      <c r="A260" s="292" t="s">
        <v>1338</v>
      </c>
      <c r="B260" s="293" t="s">
        <v>796</v>
      </c>
      <c r="C260" s="293" t="s">
        <v>1339</v>
      </c>
      <c r="D260" s="293" t="s">
        <v>1314</v>
      </c>
      <c r="E260" s="294">
        <v>23782580</v>
      </c>
    </row>
    <row r="261" spans="1:5" x14ac:dyDescent="0.2">
      <c r="A261" s="292" t="s">
        <v>147</v>
      </c>
      <c r="B261" s="293" t="s">
        <v>796</v>
      </c>
      <c r="C261" s="293" t="s">
        <v>1339</v>
      </c>
      <c r="D261" s="293" t="s">
        <v>1220</v>
      </c>
      <c r="E261" s="294">
        <v>23782580</v>
      </c>
    </row>
    <row r="262" spans="1:5" x14ac:dyDescent="0.2">
      <c r="A262" s="292" t="s">
        <v>159</v>
      </c>
      <c r="B262" s="293" t="s">
        <v>796</v>
      </c>
      <c r="C262" s="293" t="s">
        <v>1339</v>
      </c>
      <c r="D262" s="293" t="s">
        <v>448</v>
      </c>
      <c r="E262" s="294">
        <v>23782580</v>
      </c>
    </row>
    <row r="263" spans="1:5" ht="63.75" x14ac:dyDescent="0.2">
      <c r="A263" s="292" t="s">
        <v>1329</v>
      </c>
      <c r="B263" s="293" t="s">
        <v>1330</v>
      </c>
      <c r="C263" s="293" t="s">
        <v>1314</v>
      </c>
      <c r="D263" s="293" t="s">
        <v>1314</v>
      </c>
      <c r="E263" s="294">
        <v>11374500</v>
      </c>
    </row>
    <row r="264" spans="1:5" ht="25.5" x14ac:dyDescent="0.2">
      <c r="A264" s="292" t="s">
        <v>1510</v>
      </c>
      <c r="B264" s="293" t="s">
        <v>1330</v>
      </c>
      <c r="C264" s="293" t="s">
        <v>1511</v>
      </c>
      <c r="D264" s="293" t="s">
        <v>1314</v>
      </c>
      <c r="E264" s="294">
        <v>11374500</v>
      </c>
    </row>
    <row r="265" spans="1:5" x14ac:dyDescent="0.2">
      <c r="A265" s="292" t="s">
        <v>1340</v>
      </c>
      <c r="B265" s="293" t="s">
        <v>1330</v>
      </c>
      <c r="C265" s="293" t="s">
        <v>1341</v>
      </c>
      <c r="D265" s="293" t="s">
        <v>1314</v>
      </c>
      <c r="E265" s="294">
        <v>11374500</v>
      </c>
    </row>
    <row r="266" spans="1:5" x14ac:dyDescent="0.2">
      <c r="A266" s="292" t="s">
        <v>147</v>
      </c>
      <c r="B266" s="293" t="s">
        <v>1330</v>
      </c>
      <c r="C266" s="293" t="s">
        <v>1341</v>
      </c>
      <c r="D266" s="293" t="s">
        <v>1220</v>
      </c>
      <c r="E266" s="294">
        <v>11374500</v>
      </c>
    </row>
    <row r="267" spans="1:5" x14ac:dyDescent="0.2">
      <c r="A267" s="292" t="s">
        <v>1145</v>
      </c>
      <c r="B267" s="293" t="s">
        <v>1330</v>
      </c>
      <c r="C267" s="293" t="s">
        <v>1341</v>
      </c>
      <c r="D267" s="293" t="s">
        <v>405</v>
      </c>
      <c r="E267" s="294">
        <v>11374500</v>
      </c>
    </row>
    <row r="268" spans="1:5" ht="63.75" x14ac:dyDescent="0.2">
      <c r="A268" s="292" t="s">
        <v>451</v>
      </c>
      <c r="B268" s="293" t="s">
        <v>818</v>
      </c>
      <c r="C268" s="293" t="s">
        <v>1314</v>
      </c>
      <c r="D268" s="293" t="s">
        <v>1314</v>
      </c>
      <c r="E268" s="294">
        <v>1425000</v>
      </c>
    </row>
    <row r="269" spans="1:5" ht="25.5" x14ac:dyDescent="0.2">
      <c r="A269" s="292" t="s">
        <v>1502</v>
      </c>
      <c r="B269" s="293" t="s">
        <v>818</v>
      </c>
      <c r="C269" s="293" t="s">
        <v>1503</v>
      </c>
      <c r="D269" s="293" t="s">
        <v>1314</v>
      </c>
      <c r="E269" s="294">
        <v>1320000</v>
      </c>
    </row>
    <row r="270" spans="1:5" ht="25.5" x14ac:dyDescent="0.2">
      <c r="A270" s="292" t="s">
        <v>1338</v>
      </c>
      <c r="B270" s="293" t="s">
        <v>818</v>
      </c>
      <c r="C270" s="293" t="s">
        <v>1339</v>
      </c>
      <c r="D270" s="293" t="s">
        <v>1314</v>
      </c>
      <c r="E270" s="294">
        <v>1320000</v>
      </c>
    </row>
    <row r="271" spans="1:5" x14ac:dyDescent="0.2">
      <c r="A271" s="292" t="s">
        <v>147</v>
      </c>
      <c r="B271" s="293" t="s">
        <v>818</v>
      </c>
      <c r="C271" s="293" t="s">
        <v>1339</v>
      </c>
      <c r="D271" s="293" t="s">
        <v>1220</v>
      </c>
      <c r="E271" s="294">
        <v>1320000</v>
      </c>
    </row>
    <row r="272" spans="1:5" x14ac:dyDescent="0.2">
      <c r="A272" s="292" t="s">
        <v>160</v>
      </c>
      <c r="B272" s="293" t="s">
        <v>818</v>
      </c>
      <c r="C272" s="293" t="s">
        <v>1339</v>
      </c>
      <c r="D272" s="293" t="s">
        <v>435</v>
      </c>
      <c r="E272" s="294">
        <v>800000</v>
      </c>
    </row>
    <row r="273" spans="1:5" x14ac:dyDescent="0.2">
      <c r="A273" s="292" t="s">
        <v>1147</v>
      </c>
      <c r="B273" s="293" t="s">
        <v>818</v>
      </c>
      <c r="C273" s="293" t="s">
        <v>1339</v>
      </c>
      <c r="D273" s="293" t="s">
        <v>1148</v>
      </c>
      <c r="E273" s="294">
        <v>300000</v>
      </c>
    </row>
    <row r="274" spans="1:5" x14ac:dyDescent="0.2">
      <c r="A274" s="292" t="s">
        <v>4</v>
      </c>
      <c r="B274" s="293" t="s">
        <v>818</v>
      </c>
      <c r="C274" s="293" t="s">
        <v>1339</v>
      </c>
      <c r="D274" s="293" t="s">
        <v>460</v>
      </c>
      <c r="E274" s="294">
        <v>220000</v>
      </c>
    </row>
    <row r="275" spans="1:5" x14ac:dyDescent="0.2">
      <c r="A275" s="292" t="s">
        <v>1506</v>
      </c>
      <c r="B275" s="293" t="s">
        <v>818</v>
      </c>
      <c r="C275" s="293" t="s">
        <v>1507</v>
      </c>
      <c r="D275" s="293" t="s">
        <v>1314</v>
      </c>
      <c r="E275" s="294">
        <v>105000</v>
      </c>
    </row>
    <row r="276" spans="1:5" x14ac:dyDescent="0.2">
      <c r="A276" s="292" t="s">
        <v>573</v>
      </c>
      <c r="B276" s="293" t="s">
        <v>818</v>
      </c>
      <c r="C276" s="293" t="s">
        <v>574</v>
      </c>
      <c r="D276" s="293" t="s">
        <v>1314</v>
      </c>
      <c r="E276" s="294">
        <v>105000</v>
      </c>
    </row>
    <row r="277" spans="1:5" x14ac:dyDescent="0.2">
      <c r="A277" s="292" t="s">
        <v>147</v>
      </c>
      <c r="B277" s="293" t="s">
        <v>818</v>
      </c>
      <c r="C277" s="293" t="s">
        <v>574</v>
      </c>
      <c r="D277" s="293" t="s">
        <v>1220</v>
      </c>
      <c r="E277" s="294">
        <v>105000</v>
      </c>
    </row>
    <row r="278" spans="1:5" x14ac:dyDescent="0.2">
      <c r="A278" s="292" t="s">
        <v>160</v>
      </c>
      <c r="B278" s="293" t="s">
        <v>818</v>
      </c>
      <c r="C278" s="293" t="s">
        <v>574</v>
      </c>
      <c r="D278" s="293" t="s">
        <v>435</v>
      </c>
      <c r="E278" s="294">
        <v>105000</v>
      </c>
    </row>
    <row r="279" spans="1:5" ht="63.75" x14ac:dyDescent="0.2">
      <c r="A279" s="292" t="s">
        <v>433</v>
      </c>
      <c r="B279" s="293" t="s">
        <v>833</v>
      </c>
      <c r="C279" s="293" t="s">
        <v>1314</v>
      </c>
      <c r="D279" s="293" t="s">
        <v>1314</v>
      </c>
      <c r="E279" s="294">
        <v>4185690</v>
      </c>
    </row>
    <row r="280" spans="1:5" ht="25.5" x14ac:dyDescent="0.2">
      <c r="A280" s="292" t="s">
        <v>1510</v>
      </c>
      <c r="B280" s="293" t="s">
        <v>833</v>
      </c>
      <c r="C280" s="293" t="s">
        <v>1511</v>
      </c>
      <c r="D280" s="293" t="s">
        <v>1314</v>
      </c>
      <c r="E280" s="294">
        <v>4185690</v>
      </c>
    </row>
    <row r="281" spans="1:5" x14ac:dyDescent="0.2">
      <c r="A281" s="292" t="s">
        <v>1340</v>
      </c>
      <c r="B281" s="293" t="s">
        <v>833</v>
      </c>
      <c r="C281" s="293" t="s">
        <v>1341</v>
      </c>
      <c r="D281" s="293" t="s">
        <v>1314</v>
      </c>
      <c r="E281" s="294">
        <v>4185690</v>
      </c>
    </row>
    <row r="282" spans="1:5" x14ac:dyDescent="0.2">
      <c r="A282" s="292" t="s">
        <v>147</v>
      </c>
      <c r="B282" s="293" t="s">
        <v>833</v>
      </c>
      <c r="C282" s="293" t="s">
        <v>1341</v>
      </c>
      <c r="D282" s="293" t="s">
        <v>1220</v>
      </c>
      <c r="E282" s="294">
        <v>4185690</v>
      </c>
    </row>
    <row r="283" spans="1:5" x14ac:dyDescent="0.2">
      <c r="A283" s="292" t="s">
        <v>1145</v>
      </c>
      <c r="B283" s="293" t="s">
        <v>833</v>
      </c>
      <c r="C283" s="293" t="s">
        <v>1341</v>
      </c>
      <c r="D283" s="293" t="s">
        <v>405</v>
      </c>
      <c r="E283" s="294">
        <v>4185690</v>
      </c>
    </row>
    <row r="284" spans="1:5" ht="51" x14ac:dyDescent="0.2">
      <c r="A284" s="292" t="s">
        <v>575</v>
      </c>
      <c r="B284" s="293" t="s">
        <v>821</v>
      </c>
      <c r="C284" s="293" t="s">
        <v>1314</v>
      </c>
      <c r="D284" s="293" t="s">
        <v>1314</v>
      </c>
      <c r="E284" s="294">
        <v>187200</v>
      </c>
    </row>
    <row r="285" spans="1:5" x14ac:dyDescent="0.2">
      <c r="A285" s="292" t="s">
        <v>1506</v>
      </c>
      <c r="B285" s="293" t="s">
        <v>821</v>
      </c>
      <c r="C285" s="293" t="s">
        <v>1507</v>
      </c>
      <c r="D285" s="293" t="s">
        <v>1314</v>
      </c>
      <c r="E285" s="294">
        <v>187200</v>
      </c>
    </row>
    <row r="286" spans="1:5" x14ac:dyDescent="0.2">
      <c r="A286" s="292" t="s">
        <v>573</v>
      </c>
      <c r="B286" s="293" t="s">
        <v>821</v>
      </c>
      <c r="C286" s="293" t="s">
        <v>574</v>
      </c>
      <c r="D286" s="293" t="s">
        <v>1314</v>
      </c>
      <c r="E286" s="294">
        <v>187200</v>
      </c>
    </row>
    <row r="287" spans="1:5" x14ac:dyDescent="0.2">
      <c r="A287" s="292" t="s">
        <v>147</v>
      </c>
      <c r="B287" s="293" t="s">
        <v>821</v>
      </c>
      <c r="C287" s="293" t="s">
        <v>574</v>
      </c>
      <c r="D287" s="293" t="s">
        <v>1220</v>
      </c>
      <c r="E287" s="294">
        <v>187200</v>
      </c>
    </row>
    <row r="288" spans="1:5" x14ac:dyDescent="0.2">
      <c r="A288" s="292" t="s">
        <v>160</v>
      </c>
      <c r="B288" s="293" t="s">
        <v>821</v>
      </c>
      <c r="C288" s="293" t="s">
        <v>574</v>
      </c>
      <c r="D288" s="293" t="s">
        <v>435</v>
      </c>
      <c r="E288" s="294">
        <v>187200</v>
      </c>
    </row>
    <row r="289" spans="1:5" ht="51" x14ac:dyDescent="0.2">
      <c r="A289" s="292" t="s">
        <v>631</v>
      </c>
      <c r="B289" s="293" t="s">
        <v>820</v>
      </c>
      <c r="C289" s="293" t="s">
        <v>1314</v>
      </c>
      <c r="D289" s="293" t="s">
        <v>1314</v>
      </c>
      <c r="E289" s="294">
        <v>40000</v>
      </c>
    </row>
    <row r="290" spans="1:5" ht="25.5" x14ac:dyDescent="0.2">
      <c r="A290" s="292" t="s">
        <v>1502</v>
      </c>
      <c r="B290" s="293" t="s">
        <v>820</v>
      </c>
      <c r="C290" s="293" t="s">
        <v>1503</v>
      </c>
      <c r="D290" s="293" t="s">
        <v>1314</v>
      </c>
      <c r="E290" s="294">
        <v>40000</v>
      </c>
    </row>
    <row r="291" spans="1:5" ht="25.5" x14ac:dyDescent="0.2">
      <c r="A291" s="292" t="s">
        <v>1338</v>
      </c>
      <c r="B291" s="293" t="s">
        <v>820</v>
      </c>
      <c r="C291" s="293" t="s">
        <v>1339</v>
      </c>
      <c r="D291" s="293" t="s">
        <v>1314</v>
      </c>
      <c r="E291" s="294">
        <v>40000</v>
      </c>
    </row>
    <row r="292" spans="1:5" x14ac:dyDescent="0.2">
      <c r="A292" s="292" t="s">
        <v>147</v>
      </c>
      <c r="B292" s="293" t="s">
        <v>820</v>
      </c>
      <c r="C292" s="293" t="s">
        <v>1339</v>
      </c>
      <c r="D292" s="293" t="s">
        <v>1220</v>
      </c>
      <c r="E292" s="294">
        <v>40000</v>
      </c>
    </row>
    <row r="293" spans="1:5" x14ac:dyDescent="0.2">
      <c r="A293" s="292" t="s">
        <v>160</v>
      </c>
      <c r="B293" s="293" t="s">
        <v>820</v>
      </c>
      <c r="C293" s="293" t="s">
        <v>1339</v>
      </c>
      <c r="D293" s="293" t="s">
        <v>435</v>
      </c>
      <c r="E293" s="294">
        <v>40000</v>
      </c>
    </row>
    <row r="294" spans="1:5" ht="127.5" x14ac:dyDescent="0.2">
      <c r="A294" s="292" t="s">
        <v>1969</v>
      </c>
      <c r="B294" s="293" t="s">
        <v>1970</v>
      </c>
      <c r="C294" s="293" t="s">
        <v>1314</v>
      </c>
      <c r="D294" s="293" t="s">
        <v>1314</v>
      </c>
      <c r="E294" s="294">
        <v>35094700</v>
      </c>
    </row>
    <row r="295" spans="1:5" ht="25.5" x14ac:dyDescent="0.2">
      <c r="A295" s="292" t="s">
        <v>1502</v>
      </c>
      <c r="B295" s="293" t="s">
        <v>1970</v>
      </c>
      <c r="C295" s="293" t="s">
        <v>1503</v>
      </c>
      <c r="D295" s="293" t="s">
        <v>1314</v>
      </c>
      <c r="E295" s="294">
        <v>35094700</v>
      </c>
    </row>
    <row r="296" spans="1:5" ht="25.5" x14ac:dyDescent="0.2">
      <c r="A296" s="292" t="s">
        <v>1338</v>
      </c>
      <c r="B296" s="293" t="s">
        <v>1970</v>
      </c>
      <c r="C296" s="293" t="s">
        <v>1339</v>
      </c>
      <c r="D296" s="293" t="s">
        <v>1314</v>
      </c>
      <c r="E296" s="294">
        <v>35094700</v>
      </c>
    </row>
    <row r="297" spans="1:5" x14ac:dyDescent="0.2">
      <c r="A297" s="292" t="s">
        <v>148</v>
      </c>
      <c r="B297" s="293" t="s">
        <v>1970</v>
      </c>
      <c r="C297" s="293" t="s">
        <v>1339</v>
      </c>
      <c r="D297" s="293" t="s">
        <v>1221</v>
      </c>
      <c r="E297" s="294">
        <v>35094700</v>
      </c>
    </row>
    <row r="298" spans="1:5" x14ac:dyDescent="0.2">
      <c r="A298" s="292" t="s">
        <v>105</v>
      </c>
      <c r="B298" s="293" t="s">
        <v>1970</v>
      </c>
      <c r="C298" s="293" t="s">
        <v>1339</v>
      </c>
      <c r="D298" s="293" t="s">
        <v>418</v>
      </c>
      <c r="E298" s="294">
        <v>35094700</v>
      </c>
    </row>
    <row r="299" spans="1:5" ht="153" x14ac:dyDescent="0.2">
      <c r="A299" s="292" t="s">
        <v>1693</v>
      </c>
      <c r="B299" s="293" t="s">
        <v>831</v>
      </c>
      <c r="C299" s="293" t="s">
        <v>1314</v>
      </c>
      <c r="D299" s="293" t="s">
        <v>1314</v>
      </c>
      <c r="E299" s="294">
        <v>348248</v>
      </c>
    </row>
    <row r="300" spans="1:5" ht="25.5" x14ac:dyDescent="0.2">
      <c r="A300" s="292" t="s">
        <v>1510</v>
      </c>
      <c r="B300" s="293" t="s">
        <v>831</v>
      </c>
      <c r="C300" s="293" t="s">
        <v>1511</v>
      </c>
      <c r="D300" s="293" t="s">
        <v>1314</v>
      </c>
      <c r="E300" s="294">
        <v>348248</v>
      </c>
    </row>
    <row r="301" spans="1:5" x14ac:dyDescent="0.2">
      <c r="A301" s="292" t="s">
        <v>1340</v>
      </c>
      <c r="B301" s="293" t="s">
        <v>831</v>
      </c>
      <c r="C301" s="293" t="s">
        <v>1341</v>
      </c>
      <c r="D301" s="293" t="s">
        <v>1314</v>
      </c>
      <c r="E301" s="294">
        <v>348248</v>
      </c>
    </row>
    <row r="302" spans="1:5" x14ac:dyDescent="0.2">
      <c r="A302" s="292" t="s">
        <v>147</v>
      </c>
      <c r="B302" s="293" t="s">
        <v>831</v>
      </c>
      <c r="C302" s="293" t="s">
        <v>1341</v>
      </c>
      <c r="D302" s="293" t="s">
        <v>1220</v>
      </c>
      <c r="E302" s="294">
        <v>348248</v>
      </c>
    </row>
    <row r="303" spans="1:5" x14ac:dyDescent="0.2">
      <c r="A303" s="292" t="s">
        <v>1145</v>
      </c>
      <c r="B303" s="293" t="s">
        <v>831</v>
      </c>
      <c r="C303" s="293" t="s">
        <v>1341</v>
      </c>
      <c r="D303" s="293" t="s">
        <v>405</v>
      </c>
      <c r="E303" s="294">
        <v>348248</v>
      </c>
    </row>
    <row r="304" spans="1:5" ht="76.5" x14ac:dyDescent="0.2">
      <c r="A304" s="292" t="s">
        <v>1685</v>
      </c>
      <c r="B304" s="293" t="s">
        <v>1550</v>
      </c>
      <c r="C304" s="293" t="s">
        <v>1314</v>
      </c>
      <c r="D304" s="293" t="s">
        <v>1314</v>
      </c>
      <c r="E304" s="294">
        <v>7430500</v>
      </c>
    </row>
    <row r="305" spans="1:5" ht="25.5" x14ac:dyDescent="0.2">
      <c r="A305" s="292" t="s">
        <v>1502</v>
      </c>
      <c r="B305" s="293" t="s">
        <v>1550</v>
      </c>
      <c r="C305" s="293" t="s">
        <v>1503</v>
      </c>
      <c r="D305" s="293" t="s">
        <v>1314</v>
      </c>
      <c r="E305" s="294">
        <v>7430500</v>
      </c>
    </row>
    <row r="306" spans="1:5" ht="25.5" x14ac:dyDescent="0.2">
      <c r="A306" s="292" t="s">
        <v>1338</v>
      </c>
      <c r="B306" s="293" t="s">
        <v>1550</v>
      </c>
      <c r="C306" s="293" t="s">
        <v>1339</v>
      </c>
      <c r="D306" s="293" t="s">
        <v>1314</v>
      </c>
      <c r="E306" s="294">
        <v>7430500</v>
      </c>
    </row>
    <row r="307" spans="1:5" x14ac:dyDescent="0.2">
      <c r="A307" s="292" t="s">
        <v>147</v>
      </c>
      <c r="B307" s="293" t="s">
        <v>1550</v>
      </c>
      <c r="C307" s="293" t="s">
        <v>1339</v>
      </c>
      <c r="D307" s="293" t="s">
        <v>1220</v>
      </c>
      <c r="E307" s="294">
        <v>7430500</v>
      </c>
    </row>
    <row r="308" spans="1:5" x14ac:dyDescent="0.2">
      <c r="A308" s="292" t="s">
        <v>160</v>
      </c>
      <c r="B308" s="293" t="s">
        <v>1550</v>
      </c>
      <c r="C308" s="293" t="s">
        <v>1339</v>
      </c>
      <c r="D308" s="293" t="s">
        <v>435</v>
      </c>
      <c r="E308" s="294">
        <v>7430500</v>
      </c>
    </row>
    <row r="309" spans="1:5" ht="102" x14ac:dyDescent="0.2">
      <c r="A309" s="292" t="s">
        <v>1686</v>
      </c>
      <c r="B309" s="293" t="s">
        <v>1551</v>
      </c>
      <c r="C309" s="293" t="s">
        <v>1314</v>
      </c>
      <c r="D309" s="293" t="s">
        <v>1314</v>
      </c>
      <c r="E309" s="294">
        <v>910000</v>
      </c>
    </row>
    <row r="310" spans="1:5" ht="25.5" x14ac:dyDescent="0.2">
      <c r="A310" s="292" t="s">
        <v>1502</v>
      </c>
      <c r="B310" s="293" t="s">
        <v>1551</v>
      </c>
      <c r="C310" s="293" t="s">
        <v>1503</v>
      </c>
      <c r="D310" s="293" t="s">
        <v>1314</v>
      </c>
      <c r="E310" s="294">
        <v>910000</v>
      </c>
    </row>
    <row r="311" spans="1:5" ht="25.5" x14ac:dyDescent="0.2">
      <c r="A311" s="292" t="s">
        <v>1338</v>
      </c>
      <c r="B311" s="293" t="s">
        <v>1551</v>
      </c>
      <c r="C311" s="293" t="s">
        <v>1339</v>
      </c>
      <c r="D311" s="293" t="s">
        <v>1314</v>
      </c>
      <c r="E311" s="294">
        <v>910000</v>
      </c>
    </row>
    <row r="312" spans="1:5" x14ac:dyDescent="0.2">
      <c r="A312" s="292" t="s">
        <v>147</v>
      </c>
      <c r="B312" s="293" t="s">
        <v>1551</v>
      </c>
      <c r="C312" s="293" t="s">
        <v>1339</v>
      </c>
      <c r="D312" s="293" t="s">
        <v>1220</v>
      </c>
      <c r="E312" s="294">
        <v>910000</v>
      </c>
    </row>
    <row r="313" spans="1:5" x14ac:dyDescent="0.2">
      <c r="A313" s="292" t="s">
        <v>160</v>
      </c>
      <c r="B313" s="293" t="s">
        <v>1551</v>
      </c>
      <c r="C313" s="293" t="s">
        <v>1339</v>
      </c>
      <c r="D313" s="293" t="s">
        <v>435</v>
      </c>
      <c r="E313" s="294">
        <v>910000</v>
      </c>
    </row>
    <row r="314" spans="1:5" ht="102" x14ac:dyDescent="0.2">
      <c r="A314" s="292" t="s">
        <v>1687</v>
      </c>
      <c r="B314" s="293" t="s">
        <v>1926</v>
      </c>
      <c r="C314" s="293" t="s">
        <v>1314</v>
      </c>
      <c r="D314" s="293" t="s">
        <v>1314</v>
      </c>
      <c r="E314" s="294">
        <v>1480600</v>
      </c>
    </row>
    <row r="315" spans="1:5" ht="25.5" x14ac:dyDescent="0.2">
      <c r="A315" s="292" t="s">
        <v>1502</v>
      </c>
      <c r="B315" s="293" t="s">
        <v>1926</v>
      </c>
      <c r="C315" s="293" t="s">
        <v>1503</v>
      </c>
      <c r="D315" s="293" t="s">
        <v>1314</v>
      </c>
      <c r="E315" s="294">
        <v>1480600</v>
      </c>
    </row>
    <row r="316" spans="1:5" ht="25.5" x14ac:dyDescent="0.2">
      <c r="A316" s="292" t="s">
        <v>1338</v>
      </c>
      <c r="B316" s="293" t="s">
        <v>1926</v>
      </c>
      <c r="C316" s="293" t="s">
        <v>1339</v>
      </c>
      <c r="D316" s="293" t="s">
        <v>1314</v>
      </c>
      <c r="E316" s="294">
        <v>1480600</v>
      </c>
    </row>
    <row r="317" spans="1:5" x14ac:dyDescent="0.2">
      <c r="A317" s="292" t="s">
        <v>147</v>
      </c>
      <c r="B317" s="293" t="s">
        <v>1926</v>
      </c>
      <c r="C317" s="293" t="s">
        <v>1339</v>
      </c>
      <c r="D317" s="293" t="s">
        <v>1220</v>
      </c>
      <c r="E317" s="294">
        <v>1480600</v>
      </c>
    </row>
    <row r="318" spans="1:5" x14ac:dyDescent="0.2">
      <c r="A318" s="292" t="s">
        <v>160</v>
      </c>
      <c r="B318" s="293" t="s">
        <v>1926</v>
      </c>
      <c r="C318" s="293" t="s">
        <v>1339</v>
      </c>
      <c r="D318" s="293" t="s">
        <v>435</v>
      </c>
      <c r="E318" s="294">
        <v>1480600</v>
      </c>
    </row>
    <row r="319" spans="1:5" ht="76.5" x14ac:dyDescent="0.2">
      <c r="A319" s="292" t="s">
        <v>1740</v>
      </c>
      <c r="B319" s="293" t="s">
        <v>1741</v>
      </c>
      <c r="C319" s="293" t="s">
        <v>1314</v>
      </c>
      <c r="D319" s="293" t="s">
        <v>1314</v>
      </c>
      <c r="E319" s="294">
        <v>5851100</v>
      </c>
    </row>
    <row r="320" spans="1:5" ht="25.5" x14ac:dyDescent="0.2">
      <c r="A320" s="292" t="s">
        <v>1502</v>
      </c>
      <c r="B320" s="293" t="s">
        <v>1741</v>
      </c>
      <c r="C320" s="293" t="s">
        <v>1503</v>
      </c>
      <c r="D320" s="293" t="s">
        <v>1314</v>
      </c>
      <c r="E320" s="294">
        <v>5851100</v>
      </c>
    </row>
    <row r="321" spans="1:5" ht="25.5" x14ac:dyDescent="0.2">
      <c r="A321" s="292" t="s">
        <v>1338</v>
      </c>
      <c r="B321" s="293" t="s">
        <v>1741</v>
      </c>
      <c r="C321" s="293" t="s">
        <v>1339</v>
      </c>
      <c r="D321" s="293" t="s">
        <v>1314</v>
      </c>
      <c r="E321" s="294">
        <v>5851100</v>
      </c>
    </row>
    <row r="322" spans="1:5" x14ac:dyDescent="0.2">
      <c r="A322" s="292" t="s">
        <v>147</v>
      </c>
      <c r="B322" s="293" t="s">
        <v>1741</v>
      </c>
      <c r="C322" s="293" t="s">
        <v>1339</v>
      </c>
      <c r="D322" s="293" t="s">
        <v>1220</v>
      </c>
      <c r="E322" s="294">
        <v>5851100</v>
      </c>
    </row>
    <row r="323" spans="1:5" x14ac:dyDescent="0.2">
      <c r="A323" s="292" t="s">
        <v>160</v>
      </c>
      <c r="B323" s="293" t="s">
        <v>1741</v>
      </c>
      <c r="C323" s="293" t="s">
        <v>1339</v>
      </c>
      <c r="D323" s="293" t="s">
        <v>435</v>
      </c>
      <c r="E323" s="294">
        <v>5851100</v>
      </c>
    </row>
    <row r="324" spans="1:5" ht="38.25" x14ac:dyDescent="0.2">
      <c r="A324" s="292" t="s">
        <v>486</v>
      </c>
      <c r="B324" s="293" t="s">
        <v>1211</v>
      </c>
      <c r="C324" s="293" t="s">
        <v>1314</v>
      </c>
      <c r="D324" s="293" t="s">
        <v>1314</v>
      </c>
      <c r="E324" s="294">
        <v>11203300</v>
      </c>
    </row>
    <row r="325" spans="1:5" ht="89.25" x14ac:dyDescent="0.2">
      <c r="A325" s="292" t="s">
        <v>461</v>
      </c>
      <c r="B325" s="293" t="s">
        <v>1203</v>
      </c>
      <c r="C325" s="293" t="s">
        <v>1314</v>
      </c>
      <c r="D325" s="293" t="s">
        <v>1314</v>
      </c>
      <c r="E325" s="294">
        <v>6045800</v>
      </c>
    </row>
    <row r="326" spans="1:5" ht="51" x14ac:dyDescent="0.2">
      <c r="A326" s="292" t="s">
        <v>1501</v>
      </c>
      <c r="B326" s="293" t="s">
        <v>1203</v>
      </c>
      <c r="C326" s="293" t="s">
        <v>290</v>
      </c>
      <c r="D326" s="293" t="s">
        <v>1314</v>
      </c>
      <c r="E326" s="294">
        <v>4994006</v>
      </c>
    </row>
    <row r="327" spans="1:5" ht="25.5" x14ac:dyDescent="0.2">
      <c r="A327" s="292" t="s">
        <v>1345</v>
      </c>
      <c r="B327" s="293" t="s">
        <v>1203</v>
      </c>
      <c r="C327" s="293" t="s">
        <v>30</v>
      </c>
      <c r="D327" s="293" t="s">
        <v>1314</v>
      </c>
      <c r="E327" s="294">
        <v>4994006</v>
      </c>
    </row>
    <row r="328" spans="1:5" x14ac:dyDescent="0.2">
      <c r="A328" s="292" t="s">
        <v>147</v>
      </c>
      <c r="B328" s="293" t="s">
        <v>1203</v>
      </c>
      <c r="C328" s="293" t="s">
        <v>30</v>
      </c>
      <c r="D328" s="293" t="s">
        <v>1220</v>
      </c>
      <c r="E328" s="294">
        <v>4994006</v>
      </c>
    </row>
    <row r="329" spans="1:5" x14ac:dyDescent="0.2">
      <c r="A329" s="292" t="s">
        <v>4</v>
      </c>
      <c r="B329" s="293" t="s">
        <v>1203</v>
      </c>
      <c r="C329" s="293" t="s">
        <v>30</v>
      </c>
      <c r="D329" s="293" t="s">
        <v>460</v>
      </c>
      <c r="E329" s="294">
        <v>4994006</v>
      </c>
    </row>
    <row r="330" spans="1:5" ht="25.5" x14ac:dyDescent="0.2">
      <c r="A330" s="292" t="s">
        <v>1502</v>
      </c>
      <c r="B330" s="293" t="s">
        <v>1203</v>
      </c>
      <c r="C330" s="293" t="s">
        <v>1503</v>
      </c>
      <c r="D330" s="293" t="s">
        <v>1314</v>
      </c>
      <c r="E330" s="294">
        <v>1051794</v>
      </c>
    </row>
    <row r="331" spans="1:5" ht="25.5" x14ac:dyDescent="0.2">
      <c r="A331" s="292" t="s">
        <v>1338</v>
      </c>
      <c r="B331" s="293" t="s">
        <v>1203</v>
      </c>
      <c r="C331" s="293" t="s">
        <v>1339</v>
      </c>
      <c r="D331" s="293" t="s">
        <v>1314</v>
      </c>
      <c r="E331" s="294">
        <v>1051794</v>
      </c>
    </row>
    <row r="332" spans="1:5" x14ac:dyDescent="0.2">
      <c r="A332" s="292" t="s">
        <v>147</v>
      </c>
      <c r="B332" s="293" t="s">
        <v>1203</v>
      </c>
      <c r="C332" s="293" t="s">
        <v>1339</v>
      </c>
      <c r="D332" s="293" t="s">
        <v>1220</v>
      </c>
      <c r="E332" s="294">
        <v>1051794</v>
      </c>
    </row>
    <row r="333" spans="1:5" x14ac:dyDescent="0.2">
      <c r="A333" s="292" t="s">
        <v>4</v>
      </c>
      <c r="B333" s="293" t="s">
        <v>1203</v>
      </c>
      <c r="C333" s="293" t="s">
        <v>1339</v>
      </c>
      <c r="D333" s="293" t="s">
        <v>460</v>
      </c>
      <c r="E333" s="294">
        <v>1051794</v>
      </c>
    </row>
    <row r="334" spans="1:5" ht="114.75" x14ac:dyDescent="0.2">
      <c r="A334" s="292" t="s">
        <v>1544</v>
      </c>
      <c r="B334" s="293" t="s">
        <v>1545</v>
      </c>
      <c r="C334" s="293" t="s">
        <v>1314</v>
      </c>
      <c r="D334" s="293" t="s">
        <v>1314</v>
      </c>
      <c r="E334" s="294">
        <v>5157500</v>
      </c>
    </row>
    <row r="335" spans="1:5" ht="25.5" x14ac:dyDescent="0.2">
      <c r="A335" s="292" t="s">
        <v>1508</v>
      </c>
      <c r="B335" s="293" t="s">
        <v>1545</v>
      </c>
      <c r="C335" s="293" t="s">
        <v>1509</v>
      </c>
      <c r="D335" s="293" t="s">
        <v>1314</v>
      </c>
      <c r="E335" s="294">
        <v>5157500</v>
      </c>
    </row>
    <row r="336" spans="1:5" x14ac:dyDescent="0.2">
      <c r="A336" s="292" t="s">
        <v>1349</v>
      </c>
      <c r="B336" s="293" t="s">
        <v>1545</v>
      </c>
      <c r="C336" s="293" t="s">
        <v>79</v>
      </c>
      <c r="D336" s="293" t="s">
        <v>1314</v>
      </c>
      <c r="E336" s="294">
        <v>5157500</v>
      </c>
    </row>
    <row r="337" spans="1:5" x14ac:dyDescent="0.2">
      <c r="A337" s="292" t="s">
        <v>148</v>
      </c>
      <c r="B337" s="293" t="s">
        <v>1545</v>
      </c>
      <c r="C337" s="293" t="s">
        <v>79</v>
      </c>
      <c r="D337" s="293" t="s">
        <v>1221</v>
      </c>
      <c r="E337" s="294">
        <v>5157500</v>
      </c>
    </row>
    <row r="338" spans="1:5" x14ac:dyDescent="0.2">
      <c r="A338" s="292" t="s">
        <v>19</v>
      </c>
      <c r="B338" s="293" t="s">
        <v>1545</v>
      </c>
      <c r="C338" s="293" t="s">
        <v>79</v>
      </c>
      <c r="D338" s="293" t="s">
        <v>463</v>
      </c>
      <c r="E338" s="294">
        <v>5157500</v>
      </c>
    </row>
    <row r="339" spans="1:5" ht="25.5" x14ac:dyDescent="0.2">
      <c r="A339" s="292" t="s">
        <v>663</v>
      </c>
      <c r="B339" s="293" t="s">
        <v>1033</v>
      </c>
      <c r="C339" s="293" t="s">
        <v>1314</v>
      </c>
      <c r="D339" s="293" t="s">
        <v>1314</v>
      </c>
      <c r="E339" s="294">
        <v>77218004</v>
      </c>
    </row>
    <row r="340" spans="1:5" ht="63.75" x14ac:dyDescent="0.2">
      <c r="A340" s="292" t="s">
        <v>657</v>
      </c>
      <c r="B340" s="293" t="s">
        <v>1204</v>
      </c>
      <c r="C340" s="293" t="s">
        <v>1314</v>
      </c>
      <c r="D340" s="293" t="s">
        <v>1314</v>
      </c>
      <c r="E340" s="294">
        <v>50432000</v>
      </c>
    </row>
    <row r="341" spans="1:5" ht="51" x14ac:dyDescent="0.2">
      <c r="A341" s="292" t="s">
        <v>1501</v>
      </c>
      <c r="B341" s="293" t="s">
        <v>1204</v>
      </c>
      <c r="C341" s="293" t="s">
        <v>290</v>
      </c>
      <c r="D341" s="293" t="s">
        <v>1314</v>
      </c>
      <c r="E341" s="294">
        <v>47012000</v>
      </c>
    </row>
    <row r="342" spans="1:5" x14ac:dyDescent="0.2">
      <c r="A342" s="292" t="s">
        <v>1331</v>
      </c>
      <c r="B342" s="293" t="s">
        <v>1204</v>
      </c>
      <c r="C342" s="293" t="s">
        <v>140</v>
      </c>
      <c r="D342" s="293" t="s">
        <v>1314</v>
      </c>
      <c r="E342" s="294">
        <v>47012000</v>
      </c>
    </row>
    <row r="343" spans="1:5" x14ac:dyDescent="0.2">
      <c r="A343" s="292" t="s">
        <v>147</v>
      </c>
      <c r="B343" s="293" t="s">
        <v>1204</v>
      </c>
      <c r="C343" s="293" t="s">
        <v>140</v>
      </c>
      <c r="D343" s="293" t="s">
        <v>1220</v>
      </c>
      <c r="E343" s="294">
        <v>47012000</v>
      </c>
    </row>
    <row r="344" spans="1:5" x14ac:dyDescent="0.2">
      <c r="A344" s="292" t="s">
        <v>4</v>
      </c>
      <c r="B344" s="293" t="s">
        <v>1204</v>
      </c>
      <c r="C344" s="293" t="s">
        <v>140</v>
      </c>
      <c r="D344" s="293" t="s">
        <v>460</v>
      </c>
      <c r="E344" s="294">
        <v>47012000</v>
      </c>
    </row>
    <row r="345" spans="1:5" ht="25.5" x14ac:dyDescent="0.2">
      <c r="A345" s="292" t="s">
        <v>1502</v>
      </c>
      <c r="B345" s="293" t="s">
        <v>1204</v>
      </c>
      <c r="C345" s="293" t="s">
        <v>1503</v>
      </c>
      <c r="D345" s="293" t="s">
        <v>1314</v>
      </c>
      <c r="E345" s="294">
        <v>3420000</v>
      </c>
    </row>
    <row r="346" spans="1:5" ht="25.5" x14ac:dyDescent="0.2">
      <c r="A346" s="292" t="s">
        <v>1338</v>
      </c>
      <c r="B346" s="293" t="s">
        <v>1204</v>
      </c>
      <c r="C346" s="293" t="s">
        <v>1339</v>
      </c>
      <c r="D346" s="293" t="s">
        <v>1314</v>
      </c>
      <c r="E346" s="294">
        <v>3420000</v>
      </c>
    </row>
    <row r="347" spans="1:5" x14ac:dyDescent="0.2">
      <c r="A347" s="292" t="s">
        <v>147</v>
      </c>
      <c r="B347" s="293" t="s">
        <v>1204</v>
      </c>
      <c r="C347" s="293" t="s">
        <v>1339</v>
      </c>
      <c r="D347" s="293" t="s">
        <v>1220</v>
      </c>
      <c r="E347" s="294">
        <v>3420000</v>
      </c>
    </row>
    <row r="348" spans="1:5" x14ac:dyDescent="0.2">
      <c r="A348" s="292" t="s">
        <v>4</v>
      </c>
      <c r="B348" s="293" t="s">
        <v>1204</v>
      </c>
      <c r="C348" s="293" t="s">
        <v>1339</v>
      </c>
      <c r="D348" s="293" t="s">
        <v>460</v>
      </c>
      <c r="E348" s="294">
        <v>3420000</v>
      </c>
    </row>
    <row r="349" spans="1:5" ht="76.5" x14ac:dyDescent="0.2">
      <c r="A349" s="292" t="s">
        <v>658</v>
      </c>
      <c r="B349" s="293" t="s">
        <v>1210</v>
      </c>
      <c r="C349" s="293" t="s">
        <v>1314</v>
      </c>
      <c r="D349" s="293" t="s">
        <v>1314</v>
      </c>
      <c r="E349" s="294">
        <v>1148364</v>
      </c>
    </row>
    <row r="350" spans="1:5" ht="51" x14ac:dyDescent="0.2">
      <c r="A350" s="292" t="s">
        <v>1501</v>
      </c>
      <c r="B350" s="293" t="s">
        <v>1210</v>
      </c>
      <c r="C350" s="293" t="s">
        <v>290</v>
      </c>
      <c r="D350" s="293" t="s">
        <v>1314</v>
      </c>
      <c r="E350" s="294">
        <v>1148364</v>
      </c>
    </row>
    <row r="351" spans="1:5" x14ac:dyDescent="0.2">
      <c r="A351" s="292" t="s">
        <v>1331</v>
      </c>
      <c r="B351" s="293" t="s">
        <v>1210</v>
      </c>
      <c r="C351" s="293" t="s">
        <v>140</v>
      </c>
      <c r="D351" s="293" t="s">
        <v>1314</v>
      </c>
      <c r="E351" s="294">
        <v>1148364</v>
      </c>
    </row>
    <row r="352" spans="1:5" x14ac:dyDescent="0.2">
      <c r="A352" s="292" t="s">
        <v>147</v>
      </c>
      <c r="B352" s="293" t="s">
        <v>1210</v>
      </c>
      <c r="C352" s="293" t="s">
        <v>140</v>
      </c>
      <c r="D352" s="293" t="s">
        <v>1220</v>
      </c>
      <c r="E352" s="294">
        <v>1148364</v>
      </c>
    </row>
    <row r="353" spans="1:5" x14ac:dyDescent="0.2">
      <c r="A353" s="292" t="s">
        <v>4</v>
      </c>
      <c r="B353" s="293" t="s">
        <v>1210</v>
      </c>
      <c r="C353" s="293" t="s">
        <v>140</v>
      </c>
      <c r="D353" s="293" t="s">
        <v>460</v>
      </c>
      <c r="E353" s="294">
        <v>1148364</v>
      </c>
    </row>
    <row r="354" spans="1:5" ht="89.25" x14ac:dyDescent="0.2">
      <c r="A354" s="292" t="s">
        <v>670</v>
      </c>
      <c r="B354" s="293" t="s">
        <v>1205</v>
      </c>
      <c r="C354" s="293" t="s">
        <v>1314</v>
      </c>
      <c r="D354" s="293" t="s">
        <v>1314</v>
      </c>
      <c r="E354" s="294">
        <v>14322000</v>
      </c>
    </row>
    <row r="355" spans="1:5" ht="51" x14ac:dyDescent="0.2">
      <c r="A355" s="292" t="s">
        <v>1501</v>
      </c>
      <c r="B355" s="293" t="s">
        <v>1205</v>
      </c>
      <c r="C355" s="293" t="s">
        <v>290</v>
      </c>
      <c r="D355" s="293" t="s">
        <v>1314</v>
      </c>
      <c r="E355" s="294">
        <v>14322000</v>
      </c>
    </row>
    <row r="356" spans="1:5" x14ac:dyDescent="0.2">
      <c r="A356" s="292" t="s">
        <v>1331</v>
      </c>
      <c r="B356" s="293" t="s">
        <v>1205</v>
      </c>
      <c r="C356" s="293" t="s">
        <v>140</v>
      </c>
      <c r="D356" s="293" t="s">
        <v>1314</v>
      </c>
      <c r="E356" s="294">
        <v>14322000</v>
      </c>
    </row>
    <row r="357" spans="1:5" x14ac:dyDescent="0.2">
      <c r="A357" s="292" t="s">
        <v>147</v>
      </c>
      <c r="B357" s="293" t="s">
        <v>1205</v>
      </c>
      <c r="C357" s="293" t="s">
        <v>140</v>
      </c>
      <c r="D357" s="293" t="s">
        <v>1220</v>
      </c>
      <c r="E357" s="294">
        <v>14322000</v>
      </c>
    </row>
    <row r="358" spans="1:5" x14ac:dyDescent="0.2">
      <c r="A358" s="292" t="s">
        <v>4</v>
      </c>
      <c r="B358" s="293" t="s">
        <v>1205</v>
      </c>
      <c r="C358" s="293" t="s">
        <v>140</v>
      </c>
      <c r="D358" s="293" t="s">
        <v>460</v>
      </c>
      <c r="E358" s="294">
        <v>14322000</v>
      </c>
    </row>
    <row r="359" spans="1:5" ht="76.5" x14ac:dyDescent="0.2">
      <c r="A359" s="292" t="s">
        <v>659</v>
      </c>
      <c r="B359" s="293" t="s">
        <v>1206</v>
      </c>
      <c r="C359" s="293" t="s">
        <v>1314</v>
      </c>
      <c r="D359" s="293" t="s">
        <v>1314</v>
      </c>
      <c r="E359" s="294">
        <v>450000</v>
      </c>
    </row>
    <row r="360" spans="1:5" ht="51" x14ac:dyDescent="0.2">
      <c r="A360" s="292" t="s">
        <v>1501</v>
      </c>
      <c r="B360" s="293" t="s">
        <v>1206</v>
      </c>
      <c r="C360" s="293" t="s">
        <v>290</v>
      </c>
      <c r="D360" s="293" t="s">
        <v>1314</v>
      </c>
      <c r="E360" s="294">
        <v>450000</v>
      </c>
    </row>
    <row r="361" spans="1:5" x14ac:dyDescent="0.2">
      <c r="A361" s="292" t="s">
        <v>1331</v>
      </c>
      <c r="B361" s="293" t="s">
        <v>1206</v>
      </c>
      <c r="C361" s="293" t="s">
        <v>140</v>
      </c>
      <c r="D361" s="293" t="s">
        <v>1314</v>
      </c>
      <c r="E361" s="294">
        <v>450000</v>
      </c>
    </row>
    <row r="362" spans="1:5" x14ac:dyDescent="0.2">
      <c r="A362" s="292" t="s">
        <v>147</v>
      </c>
      <c r="B362" s="293" t="s">
        <v>1206</v>
      </c>
      <c r="C362" s="293" t="s">
        <v>140</v>
      </c>
      <c r="D362" s="293" t="s">
        <v>1220</v>
      </c>
      <c r="E362" s="294">
        <v>450000</v>
      </c>
    </row>
    <row r="363" spans="1:5" x14ac:dyDescent="0.2">
      <c r="A363" s="292" t="s">
        <v>4</v>
      </c>
      <c r="B363" s="293" t="s">
        <v>1206</v>
      </c>
      <c r="C363" s="293" t="s">
        <v>140</v>
      </c>
      <c r="D363" s="293" t="s">
        <v>460</v>
      </c>
      <c r="E363" s="294">
        <v>450000</v>
      </c>
    </row>
    <row r="364" spans="1:5" ht="63.75" x14ac:dyDescent="0.2">
      <c r="A364" s="292" t="s">
        <v>660</v>
      </c>
      <c r="B364" s="293" t="s">
        <v>1207</v>
      </c>
      <c r="C364" s="293" t="s">
        <v>1314</v>
      </c>
      <c r="D364" s="293" t="s">
        <v>1314</v>
      </c>
      <c r="E364" s="294">
        <v>423000</v>
      </c>
    </row>
    <row r="365" spans="1:5" ht="25.5" x14ac:dyDescent="0.2">
      <c r="A365" s="292" t="s">
        <v>1502</v>
      </c>
      <c r="B365" s="293" t="s">
        <v>1207</v>
      </c>
      <c r="C365" s="293" t="s">
        <v>1503</v>
      </c>
      <c r="D365" s="293" t="s">
        <v>1314</v>
      </c>
      <c r="E365" s="294">
        <v>423000</v>
      </c>
    </row>
    <row r="366" spans="1:5" ht="25.5" x14ac:dyDescent="0.2">
      <c r="A366" s="292" t="s">
        <v>1338</v>
      </c>
      <c r="B366" s="293" t="s">
        <v>1207</v>
      </c>
      <c r="C366" s="293" t="s">
        <v>1339</v>
      </c>
      <c r="D366" s="293" t="s">
        <v>1314</v>
      </c>
      <c r="E366" s="294">
        <v>423000</v>
      </c>
    </row>
    <row r="367" spans="1:5" x14ac:dyDescent="0.2">
      <c r="A367" s="292" t="s">
        <v>147</v>
      </c>
      <c r="B367" s="293" t="s">
        <v>1207</v>
      </c>
      <c r="C367" s="293" t="s">
        <v>1339</v>
      </c>
      <c r="D367" s="293" t="s">
        <v>1220</v>
      </c>
      <c r="E367" s="294">
        <v>423000</v>
      </c>
    </row>
    <row r="368" spans="1:5" x14ac:dyDescent="0.2">
      <c r="A368" s="292" t="s">
        <v>4</v>
      </c>
      <c r="B368" s="293" t="s">
        <v>1207</v>
      </c>
      <c r="C368" s="293" t="s">
        <v>1339</v>
      </c>
      <c r="D368" s="293" t="s">
        <v>460</v>
      </c>
      <c r="E368" s="294">
        <v>423000</v>
      </c>
    </row>
    <row r="369" spans="1:5" ht="51" x14ac:dyDescent="0.2">
      <c r="A369" s="292" t="s">
        <v>1028</v>
      </c>
      <c r="B369" s="293" t="s">
        <v>1232</v>
      </c>
      <c r="C369" s="293" t="s">
        <v>1314</v>
      </c>
      <c r="D369" s="293" t="s">
        <v>1314</v>
      </c>
      <c r="E369" s="294">
        <v>2900000</v>
      </c>
    </row>
    <row r="370" spans="1:5" ht="25.5" x14ac:dyDescent="0.2">
      <c r="A370" s="292" t="s">
        <v>1502</v>
      </c>
      <c r="B370" s="293" t="s">
        <v>1232</v>
      </c>
      <c r="C370" s="293" t="s">
        <v>1503</v>
      </c>
      <c r="D370" s="293" t="s">
        <v>1314</v>
      </c>
      <c r="E370" s="294">
        <v>2900000</v>
      </c>
    </row>
    <row r="371" spans="1:5" ht="25.5" x14ac:dyDescent="0.2">
      <c r="A371" s="292" t="s">
        <v>1338</v>
      </c>
      <c r="B371" s="293" t="s">
        <v>1232</v>
      </c>
      <c r="C371" s="293" t="s">
        <v>1339</v>
      </c>
      <c r="D371" s="293" t="s">
        <v>1314</v>
      </c>
      <c r="E371" s="294">
        <v>2900000</v>
      </c>
    </row>
    <row r="372" spans="1:5" x14ac:dyDescent="0.2">
      <c r="A372" s="292" t="s">
        <v>147</v>
      </c>
      <c r="B372" s="293" t="s">
        <v>1232</v>
      </c>
      <c r="C372" s="293" t="s">
        <v>1339</v>
      </c>
      <c r="D372" s="293" t="s">
        <v>1220</v>
      </c>
      <c r="E372" s="294">
        <v>2900000</v>
      </c>
    </row>
    <row r="373" spans="1:5" x14ac:dyDescent="0.2">
      <c r="A373" s="292" t="s">
        <v>4</v>
      </c>
      <c r="B373" s="293" t="s">
        <v>1232</v>
      </c>
      <c r="C373" s="293" t="s">
        <v>1339</v>
      </c>
      <c r="D373" s="293" t="s">
        <v>460</v>
      </c>
      <c r="E373" s="294">
        <v>2900000</v>
      </c>
    </row>
    <row r="374" spans="1:5" ht="63.75" x14ac:dyDescent="0.2">
      <c r="A374" s="292" t="s">
        <v>661</v>
      </c>
      <c r="B374" s="293" t="s">
        <v>1208</v>
      </c>
      <c r="C374" s="293" t="s">
        <v>1314</v>
      </c>
      <c r="D374" s="293" t="s">
        <v>1314</v>
      </c>
      <c r="E374" s="294">
        <v>7019550</v>
      </c>
    </row>
    <row r="375" spans="1:5" ht="51" x14ac:dyDescent="0.2">
      <c r="A375" s="292" t="s">
        <v>1501</v>
      </c>
      <c r="B375" s="293" t="s">
        <v>1208</v>
      </c>
      <c r="C375" s="293" t="s">
        <v>290</v>
      </c>
      <c r="D375" s="293" t="s">
        <v>1314</v>
      </c>
      <c r="E375" s="294">
        <v>6782800</v>
      </c>
    </row>
    <row r="376" spans="1:5" ht="25.5" x14ac:dyDescent="0.2">
      <c r="A376" s="292" t="s">
        <v>1345</v>
      </c>
      <c r="B376" s="293" t="s">
        <v>1208</v>
      </c>
      <c r="C376" s="293" t="s">
        <v>30</v>
      </c>
      <c r="D376" s="293" t="s">
        <v>1314</v>
      </c>
      <c r="E376" s="294">
        <v>6782800</v>
      </c>
    </row>
    <row r="377" spans="1:5" x14ac:dyDescent="0.2">
      <c r="A377" s="292" t="s">
        <v>147</v>
      </c>
      <c r="B377" s="293" t="s">
        <v>1208</v>
      </c>
      <c r="C377" s="293" t="s">
        <v>30</v>
      </c>
      <c r="D377" s="293" t="s">
        <v>1220</v>
      </c>
      <c r="E377" s="294">
        <v>6782800</v>
      </c>
    </row>
    <row r="378" spans="1:5" x14ac:dyDescent="0.2">
      <c r="A378" s="292" t="s">
        <v>4</v>
      </c>
      <c r="B378" s="293" t="s">
        <v>1208</v>
      </c>
      <c r="C378" s="293" t="s">
        <v>30</v>
      </c>
      <c r="D378" s="293" t="s">
        <v>460</v>
      </c>
      <c r="E378" s="294">
        <v>6782800</v>
      </c>
    </row>
    <row r="379" spans="1:5" ht="25.5" x14ac:dyDescent="0.2">
      <c r="A379" s="292" t="s">
        <v>1502</v>
      </c>
      <c r="B379" s="293" t="s">
        <v>1208</v>
      </c>
      <c r="C379" s="293" t="s">
        <v>1503</v>
      </c>
      <c r="D379" s="293" t="s">
        <v>1314</v>
      </c>
      <c r="E379" s="294">
        <v>236750</v>
      </c>
    </row>
    <row r="380" spans="1:5" ht="25.5" x14ac:dyDescent="0.2">
      <c r="A380" s="292" t="s">
        <v>1338</v>
      </c>
      <c r="B380" s="293" t="s">
        <v>1208</v>
      </c>
      <c r="C380" s="293" t="s">
        <v>1339</v>
      </c>
      <c r="D380" s="293" t="s">
        <v>1314</v>
      </c>
      <c r="E380" s="294">
        <v>236750</v>
      </c>
    </row>
    <row r="381" spans="1:5" x14ac:dyDescent="0.2">
      <c r="A381" s="292" t="s">
        <v>147</v>
      </c>
      <c r="B381" s="293" t="s">
        <v>1208</v>
      </c>
      <c r="C381" s="293" t="s">
        <v>1339</v>
      </c>
      <c r="D381" s="293" t="s">
        <v>1220</v>
      </c>
      <c r="E381" s="294">
        <v>236750</v>
      </c>
    </row>
    <row r="382" spans="1:5" x14ac:dyDescent="0.2">
      <c r="A382" s="292" t="s">
        <v>4</v>
      </c>
      <c r="B382" s="293" t="s">
        <v>1208</v>
      </c>
      <c r="C382" s="293" t="s">
        <v>1339</v>
      </c>
      <c r="D382" s="293" t="s">
        <v>460</v>
      </c>
      <c r="E382" s="294">
        <v>236750</v>
      </c>
    </row>
    <row r="383" spans="1:5" ht="89.25" x14ac:dyDescent="0.2">
      <c r="A383" s="292" t="s">
        <v>662</v>
      </c>
      <c r="B383" s="293" t="s">
        <v>1209</v>
      </c>
      <c r="C383" s="293" t="s">
        <v>1314</v>
      </c>
      <c r="D383" s="293" t="s">
        <v>1314</v>
      </c>
      <c r="E383" s="294">
        <v>250000</v>
      </c>
    </row>
    <row r="384" spans="1:5" ht="51" x14ac:dyDescent="0.2">
      <c r="A384" s="292" t="s">
        <v>1501</v>
      </c>
      <c r="B384" s="293" t="s">
        <v>1209</v>
      </c>
      <c r="C384" s="293" t="s">
        <v>290</v>
      </c>
      <c r="D384" s="293" t="s">
        <v>1314</v>
      </c>
      <c r="E384" s="294">
        <v>250000</v>
      </c>
    </row>
    <row r="385" spans="1:5" ht="25.5" x14ac:dyDescent="0.2">
      <c r="A385" s="292" t="s">
        <v>1345</v>
      </c>
      <c r="B385" s="293" t="s">
        <v>1209</v>
      </c>
      <c r="C385" s="293" t="s">
        <v>30</v>
      </c>
      <c r="D385" s="293" t="s">
        <v>1314</v>
      </c>
      <c r="E385" s="294">
        <v>250000</v>
      </c>
    </row>
    <row r="386" spans="1:5" x14ac:dyDescent="0.2">
      <c r="A386" s="292" t="s">
        <v>147</v>
      </c>
      <c r="B386" s="293" t="s">
        <v>1209</v>
      </c>
      <c r="C386" s="293" t="s">
        <v>30</v>
      </c>
      <c r="D386" s="293" t="s">
        <v>1220</v>
      </c>
      <c r="E386" s="294">
        <v>250000</v>
      </c>
    </row>
    <row r="387" spans="1:5" x14ac:dyDescent="0.2">
      <c r="A387" s="292" t="s">
        <v>4</v>
      </c>
      <c r="B387" s="293" t="s">
        <v>1209</v>
      </c>
      <c r="C387" s="293" t="s">
        <v>30</v>
      </c>
      <c r="D387" s="293" t="s">
        <v>460</v>
      </c>
      <c r="E387" s="294">
        <v>250000</v>
      </c>
    </row>
    <row r="388" spans="1:5" ht="63.75" x14ac:dyDescent="0.2">
      <c r="A388" s="292" t="s">
        <v>655</v>
      </c>
      <c r="B388" s="293" t="s">
        <v>2073</v>
      </c>
      <c r="C388" s="293" t="s">
        <v>1314</v>
      </c>
      <c r="D388" s="293" t="s">
        <v>1314</v>
      </c>
      <c r="E388" s="294">
        <v>73090</v>
      </c>
    </row>
    <row r="389" spans="1:5" ht="51" x14ac:dyDescent="0.2">
      <c r="A389" s="292" t="s">
        <v>1501</v>
      </c>
      <c r="B389" s="293" t="s">
        <v>2073</v>
      </c>
      <c r="C389" s="293" t="s">
        <v>290</v>
      </c>
      <c r="D389" s="293" t="s">
        <v>1314</v>
      </c>
      <c r="E389" s="294">
        <v>69590</v>
      </c>
    </row>
    <row r="390" spans="1:5" x14ac:dyDescent="0.2">
      <c r="A390" s="292" t="s">
        <v>1331</v>
      </c>
      <c r="B390" s="293" t="s">
        <v>2073</v>
      </c>
      <c r="C390" s="293" t="s">
        <v>140</v>
      </c>
      <c r="D390" s="293" t="s">
        <v>1314</v>
      </c>
      <c r="E390" s="294">
        <v>69590</v>
      </c>
    </row>
    <row r="391" spans="1:5" x14ac:dyDescent="0.2">
      <c r="A391" s="292" t="s">
        <v>147</v>
      </c>
      <c r="B391" s="293" t="s">
        <v>2073</v>
      </c>
      <c r="C391" s="293" t="s">
        <v>140</v>
      </c>
      <c r="D391" s="293" t="s">
        <v>1220</v>
      </c>
      <c r="E391" s="294">
        <v>69590</v>
      </c>
    </row>
    <row r="392" spans="1:5" x14ac:dyDescent="0.2">
      <c r="A392" s="292" t="s">
        <v>1145</v>
      </c>
      <c r="B392" s="293" t="s">
        <v>2073</v>
      </c>
      <c r="C392" s="293" t="s">
        <v>140</v>
      </c>
      <c r="D392" s="293" t="s">
        <v>405</v>
      </c>
      <c r="E392" s="294">
        <v>69590</v>
      </c>
    </row>
    <row r="393" spans="1:5" ht="25.5" x14ac:dyDescent="0.2">
      <c r="A393" s="292" t="s">
        <v>1502</v>
      </c>
      <c r="B393" s="293" t="s">
        <v>2073</v>
      </c>
      <c r="C393" s="293" t="s">
        <v>1503</v>
      </c>
      <c r="D393" s="293" t="s">
        <v>1314</v>
      </c>
      <c r="E393" s="294">
        <v>3500</v>
      </c>
    </row>
    <row r="394" spans="1:5" ht="25.5" x14ac:dyDescent="0.2">
      <c r="A394" s="292" t="s">
        <v>1338</v>
      </c>
      <c r="B394" s="293" t="s">
        <v>2073</v>
      </c>
      <c r="C394" s="293" t="s">
        <v>1339</v>
      </c>
      <c r="D394" s="293" t="s">
        <v>1314</v>
      </c>
      <c r="E394" s="294">
        <v>3500</v>
      </c>
    </row>
    <row r="395" spans="1:5" x14ac:dyDescent="0.2">
      <c r="A395" s="292" t="s">
        <v>147</v>
      </c>
      <c r="B395" s="293" t="s">
        <v>2073</v>
      </c>
      <c r="C395" s="293" t="s">
        <v>1339</v>
      </c>
      <c r="D395" s="293" t="s">
        <v>1220</v>
      </c>
      <c r="E395" s="294">
        <v>3500</v>
      </c>
    </row>
    <row r="396" spans="1:5" x14ac:dyDescent="0.2">
      <c r="A396" s="292" t="s">
        <v>1145</v>
      </c>
      <c r="B396" s="293" t="s">
        <v>2073</v>
      </c>
      <c r="C396" s="293" t="s">
        <v>1339</v>
      </c>
      <c r="D396" s="293" t="s">
        <v>405</v>
      </c>
      <c r="E396" s="294">
        <v>3500</v>
      </c>
    </row>
    <row r="397" spans="1:5" ht="76.5" x14ac:dyDescent="0.2">
      <c r="A397" s="292" t="s">
        <v>656</v>
      </c>
      <c r="B397" s="293" t="s">
        <v>2074</v>
      </c>
      <c r="C397" s="293" t="s">
        <v>1314</v>
      </c>
      <c r="D397" s="293" t="s">
        <v>1314</v>
      </c>
      <c r="E397" s="294">
        <v>200000</v>
      </c>
    </row>
    <row r="398" spans="1:5" ht="25.5" x14ac:dyDescent="0.2">
      <c r="A398" s="292" t="s">
        <v>1502</v>
      </c>
      <c r="B398" s="293" t="s">
        <v>2074</v>
      </c>
      <c r="C398" s="293" t="s">
        <v>1503</v>
      </c>
      <c r="D398" s="293" t="s">
        <v>1314</v>
      </c>
      <c r="E398" s="294">
        <v>200000</v>
      </c>
    </row>
    <row r="399" spans="1:5" ht="25.5" x14ac:dyDescent="0.2">
      <c r="A399" s="292" t="s">
        <v>1338</v>
      </c>
      <c r="B399" s="293" t="s">
        <v>2074</v>
      </c>
      <c r="C399" s="293" t="s">
        <v>1339</v>
      </c>
      <c r="D399" s="293" t="s">
        <v>1314</v>
      </c>
      <c r="E399" s="294">
        <v>200000</v>
      </c>
    </row>
    <row r="400" spans="1:5" x14ac:dyDescent="0.2">
      <c r="A400" s="292" t="s">
        <v>147</v>
      </c>
      <c r="B400" s="293" t="s">
        <v>2074</v>
      </c>
      <c r="C400" s="293" t="s">
        <v>1339</v>
      </c>
      <c r="D400" s="293" t="s">
        <v>1220</v>
      </c>
      <c r="E400" s="294">
        <v>200000</v>
      </c>
    </row>
    <row r="401" spans="1:5" x14ac:dyDescent="0.2">
      <c r="A401" s="292" t="s">
        <v>1145</v>
      </c>
      <c r="B401" s="293" t="s">
        <v>2074</v>
      </c>
      <c r="C401" s="293" t="s">
        <v>1339</v>
      </c>
      <c r="D401" s="293" t="s">
        <v>405</v>
      </c>
      <c r="E401" s="294">
        <v>200000</v>
      </c>
    </row>
    <row r="402" spans="1:5" ht="25.5" x14ac:dyDescent="0.2">
      <c r="A402" s="292" t="s">
        <v>2037</v>
      </c>
      <c r="B402" s="293" t="s">
        <v>2038</v>
      </c>
      <c r="C402" s="293" t="s">
        <v>1314</v>
      </c>
      <c r="D402" s="293" t="s">
        <v>1314</v>
      </c>
      <c r="E402" s="294">
        <v>3270540</v>
      </c>
    </row>
    <row r="403" spans="1:5" ht="25.5" x14ac:dyDescent="0.2">
      <c r="A403" s="292" t="s">
        <v>879</v>
      </c>
      <c r="B403" s="293" t="s">
        <v>2039</v>
      </c>
      <c r="C403" s="293" t="s">
        <v>1314</v>
      </c>
      <c r="D403" s="293" t="s">
        <v>1314</v>
      </c>
      <c r="E403" s="294">
        <v>2119040</v>
      </c>
    </row>
    <row r="404" spans="1:5" ht="51" x14ac:dyDescent="0.2">
      <c r="A404" s="292" t="s">
        <v>2040</v>
      </c>
      <c r="B404" s="293" t="s">
        <v>2041</v>
      </c>
      <c r="C404" s="293" t="s">
        <v>1314</v>
      </c>
      <c r="D404" s="293" t="s">
        <v>1314</v>
      </c>
      <c r="E404" s="294">
        <v>1869040</v>
      </c>
    </row>
    <row r="405" spans="1:5" ht="25.5" x14ac:dyDescent="0.2">
      <c r="A405" s="292" t="s">
        <v>1502</v>
      </c>
      <c r="B405" s="293" t="s">
        <v>2041</v>
      </c>
      <c r="C405" s="293" t="s">
        <v>1503</v>
      </c>
      <c r="D405" s="293" t="s">
        <v>1314</v>
      </c>
      <c r="E405" s="294">
        <v>1869040</v>
      </c>
    </row>
    <row r="406" spans="1:5" ht="25.5" x14ac:dyDescent="0.2">
      <c r="A406" s="292" t="s">
        <v>1338</v>
      </c>
      <c r="B406" s="293" t="s">
        <v>2041</v>
      </c>
      <c r="C406" s="293" t="s">
        <v>1339</v>
      </c>
      <c r="D406" s="293" t="s">
        <v>1314</v>
      </c>
      <c r="E406" s="294">
        <v>1869040</v>
      </c>
    </row>
    <row r="407" spans="1:5" x14ac:dyDescent="0.2">
      <c r="A407" s="292" t="s">
        <v>255</v>
      </c>
      <c r="B407" s="293" t="s">
        <v>2041</v>
      </c>
      <c r="C407" s="293" t="s">
        <v>1339</v>
      </c>
      <c r="D407" s="293" t="s">
        <v>1219</v>
      </c>
      <c r="E407" s="294">
        <v>1869040</v>
      </c>
    </row>
    <row r="408" spans="1:5" x14ac:dyDescent="0.2">
      <c r="A408" s="292" t="s">
        <v>39</v>
      </c>
      <c r="B408" s="293" t="s">
        <v>2041</v>
      </c>
      <c r="C408" s="293" t="s">
        <v>1339</v>
      </c>
      <c r="D408" s="293" t="s">
        <v>428</v>
      </c>
      <c r="E408" s="294">
        <v>1869040</v>
      </c>
    </row>
    <row r="409" spans="1:5" ht="51" x14ac:dyDescent="0.2">
      <c r="A409" s="292" t="s">
        <v>2058</v>
      </c>
      <c r="B409" s="293" t="s">
        <v>2059</v>
      </c>
      <c r="C409" s="293" t="s">
        <v>1314</v>
      </c>
      <c r="D409" s="293" t="s">
        <v>1314</v>
      </c>
      <c r="E409" s="294">
        <v>250000</v>
      </c>
    </row>
    <row r="410" spans="1:5" ht="25.5" x14ac:dyDescent="0.2">
      <c r="A410" s="292" t="s">
        <v>1502</v>
      </c>
      <c r="B410" s="293" t="s">
        <v>2059</v>
      </c>
      <c r="C410" s="293" t="s">
        <v>1503</v>
      </c>
      <c r="D410" s="293" t="s">
        <v>1314</v>
      </c>
      <c r="E410" s="294">
        <v>250000</v>
      </c>
    </row>
    <row r="411" spans="1:5" ht="25.5" x14ac:dyDescent="0.2">
      <c r="A411" s="292" t="s">
        <v>1338</v>
      </c>
      <c r="B411" s="293" t="s">
        <v>2059</v>
      </c>
      <c r="C411" s="293" t="s">
        <v>1339</v>
      </c>
      <c r="D411" s="293" t="s">
        <v>1314</v>
      </c>
      <c r="E411" s="294">
        <v>250000</v>
      </c>
    </row>
    <row r="412" spans="1:5" x14ac:dyDescent="0.2">
      <c r="A412" s="292" t="s">
        <v>1938</v>
      </c>
      <c r="B412" s="293" t="s">
        <v>2059</v>
      </c>
      <c r="C412" s="293" t="s">
        <v>1339</v>
      </c>
      <c r="D412" s="293" t="s">
        <v>1939</v>
      </c>
      <c r="E412" s="294">
        <v>250000</v>
      </c>
    </row>
    <row r="413" spans="1:5" x14ac:dyDescent="0.2">
      <c r="A413" s="292" t="s">
        <v>1940</v>
      </c>
      <c r="B413" s="293" t="s">
        <v>2059</v>
      </c>
      <c r="C413" s="293" t="s">
        <v>1339</v>
      </c>
      <c r="D413" s="293" t="s">
        <v>1941</v>
      </c>
      <c r="E413" s="294">
        <v>250000</v>
      </c>
    </row>
    <row r="414" spans="1:5" x14ac:dyDescent="0.2">
      <c r="A414" s="292" t="s">
        <v>2044</v>
      </c>
      <c r="B414" s="293" t="s">
        <v>2045</v>
      </c>
      <c r="C414" s="293" t="s">
        <v>1314</v>
      </c>
      <c r="D414" s="293" t="s">
        <v>1314</v>
      </c>
      <c r="E414" s="294">
        <v>1151500</v>
      </c>
    </row>
    <row r="415" spans="1:5" ht="76.5" x14ac:dyDescent="0.2">
      <c r="A415" s="292" t="s">
        <v>2046</v>
      </c>
      <c r="B415" s="293" t="s">
        <v>2047</v>
      </c>
      <c r="C415" s="293" t="s">
        <v>1314</v>
      </c>
      <c r="D415" s="293" t="s">
        <v>1314</v>
      </c>
      <c r="E415" s="294">
        <v>1151500</v>
      </c>
    </row>
    <row r="416" spans="1:5" ht="51" x14ac:dyDescent="0.2">
      <c r="A416" s="292" t="s">
        <v>1501</v>
      </c>
      <c r="B416" s="293" t="s">
        <v>2047</v>
      </c>
      <c r="C416" s="293" t="s">
        <v>290</v>
      </c>
      <c r="D416" s="293" t="s">
        <v>1314</v>
      </c>
      <c r="E416" s="294">
        <v>77720</v>
      </c>
    </row>
    <row r="417" spans="1:5" ht="25.5" x14ac:dyDescent="0.2">
      <c r="A417" s="292" t="s">
        <v>1345</v>
      </c>
      <c r="B417" s="293" t="s">
        <v>2047</v>
      </c>
      <c r="C417" s="293" t="s">
        <v>30</v>
      </c>
      <c r="D417" s="293" t="s">
        <v>1314</v>
      </c>
      <c r="E417" s="294">
        <v>77720</v>
      </c>
    </row>
    <row r="418" spans="1:5" x14ac:dyDescent="0.2">
      <c r="A418" s="292" t="s">
        <v>1938</v>
      </c>
      <c r="B418" s="293" t="s">
        <v>2047</v>
      </c>
      <c r="C418" s="293" t="s">
        <v>30</v>
      </c>
      <c r="D418" s="293" t="s">
        <v>1939</v>
      </c>
      <c r="E418" s="294">
        <v>77720</v>
      </c>
    </row>
    <row r="419" spans="1:5" ht="25.5" x14ac:dyDescent="0.2">
      <c r="A419" s="292" t="s">
        <v>2042</v>
      </c>
      <c r="B419" s="293" t="s">
        <v>2047</v>
      </c>
      <c r="C419" s="293" t="s">
        <v>30</v>
      </c>
      <c r="D419" s="293" t="s">
        <v>2043</v>
      </c>
      <c r="E419" s="294">
        <v>77720</v>
      </c>
    </row>
    <row r="420" spans="1:5" ht="25.5" x14ac:dyDescent="0.2">
      <c r="A420" s="292" t="s">
        <v>1502</v>
      </c>
      <c r="B420" s="293" t="s">
        <v>2047</v>
      </c>
      <c r="C420" s="293" t="s">
        <v>1503</v>
      </c>
      <c r="D420" s="293" t="s">
        <v>1314</v>
      </c>
      <c r="E420" s="294">
        <v>1073780</v>
      </c>
    </row>
    <row r="421" spans="1:5" ht="25.5" x14ac:dyDescent="0.2">
      <c r="A421" s="292" t="s">
        <v>1338</v>
      </c>
      <c r="B421" s="293" t="s">
        <v>2047</v>
      </c>
      <c r="C421" s="293" t="s">
        <v>1339</v>
      </c>
      <c r="D421" s="293" t="s">
        <v>1314</v>
      </c>
      <c r="E421" s="294">
        <v>1073780</v>
      </c>
    </row>
    <row r="422" spans="1:5" x14ac:dyDescent="0.2">
      <c r="A422" s="292" t="s">
        <v>1938</v>
      </c>
      <c r="B422" s="293" t="s">
        <v>2047</v>
      </c>
      <c r="C422" s="293" t="s">
        <v>1339</v>
      </c>
      <c r="D422" s="293" t="s">
        <v>1939</v>
      </c>
      <c r="E422" s="294">
        <v>1073780</v>
      </c>
    </row>
    <row r="423" spans="1:5" ht="25.5" x14ac:dyDescent="0.2">
      <c r="A423" s="292" t="s">
        <v>2042</v>
      </c>
      <c r="B423" s="293" t="s">
        <v>2047</v>
      </c>
      <c r="C423" s="293" t="s">
        <v>1339</v>
      </c>
      <c r="D423" s="293" t="s">
        <v>2043</v>
      </c>
      <c r="E423" s="294">
        <v>1073780</v>
      </c>
    </row>
    <row r="424" spans="1:5" ht="38.25" x14ac:dyDescent="0.2">
      <c r="A424" s="292" t="s">
        <v>493</v>
      </c>
      <c r="B424" s="293" t="s">
        <v>1034</v>
      </c>
      <c r="C424" s="293" t="s">
        <v>1314</v>
      </c>
      <c r="D424" s="293" t="s">
        <v>1314</v>
      </c>
      <c r="E424" s="294">
        <v>234765102</v>
      </c>
    </row>
    <row r="425" spans="1:5" ht="38.25" x14ac:dyDescent="0.2">
      <c r="A425" s="292" t="s">
        <v>638</v>
      </c>
      <c r="B425" s="293" t="s">
        <v>1035</v>
      </c>
      <c r="C425" s="293" t="s">
        <v>1314</v>
      </c>
      <c r="D425" s="293" t="s">
        <v>1314</v>
      </c>
      <c r="E425" s="294">
        <v>218077400</v>
      </c>
    </row>
    <row r="426" spans="1:5" ht="89.25" x14ac:dyDescent="0.2">
      <c r="A426" s="292" t="s">
        <v>1270</v>
      </c>
      <c r="B426" s="293" t="s">
        <v>736</v>
      </c>
      <c r="C426" s="293" t="s">
        <v>1314</v>
      </c>
      <c r="D426" s="293" t="s">
        <v>1314</v>
      </c>
      <c r="E426" s="294">
        <v>197202600</v>
      </c>
    </row>
    <row r="427" spans="1:5" ht="51" x14ac:dyDescent="0.2">
      <c r="A427" s="292" t="s">
        <v>1501</v>
      </c>
      <c r="B427" s="293" t="s">
        <v>736</v>
      </c>
      <c r="C427" s="293" t="s">
        <v>290</v>
      </c>
      <c r="D427" s="293" t="s">
        <v>1314</v>
      </c>
      <c r="E427" s="294">
        <v>1181565</v>
      </c>
    </row>
    <row r="428" spans="1:5" x14ac:dyDescent="0.2">
      <c r="A428" s="292" t="s">
        <v>1331</v>
      </c>
      <c r="B428" s="293" t="s">
        <v>736</v>
      </c>
      <c r="C428" s="293" t="s">
        <v>140</v>
      </c>
      <c r="D428" s="293" t="s">
        <v>1314</v>
      </c>
      <c r="E428" s="294">
        <v>1181565</v>
      </c>
    </row>
    <row r="429" spans="1:5" x14ac:dyDescent="0.2">
      <c r="A429" s="292" t="s">
        <v>255</v>
      </c>
      <c r="B429" s="293" t="s">
        <v>736</v>
      </c>
      <c r="C429" s="293" t="s">
        <v>140</v>
      </c>
      <c r="D429" s="293" t="s">
        <v>1219</v>
      </c>
      <c r="E429" s="294">
        <v>1181565</v>
      </c>
    </row>
    <row r="430" spans="1:5" x14ac:dyDescent="0.2">
      <c r="A430" s="292" t="s">
        <v>153</v>
      </c>
      <c r="B430" s="293" t="s">
        <v>736</v>
      </c>
      <c r="C430" s="293" t="s">
        <v>140</v>
      </c>
      <c r="D430" s="293" t="s">
        <v>404</v>
      </c>
      <c r="E430" s="294">
        <v>1181565</v>
      </c>
    </row>
    <row r="431" spans="1:5" ht="25.5" x14ac:dyDescent="0.2">
      <c r="A431" s="292" t="s">
        <v>1502</v>
      </c>
      <c r="B431" s="293" t="s">
        <v>736</v>
      </c>
      <c r="C431" s="293" t="s">
        <v>1503</v>
      </c>
      <c r="D431" s="293" t="s">
        <v>1314</v>
      </c>
      <c r="E431" s="294">
        <v>196032</v>
      </c>
    </row>
    <row r="432" spans="1:5" ht="25.5" x14ac:dyDescent="0.2">
      <c r="A432" s="292" t="s">
        <v>1338</v>
      </c>
      <c r="B432" s="293" t="s">
        <v>736</v>
      </c>
      <c r="C432" s="293" t="s">
        <v>1339</v>
      </c>
      <c r="D432" s="293" t="s">
        <v>1314</v>
      </c>
      <c r="E432" s="294">
        <v>196032</v>
      </c>
    </row>
    <row r="433" spans="1:5" x14ac:dyDescent="0.2">
      <c r="A433" s="292" t="s">
        <v>255</v>
      </c>
      <c r="B433" s="293" t="s">
        <v>736</v>
      </c>
      <c r="C433" s="293" t="s">
        <v>1339</v>
      </c>
      <c r="D433" s="293" t="s">
        <v>1219</v>
      </c>
      <c r="E433" s="294">
        <v>196032</v>
      </c>
    </row>
    <row r="434" spans="1:5" x14ac:dyDescent="0.2">
      <c r="A434" s="292" t="s">
        <v>153</v>
      </c>
      <c r="B434" s="293" t="s">
        <v>736</v>
      </c>
      <c r="C434" s="293" t="s">
        <v>1339</v>
      </c>
      <c r="D434" s="293" t="s">
        <v>404</v>
      </c>
      <c r="E434" s="294">
        <v>196032</v>
      </c>
    </row>
    <row r="435" spans="1:5" x14ac:dyDescent="0.2">
      <c r="A435" s="292" t="s">
        <v>1504</v>
      </c>
      <c r="B435" s="293" t="s">
        <v>736</v>
      </c>
      <c r="C435" s="293" t="s">
        <v>1505</v>
      </c>
      <c r="D435" s="293" t="s">
        <v>1314</v>
      </c>
      <c r="E435" s="294">
        <v>195825003</v>
      </c>
    </row>
    <row r="436" spans="1:5" ht="38.25" x14ac:dyDescent="0.2">
      <c r="A436" s="292" t="s">
        <v>1348</v>
      </c>
      <c r="B436" s="293" t="s">
        <v>736</v>
      </c>
      <c r="C436" s="293" t="s">
        <v>394</v>
      </c>
      <c r="D436" s="293" t="s">
        <v>1314</v>
      </c>
      <c r="E436" s="294">
        <v>195751920</v>
      </c>
    </row>
    <row r="437" spans="1:5" x14ac:dyDescent="0.2">
      <c r="A437" s="292" t="s">
        <v>255</v>
      </c>
      <c r="B437" s="293" t="s">
        <v>736</v>
      </c>
      <c r="C437" s="293" t="s">
        <v>394</v>
      </c>
      <c r="D437" s="293" t="s">
        <v>1219</v>
      </c>
      <c r="E437" s="294">
        <v>195751920</v>
      </c>
    </row>
    <row r="438" spans="1:5" x14ac:dyDescent="0.2">
      <c r="A438" s="292" t="s">
        <v>153</v>
      </c>
      <c r="B438" s="293" t="s">
        <v>736</v>
      </c>
      <c r="C438" s="293" t="s">
        <v>394</v>
      </c>
      <c r="D438" s="293" t="s">
        <v>404</v>
      </c>
      <c r="E438" s="294">
        <v>195751920</v>
      </c>
    </row>
    <row r="439" spans="1:5" x14ac:dyDescent="0.2">
      <c r="A439" s="292" t="s">
        <v>1343</v>
      </c>
      <c r="B439" s="293" t="s">
        <v>736</v>
      </c>
      <c r="C439" s="293" t="s">
        <v>1344</v>
      </c>
      <c r="D439" s="293" t="s">
        <v>1314</v>
      </c>
      <c r="E439" s="294">
        <v>73083</v>
      </c>
    </row>
    <row r="440" spans="1:5" x14ac:dyDescent="0.2">
      <c r="A440" s="292" t="s">
        <v>255</v>
      </c>
      <c r="B440" s="293" t="s">
        <v>736</v>
      </c>
      <c r="C440" s="293" t="s">
        <v>1344</v>
      </c>
      <c r="D440" s="293" t="s">
        <v>1219</v>
      </c>
      <c r="E440" s="294">
        <v>73083</v>
      </c>
    </row>
    <row r="441" spans="1:5" x14ac:dyDescent="0.2">
      <c r="A441" s="292" t="s">
        <v>153</v>
      </c>
      <c r="B441" s="293" t="s">
        <v>736</v>
      </c>
      <c r="C441" s="293" t="s">
        <v>1344</v>
      </c>
      <c r="D441" s="293" t="s">
        <v>404</v>
      </c>
      <c r="E441" s="294">
        <v>73083</v>
      </c>
    </row>
    <row r="442" spans="1:5" ht="127.5" x14ac:dyDescent="0.2">
      <c r="A442" s="292" t="s">
        <v>1532</v>
      </c>
      <c r="B442" s="293" t="s">
        <v>735</v>
      </c>
      <c r="C442" s="293" t="s">
        <v>1314</v>
      </c>
      <c r="D442" s="293" t="s">
        <v>1314</v>
      </c>
      <c r="E442" s="294">
        <v>17100500</v>
      </c>
    </row>
    <row r="443" spans="1:5" x14ac:dyDescent="0.2">
      <c r="A443" s="292" t="s">
        <v>1504</v>
      </c>
      <c r="B443" s="293" t="s">
        <v>735</v>
      </c>
      <c r="C443" s="293" t="s">
        <v>1505</v>
      </c>
      <c r="D443" s="293" t="s">
        <v>1314</v>
      </c>
      <c r="E443" s="294">
        <v>17100500</v>
      </c>
    </row>
    <row r="444" spans="1:5" ht="38.25" x14ac:dyDescent="0.2">
      <c r="A444" s="292" t="s">
        <v>1348</v>
      </c>
      <c r="B444" s="293" t="s">
        <v>735</v>
      </c>
      <c r="C444" s="293" t="s">
        <v>394</v>
      </c>
      <c r="D444" s="293" t="s">
        <v>1314</v>
      </c>
      <c r="E444" s="294">
        <v>17100500</v>
      </c>
    </row>
    <row r="445" spans="1:5" x14ac:dyDescent="0.2">
      <c r="A445" s="292" t="s">
        <v>255</v>
      </c>
      <c r="B445" s="293" t="s">
        <v>735</v>
      </c>
      <c r="C445" s="293" t="s">
        <v>394</v>
      </c>
      <c r="D445" s="293" t="s">
        <v>1219</v>
      </c>
      <c r="E445" s="294">
        <v>17100500</v>
      </c>
    </row>
    <row r="446" spans="1:5" x14ac:dyDescent="0.2">
      <c r="A446" s="292" t="s">
        <v>153</v>
      </c>
      <c r="B446" s="293" t="s">
        <v>735</v>
      </c>
      <c r="C446" s="293" t="s">
        <v>394</v>
      </c>
      <c r="D446" s="293" t="s">
        <v>404</v>
      </c>
      <c r="E446" s="294">
        <v>17100500</v>
      </c>
    </row>
    <row r="447" spans="1:5" ht="102" x14ac:dyDescent="0.2">
      <c r="A447" s="292" t="s">
        <v>1497</v>
      </c>
      <c r="B447" s="293" t="s">
        <v>1498</v>
      </c>
      <c r="C447" s="293" t="s">
        <v>1314</v>
      </c>
      <c r="D447" s="293" t="s">
        <v>1314</v>
      </c>
      <c r="E447" s="294">
        <v>2917665</v>
      </c>
    </row>
    <row r="448" spans="1:5" ht="51" x14ac:dyDescent="0.2">
      <c r="A448" s="292" t="s">
        <v>1501</v>
      </c>
      <c r="B448" s="293" t="s">
        <v>1498</v>
      </c>
      <c r="C448" s="293" t="s">
        <v>290</v>
      </c>
      <c r="D448" s="293" t="s">
        <v>1314</v>
      </c>
      <c r="E448" s="294">
        <v>2402551</v>
      </c>
    </row>
    <row r="449" spans="1:5" x14ac:dyDescent="0.2">
      <c r="A449" s="292" t="s">
        <v>1331</v>
      </c>
      <c r="B449" s="293" t="s">
        <v>1498</v>
      </c>
      <c r="C449" s="293" t="s">
        <v>140</v>
      </c>
      <c r="D449" s="293" t="s">
        <v>1314</v>
      </c>
      <c r="E449" s="294">
        <v>2402551</v>
      </c>
    </row>
    <row r="450" spans="1:5" x14ac:dyDescent="0.2">
      <c r="A450" s="292" t="s">
        <v>255</v>
      </c>
      <c r="B450" s="293" t="s">
        <v>1498</v>
      </c>
      <c r="C450" s="293" t="s">
        <v>140</v>
      </c>
      <c r="D450" s="293" t="s">
        <v>1219</v>
      </c>
      <c r="E450" s="294">
        <v>2402551</v>
      </c>
    </row>
    <row r="451" spans="1:5" x14ac:dyDescent="0.2">
      <c r="A451" s="292" t="s">
        <v>153</v>
      </c>
      <c r="B451" s="293" t="s">
        <v>1498</v>
      </c>
      <c r="C451" s="293" t="s">
        <v>140</v>
      </c>
      <c r="D451" s="293" t="s">
        <v>404</v>
      </c>
      <c r="E451" s="294">
        <v>2402551</v>
      </c>
    </row>
    <row r="452" spans="1:5" ht="25.5" x14ac:dyDescent="0.2">
      <c r="A452" s="292" t="s">
        <v>1502</v>
      </c>
      <c r="B452" s="293" t="s">
        <v>1498</v>
      </c>
      <c r="C452" s="293" t="s">
        <v>1503</v>
      </c>
      <c r="D452" s="293" t="s">
        <v>1314</v>
      </c>
      <c r="E452" s="294">
        <v>468457</v>
      </c>
    </row>
    <row r="453" spans="1:5" ht="25.5" x14ac:dyDescent="0.2">
      <c r="A453" s="292" t="s">
        <v>1338</v>
      </c>
      <c r="B453" s="293" t="s">
        <v>1498</v>
      </c>
      <c r="C453" s="293" t="s">
        <v>1339</v>
      </c>
      <c r="D453" s="293" t="s">
        <v>1314</v>
      </c>
      <c r="E453" s="294">
        <v>468457</v>
      </c>
    </row>
    <row r="454" spans="1:5" x14ac:dyDescent="0.2">
      <c r="A454" s="292" t="s">
        <v>255</v>
      </c>
      <c r="B454" s="293" t="s">
        <v>1498</v>
      </c>
      <c r="C454" s="293" t="s">
        <v>1339</v>
      </c>
      <c r="D454" s="293" t="s">
        <v>1219</v>
      </c>
      <c r="E454" s="294">
        <v>468457</v>
      </c>
    </row>
    <row r="455" spans="1:5" x14ac:dyDescent="0.2">
      <c r="A455" s="292" t="s">
        <v>153</v>
      </c>
      <c r="B455" s="293" t="s">
        <v>1498</v>
      </c>
      <c r="C455" s="293" t="s">
        <v>1339</v>
      </c>
      <c r="D455" s="293" t="s">
        <v>404</v>
      </c>
      <c r="E455" s="294">
        <v>468457</v>
      </c>
    </row>
    <row r="456" spans="1:5" x14ac:dyDescent="0.2">
      <c r="A456" s="292" t="s">
        <v>1504</v>
      </c>
      <c r="B456" s="293" t="s">
        <v>1498</v>
      </c>
      <c r="C456" s="293" t="s">
        <v>1505</v>
      </c>
      <c r="D456" s="293" t="s">
        <v>1314</v>
      </c>
      <c r="E456" s="294">
        <v>46657</v>
      </c>
    </row>
    <row r="457" spans="1:5" x14ac:dyDescent="0.2">
      <c r="A457" s="292" t="s">
        <v>1343</v>
      </c>
      <c r="B457" s="293" t="s">
        <v>1498</v>
      </c>
      <c r="C457" s="293" t="s">
        <v>1344</v>
      </c>
      <c r="D457" s="293" t="s">
        <v>1314</v>
      </c>
      <c r="E457" s="294">
        <v>46657</v>
      </c>
    </row>
    <row r="458" spans="1:5" x14ac:dyDescent="0.2">
      <c r="A458" s="292" t="s">
        <v>255</v>
      </c>
      <c r="B458" s="293" t="s">
        <v>1498</v>
      </c>
      <c r="C458" s="293" t="s">
        <v>1344</v>
      </c>
      <c r="D458" s="293" t="s">
        <v>1219</v>
      </c>
      <c r="E458" s="294">
        <v>46657</v>
      </c>
    </row>
    <row r="459" spans="1:5" x14ac:dyDescent="0.2">
      <c r="A459" s="292" t="s">
        <v>153</v>
      </c>
      <c r="B459" s="293" t="s">
        <v>1498</v>
      </c>
      <c r="C459" s="293" t="s">
        <v>1344</v>
      </c>
      <c r="D459" s="293" t="s">
        <v>404</v>
      </c>
      <c r="E459" s="294">
        <v>46657</v>
      </c>
    </row>
    <row r="460" spans="1:5" ht="140.25" x14ac:dyDescent="0.2">
      <c r="A460" s="292" t="s">
        <v>1561</v>
      </c>
      <c r="B460" s="293" t="s">
        <v>1562</v>
      </c>
      <c r="C460" s="293" t="s">
        <v>1314</v>
      </c>
      <c r="D460" s="293" t="s">
        <v>1314</v>
      </c>
      <c r="E460" s="294">
        <v>320700</v>
      </c>
    </row>
    <row r="461" spans="1:5" ht="51" x14ac:dyDescent="0.2">
      <c r="A461" s="292" t="s">
        <v>1501</v>
      </c>
      <c r="B461" s="293" t="s">
        <v>1562</v>
      </c>
      <c r="C461" s="293" t="s">
        <v>290</v>
      </c>
      <c r="D461" s="293" t="s">
        <v>1314</v>
      </c>
      <c r="E461" s="294">
        <v>320700</v>
      </c>
    </row>
    <row r="462" spans="1:5" x14ac:dyDescent="0.2">
      <c r="A462" s="292" t="s">
        <v>1331</v>
      </c>
      <c r="B462" s="293" t="s">
        <v>1562</v>
      </c>
      <c r="C462" s="293" t="s">
        <v>140</v>
      </c>
      <c r="D462" s="293" t="s">
        <v>1314</v>
      </c>
      <c r="E462" s="294">
        <v>320700</v>
      </c>
    </row>
    <row r="463" spans="1:5" x14ac:dyDescent="0.2">
      <c r="A463" s="292" t="s">
        <v>255</v>
      </c>
      <c r="B463" s="293" t="s">
        <v>1562</v>
      </c>
      <c r="C463" s="293" t="s">
        <v>140</v>
      </c>
      <c r="D463" s="293" t="s">
        <v>1219</v>
      </c>
      <c r="E463" s="294">
        <v>320700</v>
      </c>
    </row>
    <row r="464" spans="1:5" x14ac:dyDescent="0.2">
      <c r="A464" s="292" t="s">
        <v>153</v>
      </c>
      <c r="B464" s="293" t="s">
        <v>1562</v>
      </c>
      <c r="C464" s="293" t="s">
        <v>140</v>
      </c>
      <c r="D464" s="293" t="s">
        <v>404</v>
      </c>
      <c r="E464" s="294">
        <v>320700</v>
      </c>
    </row>
    <row r="465" spans="1:5" ht="114.75" x14ac:dyDescent="0.2">
      <c r="A465" s="292" t="s">
        <v>2075</v>
      </c>
      <c r="B465" s="293" t="s">
        <v>2076</v>
      </c>
      <c r="C465" s="293" t="s">
        <v>1314</v>
      </c>
      <c r="D465" s="293" t="s">
        <v>1314</v>
      </c>
      <c r="E465" s="294">
        <v>40000</v>
      </c>
    </row>
    <row r="466" spans="1:5" ht="51" x14ac:dyDescent="0.2">
      <c r="A466" s="292" t="s">
        <v>1501</v>
      </c>
      <c r="B466" s="293" t="s">
        <v>2076</v>
      </c>
      <c r="C466" s="293" t="s">
        <v>290</v>
      </c>
      <c r="D466" s="293" t="s">
        <v>1314</v>
      </c>
      <c r="E466" s="294">
        <v>40000</v>
      </c>
    </row>
    <row r="467" spans="1:5" x14ac:dyDescent="0.2">
      <c r="A467" s="292" t="s">
        <v>1331</v>
      </c>
      <c r="B467" s="293" t="s">
        <v>2076</v>
      </c>
      <c r="C467" s="293" t="s">
        <v>140</v>
      </c>
      <c r="D467" s="293" t="s">
        <v>1314</v>
      </c>
      <c r="E467" s="294">
        <v>40000</v>
      </c>
    </row>
    <row r="468" spans="1:5" x14ac:dyDescent="0.2">
      <c r="A468" s="292" t="s">
        <v>255</v>
      </c>
      <c r="B468" s="293" t="s">
        <v>2076</v>
      </c>
      <c r="C468" s="293" t="s">
        <v>140</v>
      </c>
      <c r="D468" s="293" t="s">
        <v>1219</v>
      </c>
      <c r="E468" s="294">
        <v>40000</v>
      </c>
    </row>
    <row r="469" spans="1:5" x14ac:dyDescent="0.2">
      <c r="A469" s="292" t="s">
        <v>153</v>
      </c>
      <c r="B469" s="293" t="s">
        <v>2076</v>
      </c>
      <c r="C469" s="293" t="s">
        <v>140</v>
      </c>
      <c r="D469" s="293" t="s">
        <v>404</v>
      </c>
      <c r="E469" s="294">
        <v>40000</v>
      </c>
    </row>
    <row r="470" spans="1:5" ht="102" x14ac:dyDescent="0.2">
      <c r="A470" s="292" t="s">
        <v>1499</v>
      </c>
      <c r="B470" s="293" t="s">
        <v>1500</v>
      </c>
      <c r="C470" s="293" t="s">
        <v>1314</v>
      </c>
      <c r="D470" s="293" t="s">
        <v>1314</v>
      </c>
      <c r="E470" s="294">
        <v>495935</v>
      </c>
    </row>
    <row r="471" spans="1:5" ht="25.5" x14ac:dyDescent="0.2">
      <c r="A471" s="292" t="s">
        <v>1502</v>
      </c>
      <c r="B471" s="293" t="s">
        <v>1500</v>
      </c>
      <c r="C471" s="293" t="s">
        <v>1503</v>
      </c>
      <c r="D471" s="293" t="s">
        <v>1314</v>
      </c>
      <c r="E471" s="294">
        <v>495935</v>
      </c>
    </row>
    <row r="472" spans="1:5" ht="25.5" x14ac:dyDescent="0.2">
      <c r="A472" s="292" t="s">
        <v>1338</v>
      </c>
      <c r="B472" s="293" t="s">
        <v>1500</v>
      </c>
      <c r="C472" s="293" t="s">
        <v>1339</v>
      </c>
      <c r="D472" s="293" t="s">
        <v>1314</v>
      </c>
      <c r="E472" s="294">
        <v>495935</v>
      </c>
    </row>
    <row r="473" spans="1:5" x14ac:dyDescent="0.2">
      <c r="A473" s="292" t="s">
        <v>255</v>
      </c>
      <c r="B473" s="293" t="s">
        <v>1500</v>
      </c>
      <c r="C473" s="293" t="s">
        <v>1339</v>
      </c>
      <c r="D473" s="293" t="s">
        <v>1219</v>
      </c>
      <c r="E473" s="294">
        <v>495935</v>
      </c>
    </row>
    <row r="474" spans="1:5" x14ac:dyDescent="0.2">
      <c r="A474" s="292" t="s">
        <v>153</v>
      </c>
      <c r="B474" s="293" t="s">
        <v>1500</v>
      </c>
      <c r="C474" s="293" t="s">
        <v>1339</v>
      </c>
      <c r="D474" s="293" t="s">
        <v>404</v>
      </c>
      <c r="E474" s="294">
        <v>495935</v>
      </c>
    </row>
    <row r="475" spans="1:5" ht="38.25" x14ac:dyDescent="0.2">
      <c r="A475" s="292" t="s">
        <v>639</v>
      </c>
      <c r="B475" s="293" t="s">
        <v>1036</v>
      </c>
      <c r="C475" s="293" t="s">
        <v>1314</v>
      </c>
      <c r="D475" s="293" t="s">
        <v>1314</v>
      </c>
      <c r="E475" s="294">
        <v>192955</v>
      </c>
    </row>
    <row r="476" spans="1:5" ht="89.25" x14ac:dyDescent="0.2">
      <c r="A476" s="292" t="s">
        <v>571</v>
      </c>
      <c r="B476" s="293" t="s">
        <v>794</v>
      </c>
      <c r="C476" s="293" t="s">
        <v>1314</v>
      </c>
      <c r="D476" s="293" t="s">
        <v>1314</v>
      </c>
      <c r="E476" s="294">
        <v>192955</v>
      </c>
    </row>
    <row r="477" spans="1:5" ht="25.5" x14ac:dyDescent="0.2">
      <c r="A477" s="292" t="s">
        <v>1502</v>
      </c>
      <c r="B477" s="293" t="s">
        <v>794</v>
      </c>
      <c r="C477" s="293" t="s">
        <v>1503</v>
      </c>
      <c r="D477" s="293" t="s">
        <v>1314</v>
      </c>
      <c r="E477" s="294">
        <v>192955</v>
      </c>
    </row>
    <row r="478" spans="1:5" ht="25.5" x14ac:dyDescent="0.2">
      <c r="A478" s="292" t="s">
        <v>1338</v>
      </c>
      <c r="B478" s="293" t="s">
        <v>794</v>
      </c>
      <c r="C478" s="293" t="s">
        <v>1339</v>
      </c>
      <c r="D478" s="293" t="s">
        <v>1314</v>
      </c>
      <c r="E478" s="294">
        <v>192955</v>
      </c>
    </row>
    <row r="479" spans="1:5" x14ac:dyDescent="0.2">
      <c r="A479" s="292" t="s">
        <v>255</v>
      </c>
      <c r="B479" s="293" t="s">
        <v>794</v>
      </c>
      <c r="C479" s="293" t="s">
        <v>1339</v>
      </c>
      <c r="D479" s="293" t="s">
        <v>1219</v>
      </c>
      <c r="E479" s="294">
        <v>192955</v>
      </c>
    </row>
    <row r="480" spans="1:5" x14ac:dyDescent="0.2">
      <c r="A480" s="292" t="s">
        <v>3</v>
      </c>
      <c r="B480" s="293" t="s">
        <v>794</v>
      </c>
      <c r="C480" s="293" t="s">
        <v>1339</v>
      </c>
      <c r="D480" s="293" t="s">
        <v>426</v>
      </c>
      <c r="E480" s="294">
        <v>192955</v>
      </c>
    </row>
    <row r="481" spans="1:5" ht="38.25" x14ac:dyDescent="0.2">
      <c r="A481" s="292" t="s">
        <v>495</v>
      </c>
      <c r="B481" s="293" t="s">
        <v>1496</v>
      </c>
      <c r="C481" s="293" t="s">
        <v>1314</v>
      </c>
      <c r="D481" s="293" t="s">
        <v>1314</v>
      </c>
      <c r="E481" s="294">
        <v>4551531</v>
      </c>
    </row>
    <row r="482" spans="1:5" ht="76.5" x14ac:dyDescent="0.2">
      <c r="A482" s="292" t="s">
        <v>436</v>
      </c>
      <c r="B482" s="293" t="s">
        <v>822</v>
      </c>
      <c r="C482" s="293" t="s">
        <v>1314</v>
      </c>
      <c r="D482" s="293" t="s">
        <v>1314</v>
      </c>
      <c r="E482" s="294">
        <v>4551531</v>
      </c>
    </row>
    <row r="483" spans="1:5" ht="25.5" x14ac:dyDescent="0.2">
      <c r="A483" s="292" t="s">
        <v>1502</v>
      </c>
      <c r="B483" s="293" t="s">
        <v>822</v>
      </c>
      <c r="C483" s="293" t="s">
        <v>1503</v>
      </c>
      <c r="D483" s="293" t="s">
        <v>1314</v>
      </c>
      <c r="E483" s="294">
        <v>2801531</v>
      </c>
    </row>
    <row r="484" spans="1:5" ht="25.5" x14ac:dyDescent="0.2">
      <c r="A484" s="292" t="s">
        <v>1338</v>
      </c>
      <c r="B484" s="293" t="s">
        <v>822</v>
      </c>
      <c r="C484" s="293" t="s">
        <v>1339</v>
      </c>
      <c r="D484" s="293" t="s">
        <v>1314</v>
      </c>
      <c r="E484" s="294">
        <v>2801531</v>
      </c>
    </row>
    <row r="485" spans="1:5" x14ac:dyDescent="0.2">
      <c r="A485" s="292" t="s">
        <v>147</v>
      </c>
      <c r="B485" s="293" t="s">
        <v>822</v>
      </c>
      <c r="C485" s="293" t="s">
        <v>1339</v>
      </c>
      <c r="D485" s="293" t="s">
        <v>1220</v>
      </c>
      <c r="E485" s="294">
        <v>2801531</v>
      </c>
    </row>
    <row r="486" spans="1:5" x14ac:dyDescent="0.2">
      <c r="A486" s="292" t="s">
        <v>159</v>
      </c>
      <c r="B486" s="293" t="s">
        <v>822</v>
      </c>
      <c r="C486" s="293" t="s">
        <v>1339</v>
      </c>
      <c r="D486" s="293" t="s">
        <v>448</v>
      </c>
      <c r="E486" s="294">
        <v>828385</v>
      </c>
    </row>
    <row r="487" spans="1:5" x14ac:dyDescent="0.2">
      <c r="A487" s="292" t="s">
        <v>160</v>
      </c>
      <c r="B487" s="293" t="s">
        <v>822</v>
      </c>
      <c r="C487" s="293" t="s">
        <v>1339</v>
      </c>
      <c r="D487" s="293" t="s">
        <v>435</v>
      </c>
      <c r="E487" s="294">
        <v>1973146</v>
      </c>
    </row>
    <row r="488" spans="1:5" ht="25.5" x14ac:dyDescent="0.2">
      <c r="A488" s="292" t="s">
        <v>1510</v>
      </c>
      <c r="B488" s="293" t="s">
        <v>822</v>
      </c>
      <c r="C488" s="293" t="s">
        <v>1511</v>
      </c>
      <c r="D488" s="293" t="s">
        <v>1314</v>
      </c>
      <c r="E488" s="294">
        <v>1750000</v>
      </c>
    </row>
    <row r="489" spans="1:5" x14ac:dyDescent="0.2">
      <c r="A489" s="292" t="s">
        <v>1340</v>
      </c>
      <c r="B489" s="293" t="s">
        <v>822</v>
      </c>
      <c r="C489" s="293" t="s">
        <v>1341</v>
      </c>
      <c r="D489" s="293" t="s">
        <v>1314</v>
      </c>
      <c r="E489" s="294">
        <v>1750000</v>
      </c>
    </row>
    <row r="490" spans="1:5" x14ac:dyDescent="0.2">
      <c r="A490" s="292" t="s">
        <v>266</v>
      </c>
      <c r="B490" s="293" t="s">
        <v>822</v>
      </c>
      <c r="C490" s="293" t="s">
        <v>1341</v>
      </c>
      <c r="D490" s="293" t="s">
        <v>1226</v>
      </c>
      <c r="E490" s="294">
        <v>1750000</v>
      </c>
    </row>
    <row r="491" spans="1:5" x14ac:dyDescent="0.2">
      <c r="A491" s="292" t="s">
        <v>222</v>
      </c>
      <c r="B491" s="293" t="s">
        <v>822</v>
      </c>
      <c r="C491" s="293" t="s">
        <v>1341</v>
      </c>
      <c r="D491" s="293" t="s">
        <v>432</v>
      </c>
      <c r="E491" s="294">
        <v>1750000</v>
      </c>
    </row>
    <row r="492" spans="1:5" ht="38.25" x14ac:dyDescent="0.2">
      <c r="A492" s="292" t="s">
        <v>640</v>
      </c>
      <c r="B492" s="293" t="s">
        <v>1037</v>
      </c>
      <c r="C492" s="293" t="s">
        <v>1314</v>
      </c>
      <c r="D492" s="293" t="s">
        <v>1314</v>
      </c>
      <c r="E492" s="294">
        <v>11404216</v>
      </c>
    </row>
    <row r="493" spans="1:5" ht="76.5" x14ac:dyDescent="0.2">
      <c r="A493" s="292" t="s">
        <v>427</v>
      </c>
      <c r="B493" s="293" t="s">
        <v>750</v>
      </c>
      <c r="C493" s="293" t="s">
        <v>1314</v>
      </c>
      <c r="D493" s="293" t="s">
        <v>1314</v>
      </c>
      <c r="E493" s="294">
        <v>4200000</v>
      </c>
    </row>
    <row r="494" spans="1:5" ht="25.5" x14ac:dyDescent="0.2">
      <c r="A494" s="292" t="s">
        <v>1502</v>
      </c>
      <c r="B494" s="293" t="s">
        <v>750</v>
      </c>
      <c r="C494" s="293" t="s">
        <v>1503</v>
      </c>
      <c r="D494" s="293" t="s">
        <v>1314</v>
      </c>
      <c r="E494" s="294">
        <v>4200000</v>
      </c>
    </row>
    <row r="495" spans="1:5" ht="25.5" x14ac:dyDescent="0.2">
      <c r="A495" s="292" t="s">
        <v>1338</v>
      </c>
      <c r="B495" s="293" t="s">
        <v>750</v>
      </c>
      <c r="C495" s="293" t="s">
        <v>1339</v>
      </c>
      <c r="D495" s="293" t="s">
        <v>1314</v>
      </c>
      <c r="E495" s="294">
        <v>4200000</v>
      </c>
    </row>
    <row r="496" spans="1:5" x14ac:dyDescent="0.2">
      <c r="A496" s="292" t="s">
        <v>255</v>
      </c>
      <c r="B496" s="293" t="s">
        <v>750</v>
      </c>
      <c r="C496" s="293" t="s">
        <v>1339</v>
      </c>
      <c r="D496" s="293" t="s">
        <v>1219</v>
      </c>
      <c r="E496" s="294">
        <v>4200000</v>
      </c>
    </row>
    <row r="497" spans="1:5" x14ac:dyDescent="0.2">
      <c r="A497" s="292" t="s">
        <v>153</v>
      </c>
      <c r="B497" s="293" t="s">
        <v>750</v>
      </c>
      <c r="C497" s="293" t="s">
        <v>1339</v>
      </c>
      <c r="D497" s="293" t="s">
        <v>404</v>
      </c>
      <c r="E497" s="294">
        <v>4200000</v>
      </c>
    </row>
    <row r="498" spans="1:5" ht="89.25" x14ac:dyDescent="0.2">
      <c r="A498" s="292" t="s">
        <v>1727</v>
      </c>
      <c r="B498" s="293" t="s">
        <v>1728</v>
      </c>
      <c r="C498" s="293" t="s">
        <v>1314</v>
      </c>
      <c r="D498" s="293" t="s">
        <v>1314</v>
      </c>
      <c r="E498" s="294">
        <v>6139000</v>
      </c>
    </row>
    <row r="499" spans="1:5" ht="25.5" x14ac:dyDescent="0.2">
      <c r="A499" s="292" t="s">
        <v>1502</v>
      </c>
      <c r="B499" s="293" t="s">
        <v>1728</v>
      </c>
      <c r="C499" s="293" t="s">
        <v>1503</v>
      </c>
      <c r="D499" s="293" t="s">
        <v>1314</v>
      </c>
      <c r="E499" s="294">
        <v>6139000</v>
      </c>
    </row>
    <row r="500" spans="1:5" ht="25.5" x14ac:dyDescent="0.2">
      <c r="A500" s="292" t="s">
        <v>1338</v>
      </c>
      <c r="B500" s="293" t="s">
        <v>1728</v>
      </c>
      <c r="C500" s="293" t="s">
        <v>1339</v>
      </c>
      <c r="D500" s="293" t="s">
        <v>1314</v>
      </c>
      <c r="E500" s="294">
        <v>6139000</v>
      </c>
    </row>
    <row r="501" spans="1:5" x14ac:dyDescent="0.2">
      <c r="A501" s="292" t="s">
        <v>255</v>
      </c>
      <c r="B501" s="293" t="s">
        <v>1728</v>
      </c>
      <c r="C501" s="293" t="s">
        <v>1339</v>
      </c>
      <c r="D501" s="293" t="s">
        <v>1219</v>
      </c>
      <c r="E501" s="294">
        <v>6139000</v>
      </c>
    </row>
    <row r="502" spans="1:5" x14ac:dyDescent="0.2">
      <c r="A502" s="292" t="s">
        <v>153</v>
      </c>
      <c r="B502" s="293" t="s">
        <v>1728</v>
      </c>
      <c r="C502" s="293" t="s">
        <v>1339</v>
      </c>
      <c r="D502" s="293" t="s">
        <v>404</v>
      </c>
      <c r="E502" s="294">
        <v>6139000</v>
      </c>
    </row>
    <row r="503" spans="1:5" ht="191.25" x14ac:dyDescent="0.2">
      <c r="A503" s="292" t="s">
        <v>1744</v>
      </c>
      <c r="B503" s="293" t="s">
        <v>1729</v>
      </c>
      <c r="C503" s="293" t="s">
        <v>1314</v>
      </c>
      <c r="D503" s="293" t="s">
        <v>1314</v>
      </c>
      <c r="E503" s="294">
        <v>1065216</v>
      </c>
    </row>
    <row r="504" spans="1:5" ht="25.5" x14ac:dyDescent="0.2">
      <c r="A504" s="292" t="s">
        <v>1502</v>
      </c>
      <c r="B504" s="293" t="s">
        <v>1729</v>
      </c>
      <c r="C504" s="293" t="s">
        <v>1503</v>
      </c>
      <c r="D504" s="293" t="s">
        <v>1314</v>
      </c>
      <c r="E504" s="294">
        <v>1065216</v>
      </c>
    </row>
    <row r="505" spans="1:5" ht="25.5" x14ac:dyDescent="0.2">
      <c r="A505" s="292" t="s">
        <v>1338</v>
      </c>
      <c r="B505" s="293" t="s">
        <v>1729</v>
      </c>
      <c r="C505" s="293" t="s">
        <v>1339</v>
      </c>
      <c r="D505" s="293" t="s">
        <v>1314</v>
      </c>
      <c r="E505" s="294">
        <v>1065216</v>
      </c>
    </row>
    <row r="506" spans="1:5" x14ac:dyDescent="0.2">
      <c r="A506" s="292" t="s">
        <v>255</v>
      </c>
      <c r="B506" s="293" t="s">
        <v>1729</v>
      </c>
      <c r="C506" s="293" t="s">
        <v>1339</v>
      </c>
      <c r="D506" s="293" t="s">
        <v>1219</v>
      </c>
      <c r="E506" s="294">
        <v>1065216</v>
      </c>
    </row>
    <row r="507" spans="1:5" x14ac:dyDescent="0.2">
      <c r="A507" s="292" t="s">
        <v>153</v>
      </c>
      <c r="B507" s="293" t="s">
        <v>1729</v>
      </c>
      <c r="C507" s="293" t="s">
        <v>1339</v>
      </c>
      <c r="D507" s="293" t="s">
        <v>404</v>
      </c>
      <c r="E507" s="294">
        <v>1065216</v>
      </c>
    </row>
    <row r="508" spans="1:5" ht="25.5" x14ac:dyDescent="0.2">
      <c r="A508" s="292" t="s">
        <v>1535</v>
      </c>
      <c r="B508" s="293" t="s">
        <v>1536</v>
      </c>
      <c r="C508" s="293" t="s">
        <v>1314</v>
      </c>
      <c r="D508" s="293" t="s">
        <v>1314</v>
      </c>
      <c r="E508" s="294">
        <v>539000</v>
      </c>
    </row>
    <row r="509" spans="1:5" ht="114.75" x14ac:dyDescent="0.2">
      <c r="A509" s="292" t="s">
        <v>1747</v>
      </c>
      <c r="B509" s="293" t="s">
        <v>1537</v>
      </c>
      <c r="C509" s="293" t="s">
        <v>1314</v>
      </c>
      <c r="D509" s="293" t="s">
        <v>1314</v>
      </c>
      <c r="E509" s="294">
        <v>539000</v>
      </c>
    </row>
    <row r="510" spans="1:5" ht="25.5" x14ac:dyDescent="0.2">
      <c r="A510" s="292" t="s">
        <v>1508</v>
      </c>
      <c r="B510" s="293" t="s">
        <v>1537</v>
      </c>
      <c r="C510" s="293" t="s">
        <v>1509</v>
      </c>
      <c r="D510" s="293" t="s">
        <v>1314</v>
      </c>
      <c r="E510" s="294">
        <v>539000</v>
      </c>
    </row>
    <row r="511" spans="1:5" x14ac:dyDescent="0.2">
      <c r="A511" s="292" t="s">
        <v>1349</v>
      </c>
      <c r="B511" s="293" t="s">
        <v>1537</v>
      </c>
      <c r="C511" s="293" t="s">
        <v>79</v>
      </c>
      <c r="D511" s="293" t="s">
        <v>1314</v>
      </c>
      <c r="E511" s="294">
        <v>539000</v>
      </c>
    </row>
    <row r="512" spans="1:5" x14ac:dyDescent="0.2">
      <c r="A512" s="292" t="s">
        <v>255</v>
      </c>
      <c r="B512" s="293" t="s">
        <v>1537</v>
      </c>
      <c r="C512" s="293" t="s">
        <v>79</v>
      </c>
      <c r="D512" s="293" t="s">
        <v>1219</v>
      </c>
      <c r="E512" s="294">
        <v>539000</v>
      </c>
    </row>
    <row r="513" spans="1:5" x14ac:dyDescent="0.2">
      <c r="A513" s="292" t="s">
        <v>153</v>
      </c>
      <c r="B513" s="293" t="s">
        <v>1537</v>
      </c>
      <c r="C513" s="293" t="s">
        <v>79</v>
      </c>
      <c r="D513" s="293" t="s">
        <v>404</v>
      </c>
      <c r="E513" s="294">
        <v>539000</v>
      </c>
    </row>
    <row r="514" spans="1:5" ht="38.25" x14ac:dyDescent="0.2">
      <c r="A514" s="292" t="s">
        <v>497</v>
      </c>
      <c r="B514" s="293" t="s">
        <v>1038</v>
      </c>
      <c r="C514" s="293" t="s">
        <v>1314</v>
      </c>
      <c r="D514" s="293" t="s">
        <v>1314</v>
      </c>
      <c r="E514" s="294">
        <v>35463499</v>
      </c>
    </row>
    <row r="515" spans="1:5" ht="51" x14ac:dyDescent="0.2">
      <c r="A515" s="292" t="s">
        <v>498</v>
      </c>
      <c r="B515" s="293" t="s">
        <v>1039</v>
      </c>
      <c r="C515" s="293" t="s">
        <v>1314</v>
      </c>
      <c r="D515" s="293" t="s">
        <v>1314</v>
      </c>
      <c r="E515" s="294">
        <v>4259557</v>
      </c>
    </row>
    <row r="516" spans="1:5" ht="114.75" x14ac:dyDescent="0.2">
      <c r="A516" s="292" t="s">
        <v>381</v>
      </c>
      <c r="B516" s="293" t="s">
        <v>713</v>
      </c>
      <c r="C516" s="293" t="s">
        <v>1314</v>
      </c>
      <c r="D516" s="293" t="s">
        <v>1314</v>
      </c>
      <c r="E516" s="294">
        <v>3325199</v>
      </c>
    </row>
    <row r="517" spans="1:5" ht="51" x14ac:dyDescent="0.2">
      <c r="A517" s="292" t="s">
        <v>1501</v>
      </c>
      <c r="B517" s="293" t="s">
        <v>713</v>
      </c>
      <c r="C517" s="293" t="s">
        <v>290</v>
      </c>
      <c r="D517" s="293" t="s">
        <v>1314</v>
      </c>
      <c r="E517" s="294">
        <v>3265199</v>
      </c>
    </row>
    <row r="518" spans="1:5" x14ac:dyDescent="0.2">
      <c r="A518" s="292" t="s">
        <v>1331</v>
      </c>
      <c r="B518" s="293" t="s">
        <v>713</v>
      </c>
      <c r="C518" s="293" t="s">
        <v>140</v>
      </c>
      <c r="D518" s="293" t="s">
        <v>1314</v>
      </c>
      <c r="E518" s="294">
        <v>3265199</v>
      </c>
    </row>
    <row r="519" spans="1:5" ht="25.5" x14ac:dyDescent="0.2">
      <c r="A519" s="292" t="s">
        <v>254</v>
      </c>
      <c r="B519" s="293" t="s">
        <v>713</v>
      </c>
      <c r="C519" s="293" t="s">
        <v>140</v>
      </c>
      <c r="D519" s="293" t="s">
        <v>1215</v>
      </c>
      <c r="E519" s="294">
        <v>3265199</v>
      </c>
    </row>
    <row r="520" spans="1:5" x14ac:dyDescent="0.2">
      <c r="A520" s="292" t="s">
        <v>2028</v>
      </c>
      <c r="B520" s="293" t="s">
        <v>713</v>
      </c>
      <c r="C520" s="293" t="s">
        <v>140</v>
      </c>
      <c r="D520" s="293" t="s">
        <v>380</v>
      </c>
      <c r="E520" s="294">
        <v>3265199</v>
      </c>
    </row>
    <row r="521" spans="1:5" ht="25.5" x14ac:dyDescent="0.2">
      <c r="A521" s="292" t="s">
        <v>1502</v>
      </c>
      <c r="B521" s="293" t="s">
        <v>713</v>
      </c>
      <c r="C521" s="293" t="s">
        <v>1503</v>
      </c>
      <c r="D521" s="293" t="s">
        <v>1314</v>
      </c>
      <c r="E521" s="294">
        <v>60000</v>
      </c>
    </row>
    <row r="522" spans="1:5" ht="25.5" x14ac:dyDescent="0.2">
      <c r="A522" s="292" t="s">
        <v>1338</v>
      </c>
      <c r="B522" s="293" t="s">
        <v>713</v>
      </c>
      <c r="C522" s="293" t="s">
        <v>1339</v>
      </c>
      <c r="D522" s="293" t="s">
        <v>1314</v>
      </c>
      <c r="E522" s="294">
        <v>60000</v>
      </c>
    </row>
    <row r="523" spans="1:5" ht="25.5" x14ac:dyDescent="0.2">
      <c r="A523" s="292" t="s">
        <v>254</v>
      </c>
      <c r="B523" s="293" t="s">
        <v>713</v>
      </c>
      <c r="C523" s="293" t="s">
        <v>1339</v>
      </c>
      <c r="D523" s="293" t="s">
        <v>1215</v>
      </c>
      <c r="E523" s="294">
        <v>60000</v>
      </c>
    </row>
    <row r="524" spans="1:5" x14ac:dyDescent="0.2">
      <c r="A524" s="292" t="s">
        <v>2028</v>
      </c>
      <c r="B524" s="293" t="s">
        <v>713</v>
      </c>
      <c r="C524" s="293" t="s">
        <v>1339</v>
      </c>
      <c r="D524" s="293" t="s">
        <v>380</v>
      </c>
      <c r="E524" s="294">
        <v>60000</v>
      </c>
    </row>
    <row r="525" spans="1:5" ht="140.25" x14ac:dyDescent="0.2">
      <c r="A525" s="292" t="s">
        <v>674</v>
      </c>
      <c r="B525" s="293" t="s">
        <v>714</v>
      </c>
      <c r="C525" s="293" t="s">
        <v>1314</v>
      </c>
      <c r="D525" s="293" t="s">
        <v>1314</v>
      </c>
      <c r="E525" s="294">
        <v>542218</v>
      </c>
    </row>
    <row r="526" spans="1:5" ht="51" x14ac:dyDescent="0.2">
      <c r="A526" s="292" t="s">
        <v>1501</v>
      </c>
      <c r="B526" s="293" t="s">
        <v>714</v>
      </c>
      <c r="C526" s="293" t="s">
        <v>290</v>
      </c>
      <c r="D526" s="293" t="s">
        <v>1314</v>
      </c>
      <c r="E526" s="294">
        <v>542218</v>
      </c>
    </row>
    <row r="527" spans="1:5" x14ac:dyDescent="0.2">
      <c r="A527" s="292" t="s">
        <v>1331</v>
      </c>
      <c r="B527" s="293" t="s">
        <v>714</v>
      </c>
      <c r="C527" s="293" t="s">
        <v>140</v>
      </c>
      <c r="D527" s="293" t="s">
        <v>1314</v>
      </c>
      <c r="E527" s="294">
        <v>542218</v>
      </c>
    </row>
    <row r="528" spans="1:5" ht="25.5" x14ac:dyDescent="0.2">
      <c r="A528" s="292" t="s">
        <v>254</v>
      </c>
      <c r="B528" s="293" t="s">
        <v>714</v>
      </c>
      <c r="C528" s="293" t="s">
        <v>140</v>
      </c>
      <c r="D528" s="293" t="s">
        <v>1215</v>
      </c>
      <c r="E528" s="294">
        <v>542218</v>
      </c>
    </row>
    <row r="529" spans="1:5" x14ac:dyDescent="0.2">
      <c r="A529" s="292" t="s">
        <v>2028</v>
      </c>
      <c r="B529" s="293" t="s">
        <v>714</v>
      </c>
      <c r="C529" s="293" t="s">
        <v>140</v>
      </c>
      <c r="D529" s="293" t="s">
        <v>380</v>
      </c>
      <c r="E529" s="294">
        <v>542218</v>
      </c>
    </row>
    <row r="530" spans="1:5" ht="127.5" x14ac:dyDescent="0.2">
      <c r="A530" s="292" t="s">
        <v>2029</v>
      </c>
      <c r="B530" s="293" t="s">
        <v>2030</v>
      </c>
      <c r="C530" s="293" t="s">
        <v>1314</v>
      </c>
      <c r="D530" s="293" t="s">
        <v>1314</v>
      </c>
      <c r="E530" s="294">
        <v>80000</v>
      </c>
    </row>
    <row r="531" spans="1:5" ht="25.5" x14ac:dyDescent="0.2">
      <c r="A531" s="292" t="s">
        <v>1502</v>
      </c>
      <c r="B531" s="293" t="s">
        <v>2030</v>
      </c>
      <c r="C531" s="293" t="s">
        <v>1503</v>
      </c>
      <c r="D531" s="293" t="s">
        <v>1314</v>
      </c>
      <c r="E531" s="294">
        <v>80000</v>
      </c>
    </row>
    <row r="532" spans="1:5" ht="25.5" x14ac:dyDescent="0.2">
      <c r="A532" s="292" t="s">
        <v>1338</v>
      </c>
      <c r="B532" s="293" t="s">
        <v>2030</v>
      </c>
      <c r="C532" s="293" t="s">
        <v>1339</v>
      </c>
      <c r="D532" s="293" t="s">
        <v>1314</v>
      </c>
      <c r="E532" s="294">
        <v>80000</v>
      </c>
    </row>
    <row r="533" spans="1:5" ht="25.5" x14ac:dyDescent="0.2">
      <c r="A533" s="292" t="s">
        <v>254</v>
      </c>
      <c r="B533" s="293" t="s">
        <v>2030</v>
      </c>
      <c r="C533" s="293" t="s">
        <v>1339</v>
      </c>
      <c r="D533" s="293" t="s">
        <v>1215</v>
      </c>
      <c r="E533" s="294">
        <v>80000</v>
      </c>
    </row>
    <row r="534" spans="1:5" x14ac:dyDescent="0.2">
      <c r="A534" s="292" t="s">
        <v>2028</v>
      </c>
      <c r="B534" s="293" t="s">
        <v>2030</v>
      </c>
      <c r="C534" s="293" t="s">
        <v>1339</v>
      </c>
      <c r="D534" s="293" t="s">
        <v>380</v>
      </c>
      <c r="E534" s="294">
        <v>80000</v>
      </c>
    </row>
    <row r="535" spans="1:5" ht="102" x14ac:dyDescent="0.2">
      <c r="A535" s="292" t="s">
        <v>391</v>
      </c>
      <c r="B535" s="293" t="s">
        <v>2031</v>
      </c>
      <c r="C535" s="293" t="s">
        <v>1314</v>
      </c>
      <c r="D535" s="293" t="s">
        <v>1314</v>
      </c>
      <c r="E535" s="294">
        <v>22000</v>
      </c>
    </row>
    <row r="536" spans="1:5" ht="25.5" x14ac:dyDescent="0.2">
      <c r="A536" s="292" t="s">
        <v>1502</v>
      </c>
      <c r="B536" s="293" t="s">
        <v>2031</v>
      </c>
      <c r="C536" s="293" t="s">
        <v>1503</v>
      </c>
      <c r="D536" s="293" t="s">
        <v>1314</v>
      </c>
      <c r="E536" s="294">
        <v>22000</v>
      </c>
    </row>
    <row r="537" spans="1:5" ht="25.5" x14ac:dyDescent="0.2">
      <c r="A537" s="292" t="s">
        <v>1338</v>
      </c>
      <c r="B537" s="293" t="s">
        <v>2031</v>
      </c>
      <c r="C537" s="293" t="s">
        <v>1339</v>
      </c>
      <c r="D537" s="293" t="s">
        <v>1314</v>
      </c>
      <c r="E537" s="294">
        <v>22000</v>
      </c>
    </row>
    <row r="538" spans="1:5" ht="25.5" x14ac:dyDescent="0.2">
      <c r="A538" s="292" t="s">
        <v>254</v>
      </c>
      <c r="B538" s="293" t="s">
        <v>2031</v>
      </c>
      <c r="C538" s="293" t="s">
        <v>1339</v>
      </c>
      <c r="D538" s="293" t="s">
        <v>1215</v>
      </c>
      <c r="E538" s="294">
        <v>22000</v>
      </c>
    </row>
    <row r="539" spans="1:5" x14ac:dyDescent="0.2">
      <c r="A539" s="292" t="s">
        <v>2028</v>
      </c>
      <c r="B539" s="293" t="s">
        <v>2031</v>
      </c>
      <c r="C539" s="293" t="s">
        <v>1339</v>
      </c>
      <c r="D539" s="293" t="s">
        <v>380</v>
      </c>
      <c r="E539" s="294">
        <v>22000</v>
      </c>
    </row>
    <row r="540" spans="1:5" ht="114.75" x14ac:dyDescent="0.2">
      <c r="A540" s="292" t="s">
        <v>1936</v>
      </c>
      <c r="B540" s="293" t="s">
        <v>1937</v>
      </c>
      <c r="C540" s="293" t="s">
        <v>1314</v>
      </c>
      <c r="D540" s="293" t="s">
        <v>1314</v>
      </c>
      <c r="E540" s="294">
        <v>150000</v>
      </c>
    </row>
    <row r="541" spans="1:5" ht="25.5" x14ac:dyDescent="0.2">
      <c r="A541" s="292" t="s">
        <v>1502</v>
      </c>
      <c r="B541" s="293" t="s">
        <v>1937</v>
      </c>
      <c r="C541" s="293" t="s">
        <v>1503</v>
      </c>
      <c r="D541" s="293" t="s">
        <v>1314</v>
      </c>
      <c r="E541" s="294">
        <v>150000</v>
      </c>
    </row>
    <row r="542" spans="1:5" ht="25.5" x14ac:dyDescent="0.2">
      <c r="A542" s="292" t="s">
        <v>1338</v>
      </c>
      <c r="B542" s="293" t="s">
        <v>1937</v>
      </c>
      <c r="C542" s="293" t="s">
        <v>1339</v>
      </c>
      <c r="D542" s="293" t="s">
        <v>1314</v>
      </c>
      <c r="E542" s="294">
        <v>150000</v>
      </c>
    </row>
    <row r="543" spans="1:5" ht="25.5" x14ac:dyDescent="0.2">
      <c r="A543" s="292" t="s">
        <v>254</v>
      </c>
      <c r="B543" s="293" t="s">
        <v>1937</v>
      </c>
      <c r="C543" s="293" t="s">
        <v>1339</v>
      </c>
      <c r="D543" s="293" t="s">
        <v>1215</v>
      </c>
      <c r="E543" s="294">
        <v>150000</v>
      </c>
    </row>
    <row r="544" spans="1:5" x14ac:dyDescent="0.2">
      <c r="A544" s="292" t="s">
        <v>2028</v>
      </c>
      <c r="B544" s="293" t="s">
        <v>1937</v>
      </c>
      <c r="C544" s="293" t="s">
        <v>1339</v>
      </c>
      <c r="D544" s="293" t="s">
        <v>380</v>
      </c>
      <c r="E544" s="294">
        <v>150000</v>
      </c>
    </row>
    <row r="545" spans="1:5" ht="127.5" x14ac:dyDescent="0.2">
      <c r="A545" s="292" t="s">
        <v>1745</v>
      </c>
      <c r="B545" s="293" t="s">
        <v>1528</v>
      </c>
      <c r="C545" s="293" t="s">
        <v>1314</v>
      </c>
      <c r="D545" s="293" t="s">
        <v>1314</v>
      </c>
      <c r="E545" s="294">
        <v>140140</v>
      </c>
    </row>
    <row r="546" spans="1:5" ht="25.5" x14ac:dyDescent="0.2">
      <c r="A546" s="292" t="s">
        <v>1502</v>
      </c>
      <c r="B546" s="293" t="s">
        <v>1528</v>
      </c>
      <c r="C546" s="293" t="s">
        <v>1503</v>
      </c>
      <c r="D546" s="293" t="s">
        <v>1314</v>
      </c>
      <c r="E546" s="294">
        <v>140140</v>
      </c>
    </row>
    <row r="547" spans="1:5" ht="25.5" x14ac:dyDescent="0.2">
      <c r="A547" s="292" t="s">
        <v>1338</v>
      </c>
      <c r="B547" s="293" t="s">
        <v>1528</v>
      </c>
      <c r="C547" s="293" t="s">
        <v>1339</v>
      </c>
      <c r="D547" s="293" t="s">
        <v>1314</v>
      </c>
      <c r="E547" s="294">
        <v>140140</v>
      </c>
    </row>
    <row r="548" spans="1:5" ht="25.5" x14ac:dyDescent="0.2">
      <c r="A548" s="292" t="s">
        <v>254</v>
      </c>
      <c r="B548" s="293" t="s">
        <v>1528</v>
      </c>
      <c r="C548" s="293" t="s">
        <v>1339</v>
      </c>
      <c r="D548" s="293" t="s">
        <v>1215</v>
      </c>
      <c r="E548" s="294">
        <v>140140</v>
      </c>
    </row>
    <row r="549" spans="1:5" x14ac:dyDescent="0.2">
      <c r="A549" s="292" t="s">
        <v>2028</v>
      </c>
      <c r="B549" s="293" t="s">
        <v>1528</v>
      </c>
      <c r="C549" s="293" t="s">
        <v>1339</v>
      </c>
      <c r="D549" s="293" t="s">
        <v>380</v>
      </c>
      <c r="E549" s="294">
        <v>140140</v>
      </c>
    </row>
    <row r="550" spans="1:5" ht="25.5" x14ac:dyDescent="0.2">
      <c r="A550" s="292" t="s">
        <v>500</v>
      </c>
      <c r="B550" s="293" t="s">
        <v>1040</v>
      </c>
      <c r="C550" s="293" t="s">
        <v>1314</v>
      </c>
      <c r="D550" s="293" t="s">
        <v>1314</v>
      </c>
      <c r="E550" s="294">
        <v>30988942</v>
      </c>
    </row>
    <row r="551" spans="1:5" ht="114.75" x14ac:dyDescent="0.2">
      <c r="A551" s="292" t="s">
        <v>386</v>
      </c>
      <c r="B551" s="293" t="s">
        <v>715</v>
      </c>
      <c r="C551" s="293" t="s">
        <v>1314</v>
      </c>
      <c r="D551" s="293" t="s">
        <v>1314</v>
      </c>
      <c r="E551" s="294">
        <v>21631235</v>
      </c>
    </row>
    <row r="552" spans="1:5" ht="51" x14ac:dyDescent="0.2">
      <c r="A552" s="292" t="s">
        <v>1501</v>
      </c>
      <c r="B552" s="293" t="s">
        <v>715</v>
      </c>
      <c r="C552" s="293" t="s">
        <v>290</v>
      </c>
      <c r="D552" s="293" t="s">
        <v>1314</v>
      </c>
      <c r="E552" s="294">
        <v>19172042</v>
      </c>
    </row>
    <row r="553" spans="1:5" x14ac:dyDescent="0.2">
      <c r="A553" s="292" t="s">
        <v>1331</v>
      </c>
      <c r="B553" s="293" t="s">
        <v>715</v>
      </c>
      <c r="C553" s="293" t="s">
        <v>140</v>
      </c>
      <c r="D553" s="293" t="s">
        <v>1314</v>
      </c>
      <c r="E553" s="294">
        <v>19172042</v>
      </c>
    </row>
    <row r="554" spans="1:5" ht="25.5" x14ac:dyDescent="0.2">
      <c r="A554" s="292" t="s">
        <v>254</v>
      </c>
      <c r="B554" s="293" t="s">
        <v>715</v>
      </c>
      <c r="C554" s="293" t="s">
        <v>140</v>
      </c>
      <c r="D554" s="293" t="s">
        <v>1215</v>
      </c>
      <c r="E554" s="294">
        <v>19172042</v>
      </c>
    </row>
    <row r="555" spans="1:5" ht="38.25" x14ac:dyDescent="0.2">
      <c r="A555" s="292" t="s">
        <v>2032</v>
      </c>
      <c r="B555" s="293" t="s">
        <v>715</v>
      </c>
      <c r="C555" s="293" t="s">
        <v>140</v>
      </c>
      <c r="D555" s="293" t="s">
        <v>385</v>
      </c>
      <c r="E555" s="294">
        <v>19172042</v>
      </c>
    </row>
    <row r="556" spans="1:5" ht="25.5" x14ac:dyDescent="0.2">
      <c r="A556" s="292" t="s">
        <v>1502</v>
      </c>
      <c r="B556" s="293" t="s">
        <v>715</v>
      </c>
      <c r="C556" s="293" t="s">
        <v>1503</v>
      </c>
      <c r="D556" s="293" t="s">
        <v>1314</v>
      </c>
      <c r="E556" s="294">
        <v>2459193</v>
      </c>
    </row>
    <row r="557" spans="1:5" ht="25.5" x14ac:dyDescent="0.2">
      <c r="A557" s="292" t="s">
        <v>1338</v>
      </c>
      <c r="B557" s="293" t="s">
        <v>715</v>
      </c>
      <c r="C557" s="293" t="s">
        <v>1339</v>
      </c>
      <c r="D557" s="293" t="s">
        <v>1314</v>
      </c>
      <c r="E557" s="294">
        <v>2459193</v>
      </c>
    </row>
    <row r="558" spans="1:5" ht="25.5" x14ac:dyDescent="0.2">
      <c r="A558" s="292" t="s">
        <v>254</v>
      </c>
      <c r="B558" s="293" t="s">
        <v>715</v>
      </c>
      <c r="C558" s="293" t="s">
        <v>1339</v>
      </c>
      <c r="D558" s="293" t="s">
        <v>1215</v>
      </c>
      <c r="E558" s="294">
        <v>2459193</v>
      </c>
    </row>
    <row r="559" spans="1:5" ht="38.25" x14ac:dyDescent="0.2">
      <c r="A559" s="292" t="s">
        <v>2032</v>
      </c>
      <c r="B559" s="293" t="s">
        <v>715</v>
      </c>
      <c r="C559" s="293" t="s">
        <v>1339</v>
      </c>
      <c r="D559" s="293" t="s">
        <v>385</v>
      </c>
      <c r="E559" s="294">
        <v>2459193</v>
      </c>
    </row>
    <row r="560" spans="1:5" ht="114.75" x14ac:dyDescent="0.2">
      <c r="A560" s="292" t="s">
        <v>1555</v>
      </c>
      <c r="B560" s="293" t="s">
        <v>1556</v>
      </c>
      <c r="C560" s="293" t="s">
        <v>1314</v>
      </c>
      <c r="D560" s="293" t="s">
        <v>1314</v>
      </c>
      <c r="E560" s="294">
        <v>1282300</v>
      </c>
    </row>
    <row r="561" spans="1:5" ht="51" x14ac:dyDescent="0.2">
      <c r="A561" s="292" t="s">
        <v>1501</v>
      </c>
      <c r="B561" s="293" t="s">
        <v>1556</v>
      </c>
      <c r="C561" s="293" t="s">
        <v>290</v>
      </c>
      <c r="D561" s="293" t="s">
        <v>1314</v>
      </c>
      <c r="E561" s="294">
        <v>1282300</v>
      </c>
    </row>
    <row r="562" spans="1:5" x14ac:dyDescent="0.2">
      <c r="A562" s="292" t="s">
        <v>1331</v>
      </c>
      <c r="B562" s="293" t="s">
        <v>1556</v>
      </c>
      <c r="C562" s="293" t="s">
        <v>140</v>
      </c>
      <c r="D562" s="293" t="s">
        <v>1314</v>
      </c>
      <c r="E562" s="294">
        <v>1282300</v>
      </c>
    </row>
    <row r="563" spans="1:5" ht="25.5" x14ac:dyDescent="0.2">
      <c r="A563" s="292" t="s">
        <v>254</v>
      </c>
      <c r="B563" s="293" t="s">
        <v>1556</v>
      </c>
      <c r="C563" s="293" t="s">
        <v>140</v>
      </c>
      <c r="D563" s="293" t="s">
        <v>1215</v>
      </c>
      <c r="E563" s="294">
        <v>1282300</v>
      </c>
    </row>
    <row r="564" spans="1:5" ht="38.25" x14ac:dyDescent="0.2">
      <c r="A564" s="292" t="s">
        <v>2032</v>
      </c>
      <c r="B564" s="293" t="s">
        <v>1556</v>
      </c>
      <c r="C564" s="293" t="s">
        <v>140</v>
      </c>
      <c r="D564" s="293" t="s">
        <v>385</v>
      </c>
      <c r="E564" s="294">
        <v>1282300</v>
      </c>
    </row>
    <row r="565" spans="1:5" ht="102" x14ac:dyDescent="0.2">
      <c r="A565" s="292" t="s">
        <v>1557</v>
      </c>
      <c r="B565" s="293" t="s">
        <v>1558</v>
      </c>
      <c r="C565" s="293" t="s">
        <v>1314</v>
      </c>
      <c r="D565" s="293" t="s">
        <v>1314</v>
      </c>
      <c r="E565" s="294">
        <v>365000</v>
      </c>
    </row>
    <row r="566" spans="1:5" ht="51" x14ac:dyDescent="0.2">
      <c r="A566" s="292" t="s">
        <v>1501</v>
      </c>
      <c r="B566" s="293" t="s">
        <v>1558</v>
      </c>
      <c r="C566" s="293" t="s">
        <v>290</v>
      </c>
      <c r="D566" s="293" t="s">
        <v>1314</v>
      </c>
      <c r="E566" s="294">
        <v>365000</v>
      </c>
    </row>
    <row r="567" spans="1:5" x14ac:dyDescent="0.2">
      <c r="A567" s="292" t="s">
        <v>1331</v>
      </c>
      <c r="B567" s="293" t="s">
        <v>1558</v>
      </c>
      <c r="C567" s="293" t="s">
        <v>140</v>
      </c>
      <c r="D567" s="293" t="s">
        <v>1314</v>
      </c>
      <c r="E567" s="294">
        <v>365000</v>
      </c>
    </row>
    <row r="568" spans="1:5" ht="25.5" x14ac:dyDescent="0.2">
      <c r="A568" s="292" t="s">
        <v>254</v>
      </c>
      <c r="B568" s="293" t="s">
        <v>1558</v>
      </c>
      <c r="C568" s="293" t="s">
        <v>140</v>
      </c>
      <c r="D568" s="293" t="s">
        <v>1215</v>
      </c>
      <c r="E568" s="294">
        <v>365000</v>
      </c>
    </row>
    <row r="569" spans="1:5" ht="38.25" x14ac:dyDescent="0.2">
      <c r="A569" s="292" t="s">
        <v>2032</v>
      </c>
      <c r="B569" s="293" t="s">
        <v>1558</v>
      </c>
      <c r="C569" s="293" t="s">
        <v>140</v>
      </c>
      <c r="D569" s="293" t="s">
        <v>385</v>
      </c>
      <c r="E569" s="294">
        <v>365000</v>
      </c>
    </row>
    <row r="570" spans="1:5" ht="114.75" x14ac:dyDescent="0.2">
      <c r="A570" s="292" t="s">
        <v>2104</v>
      </c>
      <c r="B570" s="293" t="s">
        <v>717</v>
      </c>
      <c r="C570" s="293" t="s">
        <v>1314</v>
      </c>
      <c r="D570" s="293" t="s">
        <v>1314</v>
      </c>
      <c r="E570" s="294">
        <v>2563670</v>
      </c>
    </row>
    <row r="571" spans="1:5" ht="25.5" x14ac:dyDescent="0.2">
      <c r="A571" s="292" t="s">
        <v>1502</v>
      </c>
      <c r="B571" s="293" t="s">
        <v>717</v>
      </c>
      <c r="C571" s="293" t="s">
        <v>1503</v>
      </c>
      <c r="D571" s="293" t="s">
        <v>1314</v>
      </c>
      <c r="E571" s="294">
        <v>2563670</v>
      </c>
    </row>
    <row r="572" spans="1:5" ht="25.5" x14ac:dyDescent="0.2">
      <c r="A572" s="292" t="s">
        <v>1338</v>
      </c>
      <c r="B572" s="293" t="s">
        <v>717</v>
      </c>
      <c r="C572" s="293" t="s">
        <v>1339</v>
      </c>
      <c r="D572" s="293" t="s">
        <v>1314</v>
      </c>
      <c r="E572" s="294">
        <v>2563670</v>
      </c>
    </row>
    <row r="573" spans="1:5" ht="25.5" x14ac:dyDescent="0.2">
      <c r="A573" s="292" t="s">
        <v>254</v>
      </c>
      <c r="B573" s="293" t="s">
        <v>717</v>
      </c>
      <c r="C573" s="293" t="s">
        <v>1339</v>
      </c>
      <c r="D573" s="293" t="s">
        <v>1215</v>
      </c>
      <c r="E573" s="294">
        <v>2563670</v>
      </c>
    </row>
    <row r="574" spans="1:5" ht="38.25" x14ac:dyDescent="0.2">
      <c r="A574" s="292" t="s">
        <v>2032</v>
      </c>
      <c r="B574" s="293" t="s">
        <v>717</v>
      </c>
      <c r="C574" s="293" t="s">
        <v>1339</v>
      </c>
      <c r="D574" s="293" t="s">
        <v>385</v>
      </c>
      <c r="E574" s="294">
        <v>2563670</v>
      </c>
    </row>
    <row r="575" spans="1:5" ht="114.75" x14ac:dyDescent="0.2">
      <c r="A575" s="292" t="s">
        <v>1559</v>
      </c>
      <c r="B575" s="293" t="s">
        <v>1560</v>
      </c>
      <c r="C575" s="293" t="s">
        <v>1314</v>
      </c>
      <c r="D575" s="293" t="s">
        <v>1314</v>
      </c>
      <c r="E575" s="294">
        <v>657395</v>
      </c>
    </row>
    <row r="576" spans="1:5" ht="25.5" x14ac:dyDescent="0.2">
      <c r="A576" s="292" t="s">
        <v>1502</v>
      </c>
      <c r="B576" s="293" t="s">
        <v>1560</v>
      </c>
      <c r="C576" s="293" t="s">
        <v>1503</v>
      </c>
      <c r="D576" s="293" t="s">
        <v>1314</v>
      </c>
      <c r="E576" s="294">
        <v>657395</v>
      </c>
    </row>
    <row r="577" spans="1:5" ht="25.5" x14ac:dyDescent="0.2">
      <c r="A577" s="292" t="s">
        <v>1338</v>
      </c>
      <c r="B577" s="293" t="s">
        <v>1560</v>
      </c>
      <c r="C577" s="293" t="s">
        <v>1339</v>
      </c>
      <c r="D577" s="293" t="s">
        <v>1314</v>
      </c>
      <c r="E577" s="294">
        <v>657395</v>
      </c>
    </row>
    <row r="578" spans="1:5" ht="25.5" x14ac:dyDescent="0.2">
      <c r="A578" s="292" t="s">
        <v>254</v>
      </c>
      <c r="B578" s="293" t="s">
        <v>1560</v>
      </c>
      <c r="C578" s="293" t="s">
        <v>1339</v>
      </c>
      <c r="D578" s="293" t="s">
        <v>1215</v>
      </c>
      <c r="E578" s="294">
        <v>657395</v>
      </c>
    </row>
    <row r="579" spans="1:5" ht="38.25" x14ac:dyDescent="0.2">
      <c r="A579" s="292" t="s">
        <v>2032</v>
      </c>
      <c r="B579" s="293" t="s">
        <v>1560</v>
      </c>
      <c r="C579" s="293" t="s">
        <v>1339</v>
      </c>
      <c r="D579" s="293" t="s">
        <v>385</v>
      </c>
      <c r="E579" s="294">
        <v>657395</v>
      </c>
    </row>
    <row r="580" spans="1:5" ht="89.25" x14ac:dyDescent="0.2">
      <c r="A580" s="292" t="s">
        <v>389</v>
      </c>
      <c r="B580" s="293" t="s">
        <v>718</v>
      </c>
      <c r="C580" s="293" t="s">
        <v>1314</v>
      </c>
      <c r="D580" s="293" t="s">
        <v>1314</v>
      </c>
      <c r="E580" s="294">
        <v>150000</v>
      </c>
    </row>
    <row r="581" spans="1:5" ht="25.5" x14ac:dyDescent="0.2">
      <c r="A581" s="292" t="s">
        <v>1502</v>
      </c>
      <c r="B581" s="293" t="s">
        <v>718</v>
      </c>
      <c r="C581" s="293" t="s">
        <v>1503</v>
      </c>
      <c r="D581" s="293" t="s">
        <v>1314</v>
      </c>
      <c r="E581" s="294">
        <v>150000</v>
      </c>
    </row>
    <row r="582" spans="1:5" ht="25.5" x14ac:dyDescent="0.2">
      <c r="A582" s="292" t="s">
        <v>1338</v>
      </c>
      <c r="B582" s="293" t="s">
        <v>718</v>
      </c>
      <c r="C582" s="293" t="s">
        <v>1339</v>
      </c>
      <c r="D582" s="293" t="s">
        <v>1314</v>
      </c>
      <c r="E582" s="294">
        <v>150000</v>
      </c>
    </row>
    <row r="583" spans="1:5" ht="25.5" x14ac:dyDescent="0.2">
      <c r="A583" s="292" t="s">
        <v>254</v>
      </c>
      <c r="B583" s="293" t="s">
        <v>718</v>
      </c>
      <c r="C583" s="293" t="s">
        <v>1339</v>
      </c>
      <c r="D583" s="293" t="s">
        <v>1215</v>
      </c>
      <c r="E583" s="294">
        <v>150000</v>
      </c>
    </row>
    <row r="584" spans="1:5" ht="38.25" x14ac:dyDescent="0.2">
      <c r="A584" s="292" t="s">
        <v>2032</v>
      </c>
      <c r="B584" s="293" t="s">
        <v>718</v>
      </c>
      <c r="C584" s="293" t="s">
        <v>1339</v>
      </c>
      <c r="D584" s="293" t="s">
        <v>385</v>
      </c>
      <c r="E584" s="294">
        <v>150000</v>
      </c>
    </row>
    <row r="585" spans="1:5" ht="89.25" x14ac:dyDescent="0.2">
      <c r="A585" s="292" t="s">
        <v>390</v>
      </c>
      <c r="B585" s="293" t="s">
        <v>719</v>
      </c>
      <c r="C585" s="293" t="s">
        <v>1314</v>
      </c>
      <c r="D585" s="293" t="s">
        <v>1314</v>
      </c>
      <c r="E585" s="294">
        <v>30500</v>
      </c>
    </row>
    <row r="586" spans="1:5" ht="25.5" x14ac:dyDescent="0.2">
      <c r="A586" s="292" t="s">
        <v>1502</v>
      </c>
      <c r="B586" s="293" t="s">
        <v>719</v>
      </c>
      <c r="C586" s="293" t="s">
        <v>1503</v>
      </c>
      <c r="D586" s="293" t="s">
        <v>1314</v>
      </c>
      <c r="E586" s="294">
        <v>30500</v>
      </c>
    </row>
    <row r="587" spans="1:5" ht="25.5" x14ac:dyDescent="0.2">
      <c r="A587" s="292" t="s">
        <v>1338</v>
      </c>
      <c r="B587" s="293" t="s">
        <v>719</v>
      </c>
      <c r="C587" s="293" t="s">
        <v>1339</v>
      </c>
      <c r="D587" s="293" t="s">
        <v>1314</v>
      </c>
      <c r="E587" s="294">
        <v>30500</v>
      </c>
    </row>
    <row r="588" spans="1:5" ht="25.5" x14ac:dyDescent="0.2">
      <c r="A588" s="292" t="s">
        <v>254</v>
      </c>
      <c r="B588" s="293" t="s">
        <v>719</v>
      </c>
      <c r="C588" s="293" t="s">
        <v>1339</v>
      </c>
      <c r="D588" s="293" t="s">
        <v>1215</v>
      </c>
      <c r="E588" s="294">
        <v>30500</v>
      </c>
    </row>
    <row r="589" spans="1:5" ht="38.25" x14ac:dyDescent="0.2">
      <c r="A589" s="292" t="s">
        <v>2032</v>
      </c>
      <c r="B589" s="293" t="s">
        <v>719</v>
      </c>
      <c r="C589" s="293" t="s">
        <v>1339</v>
      </c>
      <c r="D589" s="293" t="s">
        <v>385</v>
      </c>
      <c r="E589" s="294">
        <v>30500</v>
      </c>
    </row>
    <row r="590" spans="1:5" ht="76.5" x14ac:dyDescent="0.2">
      <c r="A590" s="292" t="s">
        <v>373</v>
      </c>
      <c r="B590" s="293" t="s">
        <v>702</v>
      </c>
      <c r="C590" s="293" t="s">
        <v>1314</v>
      </c>
      <c r="D590" s="293" t="s">
        <v>1314</v>
      </c>
      <c r="E590" s="294">
        <v>73395</v>
      </c>
    </row>
    <row r="591" spans="1:5" ht="25.5" x14ac:dyDescent="0.2">
      <c r="A591" s="292" t="s">
        <v>1502</v>
      </c>
      <c r="B591" s="293" t="s">
        <v>702</v>
      </c>
      <c r="C591" s="293" t="s">
        <v>1503</v>
      </c>
      <c r="D591" s="293" t="s">
        <v>1314</v>
      </c>
      <c r="E591" s="294">
        <v>73395</v>
      </c>
    </row>
    <row r="592" spans="1:5" ht="25.5" x14ac:dyDescent="0.2">
      <c r="A592" s="292" t="s">
        <v>1338</v>
      </c>
      <c r="B592" s="293" t="s">
        <v>702</v>
      </c>
      <c r="C592" s="293" t="s">
        <v>1339</v>
      </c>
      <c r="D592" s="293" t="s">
        <v>1314</v>
      </c>
      <c r="E592" s="294">
        <v>73395</v>
      </c>
    </row>
    <row r="593" spans="1:5" x14ac:dyDescent="0.2">
      <c r="A593" s="292" t="s">
        <v>250</v>
      </c>
      <c r="B593" s="293" t="s">
        <v>702</v>
      </c>
      <c r="C593" s="293" t="s">
        <v>1339</v>
      </c>
      <c r="D593" s="293" t="s">
        <v>1212</v>
      </c>
      <c r="E593" s="294">
        <v>73395</v>
      </c>
    </row>
    <row r="594" spans="1:5" ht="38.25" x14ac:dyDescent="0.2">
      <c r="A594" s="292" t="s">
        <v>252</v>
      </c>
      <c r="B594" s="293" t="s">
        <v>702</v>
      </c>
      <c r="C594" s="293" t="s">
        <v>1339</v>
      </c>
      <c r="D594" s="293" t="s">
        <v>372</v>
      </c>
      <c r="E594" s="294">
        <v>73395</v>
      </c>
    </row>
    <row r="595" spans="1:5" ht="102" x14ac:dyDescent="0.2">
      <c r="A595" s="292" t="s">
        <v>2033</v>
      </c>
      <c r="B595" s="293" t="s">
        <v>2034</v>
      </c>
      <c r="C595" s="293" t="s">
        <v>1314</v>
      </c>
      <c r="D595" s="293" t="s">
        <v>1314</v>
      </c>
      <c r="E595" s="294">
        <v>124000</v>
      </c>
    </row>
    <row r="596" spans="1:5" ht="25.5" x14ac:dyDescent="0.2">
      <c r="A596" s="292" t="s">
        <v>1502</v>
      </c>
      <c r="B596" s="293" t="s">
        <v>2034</v>
      </c>
      <c r="C596" s="293" t="s">
        <v>1503</v>
      </c>
      <c r="D596" s="293" t="s">
        <v>1314</v>
      </c>
      <c r="E596" s="294">
        <v>124000</v>
      </c>
    </row>
    <row r="597" spans="1:5" ht="25.5" x14ac:dyDescent="0.2">
      <c r="A597" s="292" t="s">
        <v>1338</v>
      </c>
      <c r="B597" s="293" t="s">
        <v>2034</v>
      </c>
      <c r="C597" s="293" t="s">
        <v>1339</v>
      </c>
      <c r="D597" s="293" t="s">
        <v>1314</v>
      </c>
      <c r="E597" s="294">
        <v>124000</v>
      </c>
    </row>
    <row r="598" spans="1:5" ht="25.5" x14ac:dyDescent="0.2">
      <c r="A598" s="292" t="s">
        <v>254</v>
      </c>
      <c r="B598" s="293" t="s">
        <v>2034</v>
      </c>
      <c r="C598" s="293" t="s">
        <v>1339</v>
      </c>
      <c r="D598" s="293" t="s">
        <v>1215</v>
      </c>
      <c r="E598" s="294">
        <v>124000</v>
      </c>
    </row>
    <row r="599" spans="1:5" ht="38.25" x14ac:dyDescent="0.2">
      <c r="A599" s="292" t="s">
        <v>2032</v>
      </c>
      <c r="B599" s="293" t="s">
        <v>2034</v>
      </c>
      <c r="C599" s="293" t="s">
        <v>1339</v>
      </c>
      <c r="D599" s="293" t="s">
        <v>385</v>
      </c>
      <c r="E599" s="294">
        <v>124000</v>
      </c>
    </row>
    <row r="600" spans="1:5" ht="89.25" x14ac:dyDescent="0.2">
      <c r="A600" s="292" t="s">
        <v>1696</v>
      </c>
      <c r="B600" s="293" t="s">
        <v>1380</v>
      </c>
      <c r="C600" s="293" t="s">
        <v>1314</v>
      </c>
      <c r="D600" s="293" t="s">
        <v>1314</v>
      </c>
      <c r="E600" s="294">
        <v>4102441</v>
      </c>
    </row>
    <row r="601" spans="1:5" x14ac:dyDescent="0.2">
      <c r="A601" s="292" t="s">
        <v>1512</v>
      </c>
      <c r="B601" s="293" t="s">
        <v>1380</v>
      </c>
      <c r="C601" s="293" t="s">
        <v>1513</v>
      </c>
      <c r="D601" s="293" t="s">
        <v>1314</v>
      </c>
      <c r="E601" s="294">
        <v>4102441</v>
      </c>
    </row>
    <row r="602" spans="1:5" x14ac:dyDescent="0.2">
      <c r="A602" s="292" t="s">
        <v>1567</v>
      </c>
      <c r="B602" s="293" t="s">
        <v>1380</v>
      </c>
      <c r="C602" s="293" t="s">
        <v>1568</v>
      </c>
      <c r="D602" s="293" t="s">
        <v>1314</v>
      </c>
      <c r="E602" s="294">
        <v>4102441</v>
      </c>
    </row>
    <row r="603" spans="1:5" ht="25.5" x14ac:dyDescent="0.2">
      <c r="A603" s="292" t="s">
        <v>254</v>
      </c>
      <c r="B603" s="293" t="s">
        <v>1380</v>
      </c>
      <c r="C603" s="293" t="s">
        <v>1568</v>
      </c>
      <c r="D603" s="293" t="s">
        <v>1215</v>
      </c>
      <c r="E603" s="294">
        <v>4102441</v>
      </c>
    </row>
    <row r="604" spans="1:5" ht="38.25" x14ac:dyDescent="0.2">
      <c r="A604" s="292" t="s">
        <v>2032</v>
      </c>
      <c r="B604" s="293" t="s">
        <v>1380</v>
      </c>
      <c r="C604" s="293" t="s">
        <v>1568</v>
      </c>
      <c r="D604" s="293" t="s">
        <v>385</v>
      </c>
      <c r="E604" s="294">
        <v>4102441</v>
      </c>
    </row>
    <row r="605" spans="1:5" ht="76.5" x14ac:dyDescent="0.2">
      <c r="A605" s="292" t="s">
        <v>1677</v>
      </c>
      <c r="B605" s="293" t="s">
        <v>1678</v>
      </c>
      <c r="C605" s="293" t="s">
        <v>1314</v>
      </c>
      <c r="D605" s="293" t="s">
        <v>1314</v>
      </c>
      <c r="E605" s="294">
        <v>9006</v>
      </c>
    </row>
    <row r="606" spans="1:5" ht="25.5" x14ac:dyDescent="0.2">
      <c r="A606" s="292" t="s">
        <v>1502</v>
      </c>
      <c r="B606" s="293" t="s">
        <v>1678</v>
      </c>
      <c r="C606" s="293" t="s">
        <v>1503</v>
      </c>
      <c r="D606" s="293" t="s">
        <v>1314</v>
      </c>
      <c r="E606" s="294">
        <v>9006</v>
      </c>
    </row>
    <row r="607" spans="1:5" ht="25.5" x14ac:dyDescent="0.2">
      <c r="A607" s="292" t="s">
        <v>1338</v>
      </c>
      <c r="B607" s="293" t="s">
        <v>1678</v>
      </c>
      <c r="C607" s="293" t="s">
        <v>1339</v>
      </c>
      <c r="D607" s="293" t="s">
        <v>1314</v>
      </c>
      <c r="E607" s="294">
        <v>9006</v>
      </c>
    </row>
    <row r="608" spans="1:5" ht="25.5" x14ac:dyDescent="0.2">
      <c r="A608" s="292" t="s">
        <v>254</v>
      </c>
      <c r="B608" s="293" t="s">
        <v>1678</v>
      </c>
      <c r="C608" s="293" t="s">
        <v>1339</v>
      </c>
      <c r="D608" s="293" t="s">
        <v>1215</v>
      </c>
      <c r="E608" s="294">
        <v>9006</v>
      </c>
    </row>
    <row r="609" spans="1:5" ht="38.25" x14ac:dyDescent="0.2">
      <c r="A609" s="292" t="s">
        <v>2032</v>
      </c>
      <c r="B609" s="293" t="s">
        <v>1678</v>
      </c>
      <c r="C609" s="293" t="s">
        <v>1339</v>
      </c>
      <c r="D609" s="293" t="s">
        <v>385</v>
      </c>
      <c r="E609" s="294">
        <v>9006</v>
      </c>
    </row>
    <row r="610" spans="1:5" ht="38.25" x14ac:dyDescent="0.2">
      <c r="A610" s="292" t="s">
        <v>1527</v>
      </c>
      <c r="B610" s="293" t="s">
        <v>1272</v>
      </c>
      <c r="C610" s="293" t="s">
        <v>1314</v>
      </c>
      <c r="D610" s="293" t="s">
        <v>1314</v>
      </c>
      <c r="E610" s="294">
        <v>215000</v>
      </c>
    </row>
    <row r="611" spans="1:5" ht="89.25" x14ac:dyDescent="0.2">
      <c r="A611" s="292" t="s">
        <v>2026</v>
      </c>
      <c r="B611" s="293" t="s">
        <v>2027</v>
      </c>
      <c r="C611" s="293" t="s">
        <v>1314</v>
      </c>
      <c r="D611" s="293" t="s">
        <v>1314</v>
      </c>
      <c r="E611" s="294">
        <v>215000</v>
      </c>
    </row>
    <row r="612" spans="1:5" ht="25.5" x14ac:dyDescent="0.2">
      <c r="A612" s="292" t="s">
        <v>1502</v>
      </c>
      <c r="B612" s="293" t="s">
        <v>2027</v>
      </c>
      <c r="C612" s="293" t="s">
        <v>1503</v>
      </c>
      <c r="D612" s="293" t="s">
        <v>1314</v>
      </c>
      <c r="E612" s="294">
        <v>215000</v>
      </c>
    </row>
    <row r="613" spans="1:5" ht="25.5" x14ac:dyDescent="0.2">
      <c r="A613" s="292" t="s">
        <v>1338</v>
      </c>
      <c r="B613" s="293" t="s">
        <v>2027</v>
      </c>
      <c r="C613" s="293" t="s">
        <v>1339</v>
      </c>
      <c r="D613" s="293" t="s">
        <v>1314</v>
      </c>
      <c r="E613" s="294">
        <v>215000</v>
      </c>
    </row>
    <row r="614" spans="1:5" x14ac:dyDescent="0.2">
      <c r="A614" s="292" t="s">
        <v>250</v>
      </c>
      <c r="B614" s="293" t="s">
        <v>2027</v>
      </c>
      <c r="C614" s="293" t="s">
        <v>1339</v>
      </c>
      <c r="D614" s="293" t="s">
        <v>1212</v>
      </c>
      <c r="E614" s="294">
        <v>215000</v>
      </c>
    </row>
    <row r="615" spans="1:5" x14ac:dyDescent="0.2">
      <c r="A615" s="292" t="s">
        <v>233</v>
      </c>
      <c r="B615" s="293" t="s">
        <v>2027</v>
      </c>
      <c r="C615" s="293" t="s">
        <v>1339</v>
      </c>
      <c r="D615" s="293" t="s">
        <v>376</v>
      </c>
      <c r="E615" s="294">
        <v>215000</v>
      </c>
    </row>
    <row r="616" spans="1:5" ht="25.5" x14ac:dyDescent="0.2">
      <c r="A616" s="292" t="s">
        <v>502</v>
      </c>
      <c r="B616" s="293" t="s">
        <v>1041</v>
      </c>
      <c r="C616" s="293" t="s">
        <v>1314</v>
      </c>
      <c r="D616" s="293" t="s">
        <v>1314</v>
      </c>
      <c r="E616" s="294">
        <v>260276795</v>
      </c>
    </row>
    <row r="617" spans="1:5" x14ac:dyDescent="0.2">
      <c r="A617" s="292" t="s">
        <v>503</v>
      </c>
      <c r="B617" s="293" t="s">
        <v>1042</v>
      </c>
      <c r="C617" s="293" t="s">
        <v>1314</v>
      </c>
      <c r="D617" s="293" t="s">
        <v>1314</v>
      </c>
      <c r="E617" s="294">
        <v>41303567</v>
      </c>
    </row>
    <row r="618" spans="1:5" ht="89.25" x14ac:dyDescent="0.2">
      <c r="A618" s="292" t="s">
        <v>437</v>
      </c>
      <c r="B618" s="293" t="s">
        <v>765</v>
      </c>
      <c r="C618" s="293" t="s">
        <v>1314</v>
      </c>
      <c r="D618" s="293" t="s">
        <v>1314</v>
      </c>
      <c r="E618" s="294">
        <v>36145763</v>
      </c>
    </row>
    <row r="619" spans="1:5" ht="25.5" x14ac:dyDescent="0.2">
      <c r="A619" s="292" t="s">
        <v>1510</v>
      </c>
      <c r="B619" s="293" t="s">
        <v>765</v>
      </c>
      <c r="C619" s="293" t="s">
        <v>1511</v>
      </c>
      <c r="D619" s="293" t="s">
        <v>1314</v>
      </c>
      <c r="E619" s="294">
        <v>36145763</v>
      </c>
    </row>
    <row r="620" spans="1:5" x14ac:dyDescent="0.2">
      <c r="A620" s="292" t="s">
        <v>1340</v>
      </c>
      <c r="B620" s="293" t="s">
        <v>765</v>
      </c>
      <c r="C620" s="293" t="s">
        <v>1341</v>
      </c>
      <c r="D620" s="293" t="s">
        <v>1314</v>
      </c>
      <c r="E620" s="294">
        <v>36145763</v>
      </c>
    </row>
    <row r="621" spans="1:5" x14ac:dyDescent="0.2">
      <c r="A621" s="292" t="s">
        <v>266</v>
      </c>
      <c r="B621" s="293" t="s">
        <v>765</v>
      </c>
      <c r="C621" s="293" t="s">
        <v>1341</v>
      </c>
      <c r="D621" s="293" t="s">
        <v>1226</v>
      </c>
      <c r="E621" s="294">
        <v>36145763</v>
      </c>
    </row>
    <row r="622" spans="1:5" x14ac:dyDescent="0.2">
      <c r="A622" s="292" t="s">
        <v>222</v>
      </c>
      <c r="B622" s="293" t="s">
        <v>765</v>
      </c>
      <c r="C622" s="293" t="s">
        <v>1341</v>
      </c>
      <c r="D622" s="293" t="s">
        <v>432</v>
      </c>
      <c r="E622" s="294">
        <v>36145763</v>
      </c>
    </row>
    <row r="623" spans="1:5" ht="102" x14ac:dyDescent="0.2">
      <c r="A623" s="292" t="s">
        <v>438</v>
      </c>
      <c r="B623" s="293" t="s">
        <v>766</v>
      </c>
      <c r="C623" s="293" t="s">
        <v>1314</v>
      </c>
      <c r="D623" s="293" t="s">
        <v>1314</v>
      </c>
      <c r="E623" s="294">
        <v>50000</v>
      </c>
    </row>
    <row r="624" spans="1:5" ht="25.5" x14ac:dyDescent="0.2">
      <c r="A624" s="292" t="s">
        <v>1510</v>
      </c>
      <c r="B624" s="293" t="s">
        <v>766</v>
      </c>
      <c r="C624" s="293" t="s">
        <v>1511</v>
      </c>
      <c r="D624" s="293" t="s">
        <v>1314</v>
      </c>
      <c r="E624" s="294">
        <v>50000</v>
      </c>
    </row>
    <row r="625" spans="1:5" x14ac:dyDescent="0.2">
      <c r="A625" s="292" t="s">
        <v>1340</v>
      </c>
      <c r="B625" s="293" t="s">
        <v>766</v>
      </c>
      <c r="C625" s="293" t="s">
        <v>1341</v>
      </c>
      <c r="D625" s="293" t="s">
        <v>1314</v>
      </c>
      <c r="E625" s="294">
        <v>50000</v>
      </c>
    </row>
    <row r="626" spans="1:5" x14ac:dyDescent="0.2">
      <c r="A626" s="292" t="s">
        <v>266</v>
      </c>
      <c r="B626" s="293" t="s">
        <v>766</v>
      </c>
      <c r="C626" s="293" t="s">
        <v>1341</v>
      </c>
      <c r="D626" s="293" t="s">
        <v>1226</v>
      </c>
      <c r="E626" s="294">
        <v>50000</v>
      </c>
    </row>
    <row r="627" spans="1:5" x14ac:dyDescent="0.2">
      <c r="A627" s="292" t="s">
        <v>222</v>
      </c>
      <c r="B627" s="293" t="s">
        <v>766</v>
      </c>
      <c r="C627" s="293" t="s">
        <v>1341</v>
      </c>
      <c r="D627" s="293" t="s">
        <v>432</v>
      </c>
      <c r="E627" s="294">
        <v>50000</v>
      </c>
    </row>
    <row r="628" spans="1:5" ht="76.5" x14ac:dyDescent="0.2">
      <c r="A628" s="292" t="s">
        <v>555</v>
      </c>
      <c r="B628" s="293" t="s">
        <v>767</v>
      </c>
      <c r="C628" s="293" t="s">
        <v>1314</v>
      </c>
      <c r="D628" s="293" t="s">
        <v>1314</v>
      </c>
      <c r="E628" s="294">
        <v>350000</v>
      </c>
    </row>
    <row r="629" spans="1:5" ht="25.5" x14ac:dyDescent="0.2">
      <c r="A629" s="292" t="s">
        <v>1510</v>
      </c>
      <c r="B629" s="293" t="s">
        <v>767</v>
      </c>
      <c r="C629" s="293" t="s">
        <v>1511</v>
      </c>
      <c r="D629" s="293" t="s">
        <v>1314</v>
      </c>
      <c r="E629" s="294">
        <v>350000</v>
      </c>
    </row>
    <row r="630" spans="1:5" x14ac:dyDescent="0.2">
      <c r="A630" s="292" t="s">
        <v>1340</v>
      </c>
      <c r="B630" s="293" t="s">
        <v>767</v>
      </c>
      <c r="C630" s="293" t="s">
        <v>1341</v>
      </c>
      <c r="D630" s="293" t="s">
        <v>1314</v>
      </c>
      <c r="E630" s="294">
        <v>350000</v>
      </c>
    </row>
    <row r="631" spans="1:5" x14ac:dyDescent="0.2">
      <c r="A631" s="292" t="s">
        <v>266</v>
      </c>
      <c r="B631" s="293" t="s">
        <v>767</v>
      </c>
      <c r="C631" s="293" t="s">
        <v>1341</v>
      </c>
      <c r="D631" s="293" t="s">
        <v>1226</v>
      </c>
      <c r="E631" s="294">
        <v>350000</v>
      </c>
    </row>
    <row r="632" spans="1:5" x14ac:dyDescent="0.2">
      <c r="A632" s="292" t="s">
        <v>222</v>
      </c>
      <c r="B632" s="293" t="s">
        <v>767</v>
      </c>
      <c r="C632" s="293" t="s">
        <v>1341</v>
      </c>
      <c r="D632" s="293" t="s">
        <v>432</v>
      </c>
      <c r="E632" s="294">
        <v>350000</v>
      </c>
    </row>
    <row r="633" spans="1:5" ht="76.5" x14ac:dyDescent="0.2">
      <c r="A633" s="292" t="s">
        <v>615</v>
      </c>
      <c r="B633" s="293" t="s">
        <v>768</v>
      </c>
      <c r="C633" s="293" t="s">
        <v>1314</v>
      </c>
      <c r="D633" s="293" t="s">
        <v>1314</v>
      </c>
      <c r="E633" s="294">
        <v>2623454</v>
      </c>
    </row>
    <row r="634" spans="1:5" ht="25.5" x14ac:dyDescent="0.2">
      <c r="A634" s="292" t="s">
        <v>1510</v>
      </c>
      <c r="B634" s="293" t="s">
        <v>768</v>
      </c>
      <c r="C634" s="293" t="s">
        <v>1511</v>
      </c>
      <c r="D634" s="293" t="s">
        <v>1314</v>
      </c>
      <c r="E634" s="294">
        <v>2623454</v>
      </c>
    </row>
    <row r="635" spans="1:5" x14ac:dyDescent="0.2">
      <c r="A635" s="292" t="s">
        <v>1340</v>
      </c>
      <c r="B635" s="293" t="s">
        <v>768</v>
      </c>
      <c r="C635" s="293" t="s">
        <v>1341</v>
      </c>
      <c r="D635" s="293" t="s">
        <v>1314</v>
      </c>
      <c r="E635" s="294">
        <v>2623454</v>
      </c>
    </row>
    <row r="636" spans="1:5" x14ac:dyDescent="0.2">
      <c r="A636" s="292" t="s">
        <v>266</v>
      </c>
      <c r="B636" s="293" t="s">
        <v>768</v>
      </c>
      <c r="C636" s="293" t="s">
        <v>1341</v>
      </c>
      <c r="D636" s="293" t="s">
        <v>1226</v>
      </c>
      <c r="E636" s="294">
        <v>2623454</v>
      </c>
    </row>
    <row r="637" spans="1:5" x14ac:dyDescent="0.2">
      <c r="A637" s="292" t="s">
        <v>222</v>
      </c>
      <c r="B637" s="293" t="s">
        <v>768</v>
      </c>
      <c r="C637" s="293" t="s">
        <v>1341</v>
      </c>
      <c r="D637" s="293" t="s">
        <v>432</v>
      </c>
      <c r="E637" s="294">
        <v>2623454</v>
      </c>
    </row>
    <row r="638" spans="1:5" ht="51" x14ac:dyDescent="0.2">
      <c r="A638" s="292" t="s">
        <v>1914</v>
      </c>
      <c r="B638" s="293" t="s">
        <v>1915</v>
      </c>
      <c r="C638" s="293" t="s">
        <v>1314</v>
      </c>
      <c r="D638" s="293" t="s">
        <v>1314</v>
      </c>
      <c r="E638" s="294">
        <v>25100</v>
      </c>
    </row>
    <row r="639" spans="1:5" ht="25.5" x14ac:dyDescent="0.2">
      <c r="A639" s="292" t="s">
        <v>1510</v>
      </c>
      <c r="B639" s="293" t="s">
        <v>1915</v>
      </c>
      <c r="C639" s="293" t="s">
        <v>1511</v>
      </c>
      <c r="D639" s="293" t="s">
        <v>1314</v>
      </c>
      <c r="E639" s="294">
        <v>25100</v>
      </c>
    </row>
    <row r="640" spans="1:5" x14ac:dyDescent="0.2">
      <c r="A640" s="292" t="s">
        <v>1340</v>
      </c>
      <c r="B640" s="293" t="s">
        <v>1915</v>
      </c>
      <c r="C640" s="293" t="s">
        <v>1341</v>
      </c>
      <c r="D640" s="293" t="s">
        <v>1314</v>
      </c>
      <c r="E640" s="294">
        <v>25100</v>
      </c>
    </row>
    <row r="641" spans="1:5" x14ac:dyDescent="0.2">
      <c r="A641" s="292" t="s">
        <v>266</v>
      </c>
      <c r="B641" s="293" t="s">
        <v>1915</v>
      </c>
      <c r="C641" s="293" t="s">
        <v>1341</v>
      </c>
      <c r="D641" s="293" t="s">
        <v>1226</v>
      </c>
      <c r="E641" s="294">
        <v>25100</v>
      </c>
    </row>
    <row r="642" spans="1:5" x14ac:dyDescent="0.2">
      <c r="A642" s="292" t="s">
        <v>222</v>
      </c>
      <c r="B642" s="293" t="s">
        <v>1915</v>
      </c>
      <c r="C642" s="293" t="s">
        <v>1341</v>
      </c>
      <c r="D642" s="293" t="s">
        <v>432</v>
      </c>
      <c r="E642" s="294">
        <v>25100</v>
      </c>
    </row>
    <row r="643" spans="1:5" ht="76.5" x14ac:dyDescent="0.2">
      <c r="A643" s="292" t="s">
        <v>1018</v>
      </c>
      <c r="B643" s="293" t="s">
        <v>1019</v>
      </c>
      <c r="C643" s="293" t="s">
        <v>1314</v>
      </c>
      <c r="D643" s="293" t="s">
        <v>1314</v>
      </c>
      <c r="E643" s="294">
        <v>1150000</v>
      </c>
    </row>
    <row r="644" spans="1:5" ht="25.5" x14ac:dyDescent="0.2">
      <c r="A644" s="292" t="s">
        <v>1510</v>
      </c>
      <c r="B644" s="293" t="s">
        <v>1019</v>
      </c>
      <c r="C644" s="293" t="s">
        <v>1511</v>
      </c>
      <c r="D644" s="293" t="s">
        <v>1314</v>
      </c>
      <c r="E644" s="294">
        <v>1150000</v>
      </c>
    </row>
    <row r="645" spans="1:5" x14ac:dyDescent="0.2">
      <c r="A645" s="292" t="s">
        <v>1340</v>
      </c>
      <c r="B645" s="293" t="s">
        <v>1019</v>
      </c>
      <c r="C645" s="293" t="s">
        <v>1341</v>
      </c>
      <c r="D645" s="293" t="s">
        <v>1314</v>
      </c>
      <c r="E645" s="294">
        <v>1150000</v>
      </c>
    </row>
    <row r="646" spans="1:5" x14ac:dyDescent="0.2">
      <c r="A646" s="292" t="s">
        <v>266</v>
      </c>
      <c r="B646" s="293" t="s">
        <v>1019</v>
      </c>
      <c r="C646" s="293" t="s">
        <v>1341</v>
      </c>
      <c r="D646" s="293" t="s">
        <v>1226</v>
      </c>
      <c r="E646" s="294">
        <v>1150000</v>
      </c>
    </row>
    <row r="647" spans="1:5" x14ac:dyDescent="0.2">
      <c r="A647" s="292" t="s">
        <v>222</v>
      </c>
      <c r="B647" s="293" t="s">
        <v>1019</v>
      </c>
      <c r="C647" s="293" t="s">
        <v>1341</v>
      </c>
      <c r="D647" s="293" t="s">
        <v>432</v>
      </c>
      <c r="E647" s="294">
        <v>1150000</v>
      </c>
    </row>
    <row r="648" spans="1:5" ht="51" x14ac:dyDescent="0.2">
      <c r="A648" s="292" t="s">
        <v>440</v>
      </c>
      <c r="B648" s="293" t="s">
        <v>774</v>
      </c>
      <c r="C648" s="293" t="s">
        <v>1314</v>
      </c>
      <c r="D648" s="293" t="s">
        <v>1314</v>
      </c>
      <c r="E648" s="294">
        <v>270000</v>
      </c>
    </row>
    <row r="649" spans="1:5" ht="25.5" x14ac:dyDescent="0.2">
      <c r="A649" s="292" t="s">
        <v>1510</v>
      </c>
      <c r="B649" s="293" t="s">
        <v>774</v>
      </c>
      <c r="C649" s="293" t="s">
        <v>1511</v>
      </c>
      <c r="D649" s="293" t="s">
        <v>1314</v>
      </c>
      <c r="E649" s="294">
        <v>270000</v>
      </c>
    </row>
    <row r="650" spans="1:5" x14ac:dyDescent="0.2">
      <c r="A650" s="292" t="s">
        <v>1340</v>
      </c>
      <c r="B650" s="293" t="s">
        <v>774</v>
      </c>
      <c r="C650" s="293" t="s">
        <v>1341</v>
      </c>
      <c r="D650" s="293" t="s">
        <v>1314</v>
      </c>
      <c r="E650" s="294">
        <v>270000</v>
      </c>
    </row>
    <row r="651" spans="1:5" x14ac:dyDescent="0.2">
      <c r="A651" s="292" t="s">
        <v>266</v>
      </c>
      <c r="B651" s="293" t="s">
        <v>774</v>
      </c>
      <c r="C651" s="293" t="s">
        <v>1341</v>
      </c>
      <c r="D651" s="293" t="s">
        <v>1226</v>
      </c>
      <c r="E651" s="294">
        <v>270000</v>
      </c>
    </row>
    <row r="652" spans="1:5" x14ac:dyDescent="0.2">
      <c r="A652" s="292" t="s">
        <v>222</v>
      </c>
      <c r="B652" s="293" t="s">
        <v>774</v>
      </c>
      <c r="C652" s="293" t="s">
        <v>1341</v>
      </c>
      <c r="D652" s="293" t="s">
        <v>432</v>
      </c>
      <c r="E652" s="294">
        <v>270000</v>
      </c>
    </row>
    <row r="653" spans="1:5" ht="38.25" x14ac:dyDescent="0.2">
      <c r="A653" s="292" t="s">
        <v>441</v>
      </c>
      <c r="B653" s="293" t="s">
        <v>775</v>
      </c>
      <c r="C653" s="293" t="s">
        <v>1314</v>
      </c>
      <c r="D653" s="293" t="s">
        <v>1314</v>
      </c>
      <c r="E653" s="294">
        <v>250000</v>
      </c>
    </row>
    <row r="654" spans="1:5" ht="25.5" x14ac:dyDescent="0.2">
      <c r="A654" s="292" t="s">
        <v>1510</v>
      </c>
      <c r="B654" s="293" t="s">
        <v>775</v>
      </c>
      <c r="C654" s="293" t="s">
        <v>1511</v>
      </c>
      <c r="D654" s="293" t="s">
        <v>1314</v>
      </c>
      <c r="E654" s="294">
        <v>250000</v>
      </c>
    </row>
    <row r="655" spans="1:5" x14ac:dyDescent="0.2">
      <c r="A655" s="292" t="s">
        <v>1340</v>
      </c>
      <c r="B655" s="293" t="s">
        <v>775</v>
      </c>
      <c r="C655" s="293" t="s">
        <v>1341</v>
      </c>
      <c r="D655" s="293" t="s">
        <v>1314</v>
      </c>
      <c r="E655" s="294">
        <v>250000</v>
      </c>
    </row>
    <row r="656" spans="1:5" x14ac:dyDescent="0.2">
      <c r="A656" s="292" t="s">
        <v>266</v>
      </c>
      <c r="B656" s="293" t="s">
        <v>775</v>
      </c>
      <c r="C656" s="293" t="s">
        <v>1341</v>
      </c>
      <c r="D656" s="293" t="s">
        <v>1226</v>
      </c>
      <c r="E656" s="294">
        <v>250000</v>
      </c>
    </row>
    <row r="657" spans="1:5" x14ac:dyDescent="0.2">
      <c r="A657" s="292" t="s">
        <v>222</v>
      </c>
      <c r="B657" s="293" t="s">
        <v>775</v>
      </c>
      <c r="C657" s="293" t="s">
        <v>1341</v>
      </c>
      <c r="D657" s="293" t="s">
        <v>432</v>
      </c>
      <c r="E657" s="294">
        <v>250000</v>
      </c>
    </row>
    <row r="658" spans="1:5" ht="38.25" x14ac:dyDescent="0.2">
      <c r="A658" s="292" t="s">
        <v>1730</v>
      </c>
      <c r="B658" s="293" t="s">
        <v>769</v>
      </c>
      <c r="C658" s="293" t="s">
        <v>1314</v>
      </c>
      <c r="D658" s="293" t="s">
        <v>1314</v>
      </c>
      <c r="E658" s="294">
        <v>439250</v>
      </c>
    </row>
    <row r="659" spans="1:5" ht="25.5" x14ac:dyDescent="0.2">
      <c r="A659" s="292" t="s">
        <v>1510</v>
      </c>
      <c r="B659" s="293" t="s">
        <v>769</v>
      </c>
      <c r="C659" s="293" t="s">
        <v>1511</v>
      </c>
      <c r="D659" s="293" t="s">
        <v>1314</v>
      </c>
      <c r="E659" s="294">
        <v>439250</v>
      </c>
    </row>
    <row r="660" spans="1:5" x14ac:dyDescent="0.2">
      <c r="A660" s="292" t="s">
        <v>1340</v>
      </c>
      <c r="B660" s="293" t="s">
        <v>769</v>
      </c>
      <c r="C660" s="293" t="s">
        <v>1341</v>
      </c>
      <c r="D660" s="293" t="s">
        <v>1314</v>
      </c>
      <c r="E660" s="294">
        <v>439250</v>
      </c>
    </row>
    <row r="661" spans="1:5" x14ac:dyDescent="0.2">
      <c r="A661" s="292" t="s">
        <v>266</v>
      </c>
      <c r="B661" s="293" t="s">
        <v>769</v>
      </c>
      <c r="C661" s="293" t="s">
        <v>1341</v>
      </c>
      <c r="D661" s="293" t="s">
        <v>1226</v>
      </c>
      <c r="E661" s="294">
        <v>439250</v>
      </c>
    </row>
    <row r="662" spans="1:5" x14ac:dyDescent="0.2">
      <c r="A662" s="292" t="s">
        <v>222</v>
      </c>
      <c r="B662" s="293" t="s">
        <v>769</v>
      </c>
      <c r="C662" s="293" t="s">
        <v>1341</v>
      </c>
      <c r="D662" s="293" t="s">
        <v>432</v>
      </c>
      <c r="E662" s="294">
        <v>439250</v>
      </c>
    </row>
    <row r="663" spans="1:5" x14ac:dyDescent="0.2">
      <c r="A663" s="292" t="s">
        <v>641</v>
      </c>
      <c r="B663" s="293" t="s">
        <v>1043</v>
      </c>
      <c r="C663" s="293" t="s">
        <v>1314</v>
      </c>
      <c r="D663" s="293" t="s">
        <v>1314</v>
      </c>
      <c r="E663" s="294">
        <v>93467800</v>
      </c>
    </row>
    <row r="664" spans="1:5" ht="89.25" x14ac:dyDescent="0.2">
      <c r="A664" s="292" t="s">
        <v>558</v>
      </c>
      <c r="B664" s="293" t="s">
        <v>777</v>
      </c>
      <c r="C664" s="293" t="s">
        <v>1314</v>
      </c>
      <c r="D664" s="293" t="s">
        <v>1314</v>
      </c>
      <c r="E664" s="294">
        <v>67298750</v>
      </c>
    </row>
    <row r="665" spans="1:5" ht="25.5" x14ac:dyDescent="0.2">
      <c r="A665" s="292" t="s">
        <v>1510</v>
      </c>
      <c r="B665" s="293" t="s">
        <v>777</v>
      </c>
      <c r="C665" s="293" t="s">
        <v>1511</v>
      </c>
      <c r="D665" s="293" t="s">
        <v>1314</v>
      </c>
      <c r="E665" s="294">
        <v>67298750</v>
      </c>
    </row>
    <row r="666" spans="1:5" x14ac:dyDescent="0.2">
      <c r="A666" s="292" t="s">
        <v>1340</v>
      </c>
      <c r="B666" s="293" t="s">
        <v>777</v>
      </c>
      <c r="C666" s="293" t="s">
        <v>1341</v>
      </c>
      <c r="D666" s="293" t="s">
        <v>1314</v>
      </c>
      <c r="E666" s="294">
        <v>67298750</v>
      </c>
    </row>
    <row r="667" spans="1:5" x14ac:dyDescent="0.2">
      <c r="A667" s="292" t="s">
        <v>266</v>
      </c>
      <c r="B667" s="293" t="s">
        <v>777</v>
      </c>
      <c r="C667" s="293" t="s">
        <v>1341</v>
      </c>
      <c r="D667" s="293" t="s">
        <v>1226</v>
      </c>
      <c r="E667" s="294">
        <v>67298750</v>
      </c>
    </row>
    <row r="668" spans="1:5" x14ac:dyDescent="0.2">
      <c r="A668" s="292" t="s">
        <v>222</v>
      </c>
      <c r="B668" s="293" t="s">
        <v>777</v>
      </c>
      <c r="C668" s="293" t="s">
        <v>1341</v>
      </c>
      <c r="D668" s="293" t="s">
        <v>432</v>
      </c>
      <c r="E668" s="294">
        <v>67298750</v>
      </c>
    </row>
    <row r="669" spans="1:5" ht="114.75" x14ac:dyDescent="0.2">
      <c r="A669" s="292" t="s">
        <v>559</v>
      </c>
      <c r="B669" s="293" t="s">
        <v>778</v>
      </c>
      <c r="C669" s="293" t="s">
        <v>1314</v>
      </c>
      <c r="D669" s="293" t="s">
        <v>1314</v>
      </c>
      <c r="E669" s="294">
        <v>120000</v>
      </c>
    </row>
    <row r="670" spans="1:5" ht="25.5" x14ac:dyDescent="0.2">
      <c r="A670" s="292" t="s">
        <v>1510</v>
      </c>
      <c r="B670" s="293" t="s">
        <v>778</v>
      </c>
      <c r="C670" s="293" t="s">
        <v>1511</v>
      </c>
      <c r="D670" s="293" t="s">
        <v>1314</v>
      </c>
      <c r="E670" s="294">
        <v>120000</v>
      </c>
    </row>
    <row r="671" spans="1:5" x14ac:dyDescent="0.2">
      <c r="A671" s="292" t="s">
        <v>1340</v>
      </c>
      <c r="B671" s="293" t="s">
        <v>778</v>
      </c>
      <c r="C671" s="293" t="s">
        <v>1341</v>
      </c>
      <c r="D671" s="293" t="s">
        <v>1314</v>
      </c>
      <c r="E671" s="294">
        <v>120000</v>
      </c>
    </row>
    <row r="672" spans="1:5" x14ac:dyDescent="0.2">
      <c r="A672" s="292" t="s">
        <v>266</v>
      </c>
      <c r="B672" s="293" t="s">
        <v>778</v>
      </c>
      <c r="C672" s="293" t="s">
        <v>1341</v>
      </c>
      <c r="D672" s="293" t="s">
        <v>1226</v>
      </c>
      <c r="E672" s="294">
        <v>120000</v>
      </c>
    </row>
    <row r="673" spans="1:5" x14ac:dyDescent="0.2">
      <c r="A673" s="292" t="s">
        <v>222</v>
      </c>
      <c r="B673" s="293" t="s">
        <v>778</v>
      </c>
      <c r="C673" s="293" t="s">
        <v>1341</v>
      </c>
      <c r="D673" s="293" t="s">
        <v>432</v>
      </c>
      <c r="E673" s="294">
        <v>120000</v>
      </c>
    </row>
    <row r="674" spans="1:5" ht="89.25" x14ac:dyDescent="0.2">
      <c r="A674" s="292" t="s">
        <v>560</v>
      </c>
      <c r="B674" s="293" t="s">
        <v>779</v>
      </c>
      <c r="C674" s="293" t="s">
        <v>1314</v>
      </c>
      <c r="D674" s="293" t="s">
        <v>1314</v>
      </c>
      <c r="E674" s="294">
        <v>977050</v>
      </c>
    </row>
    <row r="675" spans="1:5" ht="25.5" x14ac:dyDescent="0.2">
      <c r="A675" s="292" t="s">
        <v>1510</v>
      </c>
      <c r="B675" s="293" t="s">
        <v>779</v>
      </c>
      <c r="C675" s="293" t="s">
        <v>1511</v>
      </c>
      <c r="D675" s="293" t="s">
        <v>1314</v>
      </c>
      <c r="E675" s="294">
        <v>977050</v>
      </c>
    </row>
    <row r="676" spans="1:5" x14ac:dyDescent="0.2">
      <c r="A676" s="292" t="s">
        <v>1340</v>
      </c>
      <c r="B676" s="293" t="s">
        <v>779</v>
      </c>
      <c r="C676" s="293" t="s">
        <v>1341</v>
      </c>
      <c r="D676" s="293" t="s">
        <v>1314</v>
      </c>
      <c r="E676" s="294">
        <v>977050</v>
      </c>
    </row>
    <row r="677" spans="1:5" x14ac:dyDescent="0.2">
      <c r="A677" s="292" t="s">
        <v>266</v>
      </c>
      <c r="B677" s="293" t="s">
        <v>779</v>
      </c>
      <c r="C677" s="293" t="s">
        <v>1341</v>
      </c>
      <c r="D677" s="293" t="s">
        <v>1226</v>
      </c>
      <c r="E677" s="294">
        <v>977050</v>
      </c>
    </row>
    <row r="678" spans="1:5" x14ac:dyDescent="0.2">
      <c r="A678" s="292" t="s">
        <v>222</v>
      </c>
      <c r="B678" s="293" t="s">
        <v>779</v>
      </c>
      <c r="C678" s="293" t="s">
        <v>1341</v>
      </c>
      <c r="D678" s="293" t="s">
        <v>432</v>
      </c>
      <c r="E678" s="294">
        <v>977050</v>
      </c>
    </row>
    <row r="679" spans="1:5" ht="76.5" x14ac:dyDescent="0.2">
      <c r="A679" s="292" t="s">
        <v>561</v>
      </c>
      <c r="B679" s="293" t="s">
        <v>780</v>
      </c>
      <c r="C679" s="293" t="s">
        <v>1314</v>
      </c>
      <c r="D679" s="293" t="s">
        <v>1314</v>
      </c>
      <c r="E679" s="294">
        <v>472000</v>
      </c>
    </row>
    <row r="680" spans="1:5" ht="25.5" x14ac:dyDescent="0.2">
      <c r="A680" s="292" t="s">
        <v>1510</v>
      </c>
      <c r="B680" s="293" t="s">
        <v>780</v>
      </c>
      <c r="C680" s="293" t="s">
        <v>1511</v>
      </c>
      <c r="D680" s="293" t="s">
        <v>1314</v>
      </c>
      <c r="E680" s="294">
        <v>472000</v>
      </c>
    </row>
    <row r="681" spans="1:5" x14ac:dyDescent="0.2">
      <c r="A681" s="292" t="s">
        <v>1340</v>
      </c>
      <c r="B681" s="293" t="s">
        <v>780</v>
      </c>
      <c r="C681" s="293" t="s">
        <v>1341</v>
      </c>
      <c r="D681" s="293" t="s">
        <v>1314</v>
      </c>
      <c r="E681" s="294">
        <v>472000</v>
      </c>
    </row>
    <row r="682" spans="1:5" x14ac:dyDescent="0.2">
      <c r="A682" s="292" t="s">
        <v>266</v>
      </c>
      <c r="B682" s="293" t="s">
        <v>780</v>
      </c>
      <c r="C682" s="293" t="s">
        <v>1341</v>
      </c>
      <c r="D682" s="293" t="s">
        <v>1226</v>
      </c>
      <c r="E682" s="294">
        <v>472000</v>
      </c>
    </row>
    <row r="683" spans="1:5" x14ac:dyDescent="0.2">
      <c r="A683" s="292" t="s">
        <v>222</v>
      </c>
      <c r="B683" s="293" t="s">
        <v>780</v>
      </c>
      <c r="C683" s="293" t="s">
        <v>1341</v>
      </c>
      <c r="D683" s="293" t="s">
        <v>432</v>
      </c>
      <c r="E683" s="294">
        <v>472000</v>
      </c>
    </row>
    <row r="684" spans="1:5" ht="89.25" x14ac:dyDescent="0.2">
      <c r="A684" s="292" t="s">
        <v>617</v>
      </c>
      <c r="B684" s="293" t="s">
        <v>781</v>
      </c>
      <c r="C684" s="293" t="s">
        <v>1314</v>
      </c>
      <c r="D684" s="293" t="s">
        <v>1314</v>
      </c>
      <c r="E684" s="294">
        <v>18620000</v>
      </c>
    </row>
    <row r="685" spans="1:5" ht="25.5" x14ac:dyDescent="0.2">
      <c r="A685" s="292" t="s">
        <v>1510</v>
      </c>
      <c r="B685" s="293" t="s">
        <v>781</v>
      </c>
      <c r="C685" s="293" t="s">
        <v>1511</v>
      </c>
      <c r="D685" s="293" t="s">
        <v>1314</v>
      </c>
      <c r="E685" s="294">
        <v>18620000</v>
      </c>
    </row>
    <row r="686" spans="1:5" x14ac:dyDescent="0.2">
      <c r="A686" s="292" t="s">
        <v>1340</v>
      </c>
      <c r="B686" s="293" t="s">
        <v>781</v>
      </c>
      <c r="C686" s="293" t="s">
        <v>1341</v>
      </c>
      <c r="D686" s="293" t="s">
        <v>1314</v>
      </c>
      <c r="E686" s="294">
        <v>18620000</v>
      </c>
    </row>
    <row r="687" spans="1:5" x14ac:dyDescent="0.2">
      <c r="A687" s="292" t="s">
        <v>266</v>
      </c>
      <c r="B687" s="293" t="s">
        <v>781</v>
      </c>
      <c r="C687" s="293" t="s">
        <v>1341</v>
      </c>
      <c r="D687" s="293" t="s">
        <v>1226</v>
      </c>
      <c r="E687" s="294">
        <v>18620000</v>
      </c>
    </row>
    <row r="688" spans="1:5" x14ac:dyDescent="0.2">
      <c r="A688" s="292" t="s">
        <v>222</v>
      </c>
      <c r="B688" s="293" t="s">
        <v>781</v>
      </c>
      <c r="C688" s="293" t="s">
        <v>1341</v>
      </c>
      <c r="D688" s="293" t="s">
        <v>432</v>
      </c>
      <c r="E688" s="294">
        <v>18620000</v>
      </c>
    </row>
    <row r="689" spans="1:5" ht="51" x14ac:dyDescent="0.2">
      <c r="A689" s="292" t="s">
        <v>1916</v>
      </c>
      <c r="B689" s="293" t="s">
        <v>1917</v>
      </c>
      <c r="C689" s="293" t="s">
        <v>1314</v>
      </c>
      <c r="D689" s="293" t="s">
        <v>1314</v>
      </c>
      <c r="E689" s="294">
        <v>380000</v>
      </c>
    </row>
    <row r="690" spans="1:5" ht="25.5" x14ac:dyDescent="0.2">
      <c r="A690" s="292" t="s">
        <v>1510</v>
      </c>
      <c r="B690" s="293" t="s">
        <v>1917</v>
      </c>
      <c r="C690" s="293" t="s">
        <v>1511</v>
      </c>
      <c r="D690" s="293" t="s">
        <v>1314</v>
      </c>
      <c r="E690" s="294">
        <v>380000</v>
      </c>
    </row>
    <row r="691" spans="1:5" x14ac:dyDescent="0.2">
      <c r="A691" s="292" t="s">
        <v>1340</v>
      </c>
      <c r="B691" s="293" t="s">
        <v>1917</v>
      </c>
      <c r="C691" s="293" t="s">
        <v>1341</v>
      </c>
      <c r="D691" s="293" t="s">
        <v>1314</v>
      </c>
      <c r="E691" s="294">
        <v>380000</v>
      </c>
    </row>
    <row r="692" spans="1:5" x14ac:dyDescent="0.2">
      <c r="A692" s="292" t="s">
        <v>266</v>
      </c>
      <c r="B692" s="293" t="s">
        <v>1917</v>
      </c>
      <c r="C692" s="293" t="s">
        <v>1341</v>
      </c>
      <c r="D692" s="293" t="s">
        <v>1226</v>
      </c>
      <c r="E692" s="294">
        <v>380000</v>
      </c>
    </row>
    <row r="693" spans="1:5" x14ac:dyDescent="0.2">
      <c r="A693" s="292" t="s">
        <v>222</v>
      </c>
      <c r="B693" s="293" t="s">
        <v>1917</v>
      </c>
      <c r="C693" s="293" t="s">
        <v>1341</v>
      </c>
      <c r="D693" s="293" t="s">
        <v>432</v>
      </c>
      <c r="E693" s="294">
        <v>380000</v>
      </c>
    </row>
    <row r="694" spans="1:5" ht="76.5" x14ac:dyDescent="0.2">
      <c r="A694" s="292" t="s">
        <v>1020</v>
      </c>
      <c r="B694" s="293" t="s">
        <v>1021</v>
      </c>
      <c r="C694" s="293" t="s">
        <v>1314</v>
      </c>
      <c r="D694" s="293" t="s">
        <v>1314</v>
      </c>
      <c r="E694" s="294">
        <v>3350000</v>
      </c>
    </row>
    <row r="695" spans="1:5" ht="25.5" x14ac:dyDescent="0.2">
      <c r="A695" s="292" t="s">
        <v>1510</v>
      </c>
      <c r="B695" s="293" t="s">
        <v>1021</v>
      </c>
      <c r="C695" s="293" t="s">
        <v>1511</v>
      </c>
      <c r="D695" s="293" t="s">
        <v>1314</v>
      </c>
      <c r="E695" s="294">
        <v>3350000</v>
      </c>
    </row>
    <row r="696" spans="1:5" x14ac:dyDescent="0.2">
      <c r="A696" s="292" t="s">
        <v>1340</v>
      </c>
      <c r="B696" s="293" t="s">
        <v>1021</v>
      </c>
      <c r="C696" s="293" t="s">
        <v>1341</v>
      </c>
      <c r="D696" s="293" t="s">
        <v>1314</v>
      </c>
      <c r="E696" s="294">
        <v>3350000</v>
      </c>
    </row>
    <row r="697" spans="1:5" x14ac:dyDescent="0.2">
      <c r="A697" s="292" t="s">
        <v>266</v>
      </c>
      <c r="B697" s="293" t="s">
        <v>1021</v>
      </c>
      <c r="C697" s="293" t="s">
        <v>1341</v>
      </c>
      <c r="D697" s="293" t="s">
        <v>1226</v>
      </c>
      <c r="E697" s="294">
        <v>3350000</v>
      </c>
    </row>
    <row r="698" spans="1:5" x14ac:dyDescent="0.2">
      <c r="A698" s="292" t="s">
        <v>222</v>
      </c>
      <c r="B698" s="293" t="s">
        <v>1021</v>
      </c>
      <c r="C698" s="293" t="s">
        <v>1341</v>
      </c>
      <c r="D698" s="293" t="s">
        <v>432</v>
      </c>
      <c r="E698" s="294">
        <v>3350000</v>
      </c>
    </row>
    <row r="699" spans="1:5" ht="51" x14ac:dyDescent="0.2">
      <c r="A699" s="292" t="s">
        <v>550</v>
      </c>
      <c r="B699" s="293" t="s">
        <v>759</v>
      </c>
      <c r="C699" s="293" t="s">
        <v>1314</v>
      </c>
      <c r="D699" s="293" t="s">
        <v>1314</v>
      </c>
      <c r="E699" s="294">
        <v>2160508</v>
      </c>
    </row>
    <row r="700" spans="1:5" ht="25.5" x14ac:dyDescent="0.2">
      <c r="A700" s="292" t="s">
        <v>1510</v>
      </c>
      <c r="B700" s="293" t="s">
        <v>759</v>
      </c>
      <c r="C700" s="293" t="s">
        <v>1511</v>
      </c>
      <c r="D700" s="293" t="s">
        <v>1314</v>
      </c>
      <c r="E700" s="294">
        <v>2160508</v>
      </c>
    </row>
    <row r="701" spans="1:5" x14ac:dyDescent="0.2">
      <c r="A701" s="292" t="s">
        <v>1340</v>
      </c>
      <c r="B701" s="293" t="s">
        <v>759</v>
      </c>
      <c r="C701" s="293" t="s">
        <v>1341</v>
      </c>
      <c r="D701" s="293" t="s">
        <v>1314</v>
      </c>
      <c r="E701" s="294">
        <v>2160508</v>
      </c>
    </row>
    <row r="702" spans="1:5" x14ac:dyDescent="0.2">
      <c r="A702" s="292" t="s">
        <v>147</v>
      </c>
      <c r="B702" s="293" t="s">
        <v>759</v>
      </c>
      <c r="C702" s="293" t="s">
        <v>1341</v>
      </c>
      <c r="D702" s="293" t="s">
        <v>1220</v>
      </c>
      <c r="E702" s="294">
        <v>150000</v>
      </c>
    </row>
    <row r="703" spans="1:5" x14ac:dyDescent="0.2">
      <c r="A703" s="292" t="s">
        <v>1147</v>
      </c>
      <c r="B703" s="293" t="s">
        <v>759</v>
      </c>
      <c r="C703" s="293" t="s">
        <v>1341</v>
      </c>
      <c r="D703" s="293" t="s">
        <v>1148</v>
      </c>
      <c r="E703" s="294">
        <v>150000</v>
      </c>
    </row>
    <row r="704" spans="1:5" x14ac:dyDescent="0.2">
      <c r="A704" s="292" t="s">
        <v>266</v>
      </c>
      <c r="B704" s="293" t="s">
        <v>759</v>
      </c>
      <c r="C704" s="293" t="s">
        <v>1341</v>
      </c>
      <c r="D704" s="293" t="s">
        <v>1226</v>
      </c>
      <c r="E704" s="294">
        <v>2010508</v>
      </c>
    </row>
    <row r="705" spans="1:5" x14ac:dyDescent="0.2">
      <c r="A705" s="292" t="s">
        <v>222</v>
      </c>
      <c r="B705" s="293" t="s">
        <v>759</v>
      </c>
      <c r="C705" s="293" t="s">
        <v>1341</v>
      </c>
      <c r="D705" s="293" t="s">
        <v>432</v>
      </c>
      <c r="E705" s="294">
        <v>2010508</v>
      </c>
    </row>
    <row r="706" spans="1:5" ht="51" x14ac:dyDescent="0.2">
      <c r="A706" s="292" t="s">
        <v>1683</v>
      </c>
      <c r="B706" s="293" t="s">
        <v>1684</v>
      </c>
      <c r="C706" s="293" t="s">
        <v>1314</v>
      </c>
      <c r="D706" s="293" t="s">
        <v>1314</v>
      </c>
      <c r="E706" s="294">
        <v>89492</v>
      </c>
    </row>
    <row r="707" spans="1:5" ht="25.5" x14ac:dyDescent="0.2">
      <c r="A707" s="292" t="s">
        <v>1510</v>
      </c>
      <c r="B707" s="293" t="s">
        <v>1684</v>
      </c>
      <c r="C707" s="293" t="s">
        <v>1511</v>
      </c>
      <c r="D707" s="293" t="s">
        <v>1314</v>
      </c>
      <c r="E707" s="294">
        <v>89492</v>
      </c>
    </row>
    <row r="708" spans="1:5" x14ac:dyDescent="0.2">
      <c r="A708" s="292" t="s">
        <v>1340</v>
      </c>
      <c r="B708" s="293" t="s">
        <v>1684</v>
      </c>
      <c r="C708" s="293" t="s">
        <v>1341</v>
      </c>
      <c r="D708" s="293" t="s">
        <v>1314</v>
      </c>
      <c r="E708" s="294">
        <v>89492</v>
      </c>
    </row>
    <row r="709" spans="1:5" x14ac:dyDescent="0.2">
      <c r="A709" s="292" t="s">
        <v>266</v>
      </c>
      <c r="B709" s="293" t="s">
        <v>1684</v>
      </c>
      <c r="C709" s="293" t="s">
        <v>1341</v>
      </c>
      <c r="D709" s="293" t="s">
        <v>1226</v>
      </c>
      <c r="E709" s="294">
        <v>89492</v>
      </c>
    </row>
    <row r="710" spans="1:5" x14ac:dyDescent="0.2">
      <c r="A710" s="292" t="s">
        <v>222</v>
      </c>
      <c r="B710" s="293" t="s">
        <v>1684</v>
      </c>
      <c r="C710" s="293" t="s">
        <v>1341</v>
      </c>
      <c r="D710" s="293" t="s">
        <v>432</v>
      </c>
      <c r="E710" s="294">
        <v>89492</v>
      </c>
    </row>
    <row r="711" spans="1:5" ht="25.5" x14ac:dyDescent="0.2">
      <c r="A711" s="292" t="s">
        <v>642</v>
      </c>
      <c r="B711" s="293" t="s">
        <v>1044</v>
      </c>
      <c r="C711" s="293" t="s">
        <v>1314</v>
      </c>
      <c r="D711" s="293" t="s">
        <v>1314</v>
      </c>
      <c r="E711" s="294">
        <v>125505428</v>
      </c>
    </row>
    <row r="712" spans="1:5" ht="102" x14ac:dyDescent="0.2">
      <c r="A712" s="292" t="s">
        <v>551</v>
      </c>
      <c r="B712" s="293" t="s">
        <v>760</v>
      </c>
      <c r="C712" s="293" t="s">
        <v>1314</v>
      </c>
      <c r="D712" s="293" t="s">
        <v>1314</v>
      </c>
      <c r="E712" s="294">
        <v>81830690</v>
      </c>
    </row>
    <row r="713" spans="1:5" ht="51" x14ac:dyDescent="0.2">
      <c r="A713" s="292" t="s">
        <v>1501</v>
      </c>
      <c r="B713" s="293" t="s">
        <v>760</v>
      </c>
      <c r="C713" s="293" t="s">
        <v>290</v>
      </c>
      <c r="D713" s="293" t="s">
        <v>1314</v>
      </c>
      <c r="E713" s="294">
        <v>42339908</v>
      </c>
    </row>
    <row r="714" spans="1:5" x14ac:dyDescent="0.2">
      <c r="A714" s="292" t="s">
        <v>1331</v>
      </c>
      <c r="B714" s="293" t="s">
        <v>760</v>
      </c>
      <c r="C714" s="293" t="s">
        <v>140</v>
      </c>
      <c r="D714" s="293" t="s">
        <v>1314</v>
      </c>
      <c r="E714" s="294">
        <v>42339908</v>
      </c>
    </row>
    <row r="715" spans="1:5" x14ac:dyDescent="0.2">
      <c r="A715" s="292" t="s">
        <v>266</v>
      </c>
      <c r="B715" s="293" t="s">
        <v>760</v>
      </c>
      <c r="C715" s="293" t="s">
        <v>140</v>
      </c>
      <c r="D715" s="293" t="s">
        <v>1226</v>
      </c>
      <c r="E715" s="294">
        <v>42339908</v>
      </c>
    </row>
    <row r="716" spans="1:5" x14ac:dyDescent="0.2">
      <c r="A716" s="292" t="s">
        <v>0</v>
      </c>
      <c r="B716" s="293" t="s">
        <v>760</v>
      </c>
      <c r="C716" s="293" t="s">
        <v>140</v>
      </c>
      <c r="D716" s="293" t="s">
        <v>442</v>
      </c>
      <c r="E716" s="294">
        <v>42339908</v>
      </c>
    </row>
    <row r="717" spans="1:5" ht="25.5" x14ac:dyDescent="0.2">
      <c r="A717" s="292" t="s">
        <v>1502</v>
      </c>
      <c r="B717" s="293" t="s">
        <v>760</v>
      </c>
      <c r="C717" s="293" t="s">
        <v>1503</v>
      </c>
      <c r="D717" s="293" t="s">
        <v>1314</v>
      </c>
      <c r="E717" s="294">
        <v>3269853</v>
      </c>
    </row>
    <row r="718" spans="1:5" ht="25.5" x14ac:dyDescent="0.2">
      <c r="A718" s="292" t="s">
        <v>1338</v>
      </c>
      <c r="B718" s="293" t="s">
        <v>760</v>
      </c>
      <c r="C718" s="293" t="s">
        <v>1339</v>
      </c>
      <c r="D718" s="293" t="s">
        <v>1314</v>
      </c>
      <c r="E718" s="294">
        <v>3269853</v>
      </c>
    </row>
    <row r="719" spans="1:5" x14ac:dyDescent="0.2">
      <c r="A719" s="292" t="s">
        <v>266</v>
      </c>
      <c r="B719" s="293" t="s">
        <v>760</v>
      </c>
      <c r="C719" s="293" t="s">
        <v>1339</v>
      </c>
      <c r="D719" s="293" t="s">
        <v>1226</v>
      </c>
      <c r="E719" s="294">
        <v>3269853</v>
      </c>
    </row>
    <row r="720" spans="1:5" x14ac:dyDescent="0.2">
      <c r="A720" s="292" t="s">
        <v>0</v>
      </c>
      <c r="B720" s="293" t="s">
        <v>760</v>
      </c>
      <c r="C720" s="293" t="s">
        <v>1339</v>
      </c>
      <c r="D720" s="293" t="s">
        <v>442</v>
      </c>
      <c r="E720" s="294">
        <v>3269853</v>
      </c>
    </row>
    <row r="721" spans="1:5" ht="25.5" x14ac:dyDescent="0.2">
      <c r="A721" s="292" t="s">
        <v>1510</v>
      </c>
      <c r="B721" s="293" t="s">
        <v>760</v>
      </c>
      <c r="C721" s="293" t="s">
        <v>1511</v>
      </c>
      <c r="D721" s="293" t="s">
        <v>1314</v>
      </c>
      <c r="E721" s="294">
        <v>36207429</v>
      </c>
    </row>
    <row r="722" spans="1:5" x14ac:dyDescent="0.2">
      <c r="A722" s="292" t="s">
        <v>1340</v>
      </c>
      <c r="B722" s="293" t="s">
        <v>760</v>
      </c>
      <c r="C722" s="293" t="s">
        <v>1341</v>
      </c>
      <c r="D722" s="293" t="s">
        <v>1314</v>
      </c>
      <c r="E722" s="294">
        <v>36207429</v>
      </c>
    </row>
    <row r="723" spans="1:5" x14ac:dyDescent="0.2">
      <c r="A723" s="292" t="s">
        <v>147</v>
      </c>
      <c r="B723" s="293" t="s">
        <v>760</v>
      </c>
      <c r="C723" s="293" t="s">
        <v>1341</v>
      </c>
      <c r="D723" s="293" t="s">
        <v>1220</v>
      </c>
      <c r="E723" s="294">
        <v>36207429</v>
      </c>
    </row>
    <row r="724" spans="1:5" x14ac:dyDescent="0.2">
      <c r="A724" s="292" t="s">
        <v>1147</v>
      </c>
      <c r="B724" s="293" t="s">
        <v>760</v>
      </c>
      <c r="C724" s="293" t="s">
        <v>1341</v>
      </c>
      <c r="D724" s="293" t="s">
        <v>1148</v>
      </c>
      <c r="E724" s="294">
        <v>36207429</v>
      </c>
    </row>
    <row r="725" spans="1:5" x14ac:dyDescent="0.2">
      <c r="A725" s="292" t="s">
        <v>1504</v>
      </c>
      <c r="B725" s="293" t="s">
        <v>760</v>
      </c>
      <c r="C725" s="293" t="s">
        <v>1505</v>
      </c>
      <c r="D725" s="293" t="s">
        <v>1314</v>
      </c>
      <c r="E725" s="294">
        <v>13500</v>
      </c>
    </row>
    <row r="726" spans="1:5" x14ac:dyDescent="0.2">
      <c r="A726" s="292" t="s">
        <v>1343</v>
      </c>
      <c r="B726" s="293" t="s">
        <v>760</v>
      </c>
      <c r="C726" s="293" t="s">
        <v>1344</v>
      </c>
      <c r="D726" s="293" t="s">
        <v>1314</v>
      </c>
      <c r="E726" s="294">
        <v>13500</v>
      </c>
    </row>
    <row r="727" spans="1:5" x14ac:dyDescent="0.2">
      <c r="A727" s="292" t="s">
        <v>266</v>
      </c>
      <c r="B727" s="293" t="s">
        <v>760</v>
      </c>
      <c r="C727" s="293" t="s">
        <v>1344</v>
      </c>
      <c r="D727" s="293" t="s">
        <v>1226</v>
      </c>
      <c r="E727" s="294">
        <v>13500</v>
      </c>
    </row>
    <row r="728" spans="1:5" x14ac:dyDescent="0.2">
      <c r="A728" s="292" t="s">
        <v>0</v>
      </c>
      <c r="B728" s="293" t="s">
        <v>760</v>
      </c>
      <c r="C728" s="293" t="s">
        <v>1344</v>
      </c>
      <c r="D728" s="293" t="s">
        <v>442</v>
      </c>
      <c r="E728" s="294">
        <v>13500</v>
      </c>
    </row>
    <row r="729" spans="1:5" ht="114.75" x14ac:dyDescent="0.2">
      <c r="A729" s="292" t="s">
        <v>552</v>
      </c>
      <c r="B729" s="293" t="s">
        <v>761</v>
      </c>
      <c r="C729" s="293" t="s">
        <v>1314</v>
      </c>
      <c r="D729" s="293" t="s">
        <v>1314</v>
      </c>
      <c r="E729" s="294">
        <v>38342000</v>
      </c>
    </row>
    <row r="730" spans="1:5" ht="51" x14ac:dyDescent="0.2">
      <c r="A730" s="292" t="s">
        <v>1501</v>
      </c>
      <c r="B730" s="293" t="s">
        <v>761</v>
      </c>
      <c r="C730" s="293" t="s">
        <v>290</v>
      </c>
      <c r="D730" s="293" t="s">
        <v>1314</v>
      </c>
      <c r="E730" s="294">
        <v>32289600</v>
      </c>
    </row>
    <row r="731" spans="1:5" x14ac:dyDescent="0.2">
      <c r="A731" s="292" t="s">
        <v>1331</v>
      </c>
      <c r="B731" s="293" t="s">
        <v>761</v>
      </c>
      <c r="C731" s="293" t="s">
        <v>140</v>
      </c>
      <c r="D731" s="293" t="s">
        <v>1314</v>
      </c>
      <c r="E731" s="294">
        <v>32289600</v>
      </c>
    </row>
    <row r="732" spans="1:5" x14ac:dyDescent="0.2">
      <c r="A732" s="292" t="s">
        <v>266</v>
      </c>
      <c r="B732" s="293" t="s">
        <v>761</v>
      </c>
      <c r="C732" s="293" t="s">
        <v>140</v>
      </c>
      <c r="D732" s="293" t="s">
        <v>1226</v>
      </c>
      <c r="E732" s="294">
        <v>32289600</v>
      </c>
    </row>
    <row r="733" spans="1:5" x14ac:dyDescent="0.2">
      <c r="A733" s="292" t="s">
        <v>0</v>
      </c>
      <c r="B733" s="293" t="s">
        <v>761</v>
      </c>
      <c r="C733" s="293" t="s">
        <v>140</v>
      </c>
      <c r="D733" s="293" t="s">
        <v>442</v>
      </c>
      <c r="E733" s="294">
        <v>32289600</v>
      </c>
    </row>
    <row r="734" spans="1:5" ht="25.5" x14ac:dyDescent="0.2">
      <c r="A734" s="292" t="s">
        <v>1510</v>
      </c>
      <c r="B734" s="293" t="s">
        <v>761</v>
      </c>
      <c r="C734" s="293" t="s">
        <v>1511</v>
      </c>
      <c r="D734" s="293" t="s">
        <v>1314</v>
      </c>
      <c r="E734" s="294">
        <v>6052400</v>
      </c>
    </row>
    <row r="735" spans="1:5" x14ac:dyDescent="0.2">
      <c r="A735" s="292" t="s">
        <v>1340</v>
      </c>
      <c r="B735" s="293" t="s">
        <v>761</v>
      </c>
      <c r="C735" s="293" t="s">
        <v>1341</v>
      </c>
      <c r="D735" s="293" t="s">
        <v>1314</v>
      </c>
      <c r="E735" s="294">
        <v>6052400</v>
      </c>
    </row>
    <row r="736" spans="1:5" x14ac:dyDescent="0.2">
      <c r="A736" s="292" t="s">
        <v>147</v>
      </c>
      <c r="B736" s="293" t="s">
        <v>761</v>
      </c>
      <c r="C736" s="293" t="s">
        <v>1341</v>
      </c>
      <c r="D736" s="293" t="s">
        <v>1220</v>
      </c>
      <c r="E736" s="294">
        <v>6052400</v>
      </c>
    </row>
    <row r="737" spans="1:5" x14ac:dyDescent="0.2">
      <c r="A737" s="292" t="s">
        <v>1147</v>
      </c>
      <c r="B737" s="293" t="s">
        <v>761</v>
      </c>
      <c r="C737" s="293" t="s">
        <v>1341</v>
      </c>
      <c r="D737" s="293" t="s">
        <v>1148</v>
      </c>
      <c r="E737" s="294">
        <v>6052400</v>
      </c>
    </row>
    <row r="738" spans="1:5" ht="102" x14ac:dyDescent="0.2">
      <c r="A738" s="292" t="s">
        <v>613</v>
      </c>
      <c r="B738" s="293" t="s">
        <v>762</v>
      </c>
      <c r="C738" s="293" t="s">
        <v>1314</v>
      </c>
      <c r="D738" s="293" t="s">
        <v>1314</v>
      </c>
      <c r="E738" s="294">
        <v>217112</v>
      </c>
    </row>
    <row r="739" spans="1:5" ht="25.5" x14ac:dyDescent="0.2">
      <c r="A739" s="292" t="s">
        <v>1510</v>
      </c>
      <c r="B739" s="293" t="s">
        <v>762</v>
      </c>
      <c r="C739" s="293" t="s">
        <v>1511</v>
      </c>
      <c r="D739" s="293" t="s">
        <v>1314</v>
      </c>
      <c r="E739" s="294">
        <v>217112</v>
      </c>
    </row>
    <row r="740" spans="1:5" x14ac:dyDescent="0.2">
      <c r="A740" s="292" t="s">
        <v>1340</v>
      </c>
      <c r="B740" s="293" t="s">
        <v>762</v>
      </c>
      <c r="C740" s="293" t="s">
        <v>1341</v>
      </c>
      <c r="D740" s="293" t="s">
        <v>1314</v>
      </c>
      <c r="E740" s="294">
        <v>217112</v>
      </c>
    </row>
    <row r="741" spans="1:5" x14ac:dyDescent="0.2">
      <c r="A741" s="292" t="s">
        <v>147</v>
      </c>
      <c r="B741" s="293" t="s">
        <v>762</v>
      </c>
      <c r="C741" s="293" t="s">
        <v>1341</v>
      </c>
      <c r="D741" s="293" t="s">
        <v>1220</v>
      </c>
      <c r="E741" s="294">
        <v>217112</v>
      </c>
    </row>
    <row r="742" spans="1:5" x14ac:dyDescent="0.2">
      <c r="A742" s="292" t="s">
        <v>1147</v>
      </c>
      <c r="B742" s="293" t="s">
        <v>762</v>
      </c>
      <c r="C742" s="293" t="s">
        <v>1341</v>
      </c>
      <c r="D742" s="293" t="s">
        <v>1148</v>
      </c>
      <c r="E742" s="294">
        <v>217112</v>
      </c>
    </row>
    <row r="743" spans="1:5" ht="89.25" x14ac:dyDescent="0.2">
      <c r="A743" s="292" t="s">
        <v>553</v>
      </c>
      <c r="B743" s="293" t="s">
        <v>763</v>
      </c>
      <c r="C743" s="293" t="s">
        <v>1314</v>
      </c>
      <c r="D743" s="293" t="s">
        <v>1314</v>
      </c>
      <c r="E743" s="294">
        <v>1055388</v>
      </c>
    </row>
    <row r="744" spans="1:5" ht="51" x14ac:dyDescent="0.2">
      <c r="A744" s="292" t="s">
        <v>1501</v>
      </c>
      <c r="B744" s="293" t="s">
        <v>763</v>
      </c>
      <c r="C744" s="293" t="s">
        <v>290</v>
      </c>
      <c r="D744" s="293" t="s">
        <v>1314</v>
      </c>
      <c r="E744" s="294">
        <v>450388</v>
      </c>
    </row>
    <row r="745" spans="1:5" x14ac:dyDescent="0.2">
      <c r="A745" s="292" t="s">
        <v>1331</v>
      </c>
      <c r="B745" s="293" t="s">
        <v>763</v>
      </c>
      <c r="C745" s="293" t="s">
        <v>140</v>
      </c>
      <c r="D745" s="293" t="s">
        <v>1314</v>
      </c>
      <c r="E745" s="294">
        <v>450388</v>
      </c>
    </row>
    <row r="746" spans="1:5" x14ac:dyDescent="0.2">
      <c r="A746" s="292" t="s">
        <v>266</v>
      </c>
      <c r="B746" s="293" t="s">
        <v>763</v>
      </c>
      <c r="C746" s="293" t="s">
        <v>140</v>
      </c>
      <c r="D746" s="293" t="s">
        <v>1226</v>
      </c>
      <c r="E746" s="294">
        <v>450388</v>
      </c>
    </row>
    <row r="747" spans="1:5" x14ac:dyDescent="0.2">
      <c r="A747" s="292" t="s">
        <v>0</v>
      </c>
      <c r="B747" s="293" t="s">
        <v>763</v>
      </c>
      <c r="C747" s="293" t="s">
        <v>140</v>
      </c>
      <c r="D747" s="293" t="s">
        <v>442</v>
      </c>
      <c r="E747" s="294">
        <v>450388</v>
      </c>
    </row>
    <row r="748" spans="1:5" ht="25.5" x14ac:dyDescent="0.2">
      <c r="A748" s="292" t="s">
        <v>1510</v>
      </c>
      <c r="B748" s="293" t="s">
        <v>763</v>
      </c>
      <c r="C748" s="293" t="s">
        <v>1511</v>
      </c>
      <c r="D748" s="293" t="s">
        <v>1314</v>
      </c>
      <c r="E748" s="294">
        <v>605000</v>
      </c>
    </row>
    <row r="749" spans="1:5" x14ac:dyDescent="0.2">
      <c r="A749" s="292" t="s">
        <v>1340</v>
      </c>
      <c r="B749" s="293" t="s">
        <v>763</v>
      </c>
      <c r="C749" s="293" t="s">
        <v>1341</v>
      </c>
      <c r="D749" s="293" t="s">
        <v>1314</v>
      </c>
      <c r="E749" s="294">
        <v>605000</v>
      </c>
    </row>
    <row r="750" spans="1:5" x14ac:dyDescent="0.2">
      <c r="A750" s="292" t="s">
        <v>147</v>
      </c>
      <c r="B750" s="293" t="s">
        <v>763</v>
      </c>
      <c r="C750" s="293" t="s">
        <v>1341</v>
      </c>
      <c r="D750" s="293" t="s">
        <v>1220</v>
      </c>
      <c r="E750" s="294">
        <v>605000</v>
      </c>
    </row>
    <row r="751" spans="1:5" x14ac:dyDescent="0.2">
      <c r="A751" s="292" t="s">
        <v>1147</v>
      </c>
      <c r="B751" s="293" t="s">
        <v>763</v>
      </c>
      <c r="C751" s="293" t="s">
        <v>1341</v>
      </c>
      <c r="D751" s="293" t="s">
        <v>1148</v>
      </c>
      <c r="E751" s="294">
        <v>605000</v>
      </c>
    </row>
    <row r="752" spans="1:5" ht="89.25" x14ac:dyDescent="0.2">
      <c r="A752" s="292" t="s">
        <v>614</v>
      </c>
      <c r="B752" s="293" t="s">
        <v>764</v>
      </c>
      <c r="C752" s="293" t="s">
        <v>1314</v>
      </c>
      <c r="D752" s="293" t="s">
        <v>1314</v>
      </c>
      <c r="E752" s="294">
        <v>3387238</v>
      </c>
    </row>
    <row r="753" spans="1:5" ht="25.5" x14ac:dyDescent="0.2">
      <c r="A753" s="292" t="s">
        <v>1502</v>
      </c>
      <c r="B753" s="293" t="s">
        <v>764</v>
      </c>
      <c r="C753" s="293" t="s">
        <v>1503</v>
      </c>
      <c r="D753" s="293" t="s">
        <v>1314</v>
      </c>
      <c r="E753" s="294">
        <v>370000</v>
      </c>
    </row>
    <row r="754" spans="1:5" ht="25.5" x14ac:dyDescent="0.2">
      <c r="A754" s="292" t="s">
        <v>1338</v>
      </c>
      <c r="B754" s="293" t="s">
        <v>764</v>
      </c>
      <c r="C754" s="293" t="s">
        <v>1339</v>
      </c>
      <c r="D754" s="293" t="s">
        <v>1314</v>
      </c>
      <c r="E754" s="294">
        <v>370000</v>
      </c>
    </row>
    <row r="755" spans="1:5" x14ac:dyDescent="0.2">
      <c r="A755" s="292" t="s">
        <v>266</v>
      </c>
      <c r="B755" s="293" t="s">
        <v>764</v>
      </c>
      <c r="C755" s="293" t="s">
        <v>1339</v>
      </c>
      <c r="D755" s="293" t="s">
        <v>1226</v>
      </c>
      <c r="E755" s="294">
        <v>370000</v>
      </c>
    </row>
    <row r="756" spans="1:5" x14ac:dyDescent="0.2">
      <c r="A756" s="292" t="s">
        <v>0</v>
      </c>
      <c r="B756" s="293" t="s">
        <v>764</v>
      </c>
      <c r="C756" s="293" t="s">
        <v>1339</v>
      </c>
      <c r="D756" s="293" t="s">
        <v>442</v>
      </c>
      <c r="E756" s="294">
        <v>370000</v>
      </c>
    </row>
    <row r="757" spans="1:5" ht="25.5" x14ac:dyDescent="0.2">
      <c r="A757" s="292" t="s">
        <v>1510</v>
      </c>
      <c r="B757" s="293" t="s">
        <v>764</v>
      </c>
      <c r="C757" s="293" t="s">
        <v>1511</v>
      </c>
      <c r="D757" s="293" t="s">
        <v>1314</v>
      </c>
      <c r="E757" s="294">
        <v>3017238</v>
      </c>
    </row>
    <row r="758" spans="1:5" x14ac:dyDescent="0.2">
      <c r="A758" s="292" t="s">
        <v>1340</v>
      </c>
      <c r="B758" s="293" t="s">
        <v>764</v>
      </c>
      <c r="C758" s="293" t="s">
        <v>1341</v>
      </c>
      <c r="D758" s="293" t="s">
        <v>1314</v>
      </c>
      <c r="E758" s="294">
        <v>3017238</v>
      </c>
    </row>
    <row r="759" spans="1:5" x14ac:dyDescent="0.2">
      <c r="A759" s="292" t="s">
        <v>147</v>
      </c>
      <c r="B759" s="293" t="s">
        <v>764</v>
      </c>
      <c r="C759" s="293" t="s">
        <v>1341</v>
      </c>
      <c r="D759" s="293" t="s">
        <v>1220</v>
      </c>
      <c r="E759" s="294">
        <v>3017238</v>
      </c>
    </row>
    <row r="760" spans="1:5" x14ac:dyDescent="0.2">
      <c r="A760" s="292" t="s">
        <v>1147</v>
      </c>
      <c r="B760" s="293" t="s">
        <v>764</v>
      </c>
      <c r="C760" s="293" t="s">
        <v>1341</v>
      </c>
      <c r="D760" s="293" t="s">
        <v>1148</v>
      </c>
      <c r="E760" s="294">
        <v>3017238</v>
      </c>
    </row>
    <row r="761" spans="1:5" ht="63.75" x14ac:dyDescent="0.2">
      <c r="A761" s="292" t="s">
        <v>1910</v>
      </c>
      <c r="B761" s="293" t="s">
        <v>1911</v>
      </c>
      <c r="C761" s="293" t="s">
        <v>1314</v>
      </c>
      <c r="D761" s="293" t="s">
        <v>1314</v>
      </c>
      <c r="E761" s="294">
        <v>62000</v>
      </c>
    </row>
    <row r="762" spans="1:5" ht="25.5" x14ac:dyDescent="0.2">
      <c r="A762" s="292" t="s">
        <v>1502</v>
      </c>
      <c r="B762" s="293" t="s">
        <v>1911</v>
      </c>
      <c r="C762" s="293" t="s">
        <v>1503</v>
      </c>
      <c r="D762" s="293" t="s">
        <v>1314</v>
      </c>
      <c r="E762" s="294">
        <v>13000</v>
      </c>
    </row>
    <row r="763" spans="1:5" ht="25.5" x14ac:dyDescent="0.2">
      <c r="A763" s="292" t="s">
        <v>1338</v>
      </c>
      <c r="B763" s="293" t="s">
        <v>1911</v>
      </c>
      <c r="C763" s="293" t="s">
        <v>1339</v>
      </c>
      <c r="D763" s="293" t="s">
        <v>1314</v>
      </c>
      <c r="E763" s="294">
        <v>13000</v>
      </c>
    </row>
    <row r="764" spans="1:5" x14ac:dyDescent="0.2">
      <c r="A764" s="292" t="s">
        <v>266</v>
      </c>
      <c r="B764" s="293" t="s">
        <v>1911</v>
      </c>
      <c r="C764" s="293" t="s">
        <v>1339</v>
      </c>
      <c r="D764" s="293" t="s">
        <v>1226</v>
      </c>
      <c r="E764" s="294">
        <v>13000</v>
      </c>
    </row>
    <row r="765" spans="1:5" x14ac:dyDescent="0.2">
      <c r="A765" s="292" t="s">
        <v>0</v>
      </c>
      <c r="B765" s="293" t="s">
        <v>1911</v>
      </c>
      <c r="C765" s="293" t="s">
        <v>1339</v>
      </c>
      <c r="D765" s="293" t="s">
        <v>442</v>
      </c>
      <c r="E765" s="294">
        <v>13000</v>
      </c>
    </row>
    <row r="766" spans="1:5" ht="25.5" x14ac:dyDescent="0.2">
      <c r="A766" s="292" t="s">
        <v>1510</v>
      </c>
      <c r="B766" s="293" t="s">
        <v>1911</v>
      </c>
      <c r="C766" s="293" t="s">
        <v>1511</v>
      </c>
      <c r="D766" s="293" t="s">
        <v>1314</v>
      </c>
      <c r="E766" s="294">
        <v>49000</v>
      </c>
    </row>
    <row r="767" spans="1:5" x14ac:dyDescent="0.2">
      <c r="A767" s="292" t="s">
        <v>1340</v>
      </c>
      <c r="B767" s="293" t="s">
        <v>1911</v>
      </c>
      <c r="C767" s="293" t="s">
        <v>1341</v>
      </c>
      <c r="D767" s="293" t="s">
        <v>1314</v>
      </c>
      <c r="E767" s="294">
        <v>49000</v>
      </c>
    </row>
    <row r="768" spans="1:5" x14ac:dyDescent="0.2">
      <c r="A768" s="292" t="s">
        <v>147</v>
      </c>
      <c r="B768" s="293" t="s">
        <v>1911</v>
      </c>
      <c r="C768" s="293" t="s">
        <v>1341</v>
      </c>
      <c r="D768" s="293" t="s">
        <v>1220</v>
      </c>
      <c r="E768" s="294">
        <v>49000</v>
      </c>
    </row>
    <row r="769" spans="1:5" x14ac:dyDescent="0.2">
      <c r="A769" s="292" t="s">
        <v>1147</v>
      </c>
      <c r="B769" s="293" t="s">
        <v>1911</v>
      </c>
      <c r="C769" s="293" t="s">
        <v>1341</v>
      </c>
      <c r="D769" s="293" t="s">
        <v>1148</v>
      </c>
      <c r="E769" s="294">
        <v>49000</v>
      </c>
    </row>
    <row r="770" spans="1:5" ht="89.25" x14ac:dyDescent="0.2">
      <c r="A770" s="292" t="s">
        <v>1016</v>
      </c>
      <c r="B770" s="293" t="s">
        <v>1017</v>
      </c>
      <c r="C770" s="293" t="s">
        <v>1314</v>
      </c>
      <c r="D770" s="293" t="s">
        <v>1314</v>
      </c>
      <c r="E770" s="294">
        <v>611000</v>
      </c>
    </row>
    <row r="771" spans="1:5" ht="25.5" x14ac:dyDescent="0.2">
      <c r="A771" s="292" t="s">
        <v>1502</v>
      </c>
      <c r="B771" s="293" t="s">
        <v>1017</v>
      </c>
      <c r="C771" s="293" t="s">
        <v>1503</v>
      </c>
      <c r="D771" s="293" t="s">
        <v>1314</v>
      </c>
      <c r="E771" s="294">
        <v>230000</v>
      </c>
    </row>
    <row r="772" spans="1:5" ht="25.5" x14ac:dyDescent="0.2">
      <c r="A772" s="292" t="s">
        <v>1338</v>
      </c>
      <c r="B772" s="293" t="s">
        <v>1017</v>
      </c>
      <c r="C772" s="293" t="s">
        <v>1339</v>
      </c>
      <c r="D772" s="293" t="s">
        <v>1314</v>
      </c>
      <c r="E772" s="294">
        <v>230000</v>
      </c>
    </row>
    <row r="773" spans="1:5" x14ac:dyDescent="0.2">
      <c r="A773" s="292" t="s">
        <v>266</v>
      </c>
      <c r="B773" s="293" t="s">
        <v>1017</v>
      </c>
      <c r="C773" s="293" t="s">
        <v>1339</v>
      </c>
      <c r="D773" s="293" t="s">
        <v>1226</v>
      </c>
      <c r="E773" s="294">
        <v>230000</v>
      </c>
    </row>
    <row r="774" spans="1:5" x14ac:dyDescent="0.2">
      <c r="A774" s="292" t="s">
        <v>0</v>
      </c>
      <c r="B774" s="293" t="s">
        <v>1017</v>
      </c>
      <c r="C774" s="293" t="s">
        <v>1339</v>
      </c>
      <c r="D774" s="293" t="s">
        <v>442</v>
      </c>
      <c r="E774" s="294">
        <v>230000</v>
      </c>
    </row>
    <row r="775" spans="1:5" ht="25.5" x14ac:dyDescent="0.2">
      <c r="A775" s="292" t="s">
        <v>1510</v>
      </c>
      <c r="B775" s="293" t="s">
        <v>1017</v>
      </c>
      <c r="C775" s="293" t="s">
        <v>1511</v>
      </c>
      <c r="D775" s="293" t="s">
        <v>1314</v>
      </c>
      <c r="E775" s="294">
        <v>381000</v>
      </c>
    </row>
    <row r="776" spans="1:5" x14ac:dyDescent="0.2">
      <c r="A776" s="292" t="s">
        <v>1340</v>
      </c>
      <c r="B776" s="293" t="s">
        <v>1017</v>
      </c>
      <c r="C776" s="293" t="s">
        <v>1341</v>
      </c>
      <c r="D776" s="293" t="s">
        <v>1314</v>
      </c>
      <c r="E776" s="294">
        <v>381000</v>
      </c>
    </row>
    <row r="777" spans="1:5" x14ac:dyDescent="0.2">
      <c r="A777" s="292" t="s">
        <v>147</v>
      </c>
      <c r="B777" s="293" t="s">
        <v>1017</v>
      </c>
      <c r="C777" s="293" t="s">
        <v>1341</v>
      </c>
      <c r="D777" s="293" t="s">
        <v>1220</v>
      </c>
      <c r="E777" s="294">
        <v>381000</v>
      </c>
    </row>
    <row r="778" spans="1:5" x14ac:dyDescent="0.2">
      <c r="A778" s="292" t="s">
        <v>1147</v>
      </c>
      <c r="B778" s="293" t="s">
        <v>1017</v>
      </c>
      <c r="C778" s="293" t="s">
        <v>1341</v>
      </c>
      <c r="D778" s="293" t="s">
        <v>1148</v>
      </c>
      <c r="E778" s="294">
        <v>381000</v>
      </c>
    </row>
    <row r="779" spans="1:5" x14ac:dyDescent="0.2">
      <c r="A779" s="292" t="s">
        <v>507</v>
      </c>
      <c r="B779" s="293" t="s">
        <v>1045</v>
      </c>
      <c r="C779" s="293" t="s">
        <v>1314</v>
      </c>
      <c r="D779" s="293" t="s">
        <v>1314</v>
      </c>
      <c r="E779" s="294">
        <v>14580433</v>
      </c>
    </row>
    <row r="780" spans="1:5" ht="25.5" x14ac:dyDescent="0.2">
      <c r="A780" s="292" t="s">
        <v>508</v>
      </c>
      <c r="B780" s="293" t="s">
        <v>1046</v>
      </c>
      <c r="C780" s="293" t="s">
        <v>1314</v>
      </c>
      <c r="D780" s="293" t="s">
        <v>1314</v>
      </c>
      <c r="E780" s="294">
        <v>3038350</v>
      </c>
    </row>
    <row r="781" spans="1:5" ht="51" x14ac:dyDescent="0.2">
      <c r="A781" s="292" t="s">
        <v>1014</v>
      </c>
      <c r="B781" s="293" t="s">
        <v>1015</v>
      </c>
      <c r="C781" s="293" t="s">
        <v>1314</v>
      </c>
      <c r="D781" s="293" t="s">
        <v>1314</v>
      </c>
      <c r="E781" s="294">
        <v>50000</v>
      </c>
    </row>
    <row r="782" spans="1:5" ht="25.5" x14ac:dyDescent="0.2">
      <c r="A782" s="292" t="s">
        <v>1510</v>
      </c>
      <c r="B782" s="293" t="s">
        <v>1015</v>
      </c>
      <c r="C782" s="293" t="s">
        <v>1511</v>
      </c>
      <c r="D782" s="293" t="s">
        <v>1314</v>
      </c>
      <c r="E782" s="294">
        <v>50000</v>
      </c>
    </row>
    <row r="783" spans="1:5" x14ac:dyDescent="0.2">
      <c r="A783" s="292" t="s">
        <v>1340</v>
      </c>
      <c r="B783" s="293" t="s">
        <v>1015</v>
      </c>
      <c r="C783" s="293" t="s">
        <v>1341</v>
      </c>
      <c r="D783" s="293" t="s">
        <v>1314</v>
      </c>
      <c r="E783" s="294">
        <v>50000</v>
      </c>
    </row>
    <row r="784" spans="1:5" x14ac:dyDescent="0.2">
      <c r="A784" s="292" t="s">
        <v>147</v>
      </c>
      <c r="B784" s="293" t="s">
        <v>1015</v>
      </c>
      <c r="C784" s="293" t="s">
        <v>1341</v>
      </c>
      <c r="D784" s="293" t="s">
        <v>1220</v>
      </c>
      <c r="E784" s="294">
        <v>50000</v>
      </c>
    </row>
    <row r="785" spans="1:5" x14ac:dyDescent="0.2">
      <c r="A785" s="292" t="s">
        <v>1145</v>
      </c>
      <c r="B785" s="293" t="s">
        <v>1015</v>
      </c>
      <c r="C785" s="293" t="s">
        <v>1341</v>
      </c>
      <c r="D785" s="293" t="s">
        <v>405</v>
      </c>
      <c r="E785" s="294">
        <v>50000</v>
      </c>
    </row>
    <row r="786" spans="1:5" ht="63.75" x14ac:dyDescent="0.2">
      <c r="A786" s="292" t="s">
        <v>1681</v>
      </c>
      <c r="B786" s="293" t="s">
        <v>1682</v>
      </c>
      <c r="C786" s="293" t="s">
        <v>1314</v>
      </c>
      <c r="D786" s="293" t="s">
        <v>1314</v>
      </c>
      <c r="E786" s="294">
        <v>282030</v>
      </c>
    </row>
    <row r="787" spans="1:5" ht="25.5" x14ac:dyDescent="0.2">
      <c r="A787" s="292" t="s">
        <v>1510</v>
      </c>
      <c r="B787" s="293" t="s">
        <v>1682</v>
      </c>
      <c r="C787" s="293" t="s">
        <v>1511</v>
      </c>
      <c r="D787" s="293" t="s">
        <v>1314</v>
      </c>
      <c r="E787" s="294">
        <v>282030</v>
      </c>
    </row>
    <row r="788" spans="1:5" x14ac:dyDescent="0.2">
      <c r="A788" s="292" t="s">
        <v>1340</v>
      </c>
      <c r="B788" s="293" t="s">
        <v>1682</v>
      </c>
      <c r="C788" s="293" t="s">
        <v>1341</v>
      </c>
      <c r="D788" s="293" t="s">
        <v>1314</v>
      </c>
      <c r="E788" s="294">
        <v>282030</v>
      </c>
    </row>
    <row r="789" spans="1:5" x14ac:dyDescent="0.2">
      <c r="A789" s="292" t="s">
        <v>147</v>
      </c>
      <c r="B789" s="293" t="s">
        <v>1682</v>
      </c>
      <c r="C789" s="293" t="s">
        <v>1341</v>
      </c>
      <c r="D789" s="293" t="s">
        <v>1220</v>
      </c>
      <c r="E789" s="294">
        <v>282030</v>
      </c>
    </row>
    <row r="790" spans="1:5" x14ac:dyDescent="0.2">
      <c r="A790" s="292" t="s">
        <v>1145</v>
      </c>
      <c r="B790" s="293" t="s">
        <v>1682</v>
      </c>
      <c r="C790" s="293" t="s">
        <v>1341</v>
      </c>
      <c r="D790" s="293" t="s">
        <v>405</v>
      </c>
      <c r="E790" s="294">
        <v>282030</v>
      </c>
    </row>
    <row r="791" spans="1:5" ht="51" x14ac:dyDescent="0.2">
      <c r="A791" s="292" t="s">
        <v>1748</v>
      </c>
      <c r="B791" s="293" t="s">
        <v>739</v>
      </c>
      <c r="C791" s="293" t="s">
        <v>1314</v>
      </c>
      <c r="D791" s="293" t="s">
        <v>1314</v>
      </c>
      <c r="E791" s="294">
        <v>206320</v>
      </c>
    </row>
    <row r="792" spans="1:5" ht="25.5" x14ac:dyDescent="0.2">
      <c r="A792" s="292" t="s">
        <v>1510</v>
      </c>
      <c r="B792" s="293" t="s">
        <v>739</v>
      </c>
      <c r="C792" s="293" t="s">
        <v>1511</v>
      </c>
      <c r="D792" s="293" t="s">
        <v>1314</v>
      </c>
      <c r="E792" s="294">
        <v>206320</v>
      </c>
    </row>
    <row r="793" spans="1:5" x14ac:dyDescent="0.2">
      <c r="A793" s="292" t="s">
        <v>1340</v>
      </c>
      <c r="B793" s="293" t="s">
        <v>739</v>
      </c>
      <c r="C793" s="293" t="s">
        <v>1341</v>
      </c>
      <c r="D793" s="293" t="s">
        <v>1314</v>
      </c>
      <c r="E793" s="294">
        <v>206320</v>
      </c>
    </row>
    <row r="794" spans="1:5" x14ac:dyDescent="0.2">
      <c r="A794" s="292" t="s">
        <v>147</v>
      </c>
      <c r="B794" s="293" t="s">
        <v>739</v>
      </c>
      <c r="C794" s="293" t="s">
        <v>1341</v>
      </c>
      <c r="D794" s="293" t="s">
        <v>1220</v>
      </c>
      <c r="E794" s="294">
        <v>206320</v>
      </c>
    </row>
    <row r="795" spans="1:5" x14ac:dyDescent="0.2">
      <c r="A795" s="292" t="s">
        <v>1145</v>
      </c>
      <c r="B795" s="293" t="s">
        <v>739</v>
      </c>
      <c r="C795" s="293" t="s">
        <v>1341</v>
      </c>
      <c r="D795" s="293" t="s">
        <v>405</v>
      </c>
      <c r="E795" s="294">
        <v>206320</v>
      </c>
    </row>
    <row r="796" spans="1:5" ht="102" x14ac:dyDescent="0.2">
      <c r="A796" s="292" t="s">
        <v>1698</v>
      </c>
      <c r="B796" s="293" t="s">
        <v>856</v>
      </c>
      <c r="C796" s="293" t="s">
        <v>1314</v>
      </c>
      <c r="D796" s="293" t="s">
        <v>1314</v>
      </c>
      <c r="E796" s="294">
        <v>2500000</v>
      </c>
    </row>
    <row r="797" spans="1:5" x14ac:dyDescent="0.2">
      <c r="A797" s="292" t="s">
        <v>1512</v>
      </c>
      <c r="B797" s="293" t="s">
        <v>856</v>
      </c>
      <c r="C797" s="293" t="s">
        <v>1513</v>
      </c>
      <c r="D797" s="293" t="s">
        <v>1314</v>
      </c>
      <c r="E797" s="294">
        <v>2500000</v>
      </c>
    </row>
    <row r="798" spans="1:5" x14ac:dyDescent="0.2">
      <c r="A798" s="292" t="s">
        <v>72</v>
      </c>
      <c r="B798" s="293" t="s">
        <v>856</v>
      </c>
      <c r="C798" s="293" t="s">
        <v>470</v>
      </c>
      <c r="D798" s="293" t="s">
        <v>1314</v>
      </c>
      <c r="E798" s="294">
        <v>2500000</v>
      </c>
    </row>
    <row r="799" spans="1:5" x14ac:dyDescent="0.2">
      <c r="A799" s="292" t="s">
        <v>147</v>
      </c>
      <c r="B799" s="293" t="s">
        <v>856</v>
      </c>
      <c r="C799" s="293" t="s">
        <v>470</v>
      </c>
      <c r="D799" s="293" t="s">
        <v>1220</v>
      </c>
      <c r="E799" s="294">
        <v>2500000</v>
      </c>
    </row>
    <row r="800" spans="1:5" x14ac:dyDescent="0.2">
      <c r="A800" s="292" t="s">
        <v>1145</v>
      </c>
      <c r="B800" s="293" t="s">
        <v>856</v>
      </c>
      <c r="C800" s="293" t="s">
        <v>470</v>
      </c>
      <c r="D800" s="293" t="s">
        <v>405</v>
      </c>
      <c r="E800" s="294">
        <v>2500000</v>
      </c>
    </row>
    <row r="801" spans="1:5" ht="25.5" x14ac:dyDescent="0.2">
      <c r="A801" s="292" t="s">
        <v>510</v>
      </c>
      <c r="B801" s="293" t="s">
        <v>1153</v>
      </c>
      <c r="C801" s="293" t="s">
        <v>1314</v>
      </c>
      <c r="D801" s="293" t="s">
        <v>1314</v>
      </c>
      <c r="E801" s="294">
        <v>170000</v>
      </c>
    </row>
    <row r="802" spans="1:5" ht="38.25" x14ac:dyDescent="0.2">
      <c r="A802" s="292" t="s">
        <v>409</v>
      </c>
      <c r="B802" s="293" t="s">
        <v>740</v>
      </c>
      <c r="C802" s="293" t="s">
        <v>1314</v>
      </c>
      <c r="D802" s="293" t="s">
        <v>1314</v>
      </c>
      <c r="E802" s="294">
        <v>150000</v>
      </c>
    </row>
    <row r="803" spans="1:5" ht="25.5" x14ac:dyDescent="0.2">
      <c r="A803" s="292" t="s">
        <v>1510</v>
      </c>
      <c r="B803" s="293" t="s">
        <v>740</v>
      </c>
      <c r="C803" s="293" t="s">
        <v>1511</v>
      </c>
      <c r="D803" s="293" t="s">
        <v>1314</v>
      </c>
      <c r="E803" s="294">
        <v>150000</v>
      </c>
    </row>
    <row r="804" spans="1:5" x14ac:dyDescent="0.2">
      <c r="A804" s="292" t="s">
        <v>1340</v>
      </c>
      <c r="B804" s="293" t="s">
        <v>740</v>
      </c>
      <c r="C804" s="293" t="s">
        <v>1341</v>
      </c>
      <c r="D804" s="293" t="s">
        <v>1314</v>
      </c>
      <c r="E804" s="294">
        <v>150000</v>
      </c>
    </row>
    <row r="805" spans="1:5" x14ac:dyDescent="0.2">
      <c r="A805" s="292" t="s">
        <v>147</v>
      </c>
      <c r="B805" s="293" t="s">
        <v>740</v>
      </c>
      <c r="C805" s="293" t="s">
        <v>1341</v>
      </c>
      <c r="D805" s="293" t="s">
        <v>1220</v>
      </c>
      <c r="E805" s="294">
        <v>150000</v>
      </c>
    </row>
    <row r="806" spans="1:5" x14ac:dyDescent="0.2">
      <c r="A806" s="292" t="s">
        <v>1145</v>
      </c>
      <c r="B806" s="293" t="s">
        <v>740</v>
      </c>
      <c r="C806" s="293" t="s">
        <v>1341</v>
      </c>
      <c r="D806" s="293" t="s">
        <v>405</v>
      </c>
      <c r="E806" s="294">
        <v>150000</v>
      </c>
    </row>
    <row r="807" spans="1:5" ht="76.5" x14ac:dyDescent="0.2">
      <c r="A807" s="292" t="s">
        <v>1750</v>
      </c>
      <c r="B807" s="293" t="s">
        <v>1733</v>
      </c>
      <c r="C807" s="293" t="s">
        <v>1314</v>
      </c>
      <c r="D807" s="293" t="s">
        <v>1314</v>
      </c>
      <c r="E807" s="294">
        <v>20000</v>
      </c>
    </row>
    <row r="808" spans="1:5" ht="25.5" x14ac:dyDescent="0.2">
      <c r="A808" s="292" t="s">
        <v>1510</v>
      </c>
      <c r="B808" s="293" t="s">
        <v>1733</v>
      </c>
      <c r="C808" s="293" t="s">
        <v>1511</v>
      </c>
      <c r="D808" s="293" t="s">
        <v>1314</v>
      </c>
      <c r="E808" s="294">
        <v>20000</v>
      </c>
    </row>
    <row r="809" spans="1:5" x14ac:dyDescent="0.2">
      <c r="A809" s="292" t="s">
        <v>1340</v>
      </c>
      <c r="B809" s="293" t="s">
        <v>1733</v>
      </c>
      <c r="C809" s="293" t="s">
        <v>1341</v>
      </c>
      <c r="D809" s="293" t="s">
        <v>1314</v>
      </c>
      <c r="E809" s="294">
        <v>20000</v>
      </c>
    </row>
    <row r="810" spans="1:5" x14ac:dyDescent="0.2">
      <c r="A810" s="292" t="s">
        <v>147</v>
      </c>
      <c r="B810" s="293" t="s">
        <v>1733</v>
      </c>
      <c r="C810" s="293" t="s">
        <v>1341</v>
      </c>
      <c r="D810" s="293" t="s">
        <v>1220</v>
      </c>
      <c r="E810" s="294">
        <v>20000</v>
      </c>
    </row>
    <row r="811" spans="1:5" x14ac:dyDescent="0.2">
      <c r="A811" s="292" t="s">
        <v>1145</v>
      </c>
      <c r="B811" s="293" t="s">
        <v>1733</v>
      </c>
      <c r="C811" s="293" t="s">
        <v>1341</v>
      </c>
      <c r="D811" s="293" t="s">
        <v>405</v>
      </c>
      <c r="E811" s="294">
        <v>20000</v>
      </c>
    </row>
    <row r="812" spans="1:5" ht="25.5" x14ac:dyDescent="0.2">
      <c r="A812" s="292" t="s">
        <v>512</v>
      </c>
      <c r="B812" s="293" t="s">
        <v>1047</v>
      </c>
      <c r="C812" s="293" t="s">
        <v>1314</v>
      </c>
      <c r="D812" s="293" t="s">
        <v>1314</v>
      </c>
      <c r="E812" s="294">
        <v>1500000</v>
      </c>
    </row>
    <row r="813" spans="1:5" ht="63.75" x14ac:dyDescent="0.2">
      <c r="A813" s="292" t="s">
        <v>1749</v>
      </c>
      <c r="B813" s="293" t="s">
        <v>1394</v>
      </c>
      <c r="C813" s="293" t="s">
        <v>1314</v>
      </c>
      <c r="D813" s="293" t="s">
        <v>1314</v>
      </c>
      <c r="E813" s="294">
        <v>1500000</v>
      </c>
    </row>
    <row r="814" spans="1:5" x14ac:dyDescent="0.2">
      <c r="A814" s="292" t="s">
        <v>1506</v>
      </c>
      <c r="B814" s="293" t="s">
        <v>1394</v>
      </c>
      <c r="C814" s="293" t="s">
        <v>1507</v>
      </c>
      <c r="D814" s="293" t="s">
        <v>1314</v>
      </c>
      <c r="E814" s="294">
        <v>1500000</v>
      </c>
    </row>
    <row r="815" spans="1:5" ht="25.5" x14ac:dyDescent="0.2">
      <c r="A815" s="292" t="s">
        <v>1342</v>
      </c>
      <c r="B815" s="293" t="s">
        <v>1394</v>
      </c>
      <c r="C815" s="293" t="s">
        <v>604</v>
      </c>
      <c r="D815" s="293" t="s">
        <v>1314</v>
      </c>
      <c r="E815" s="294">
        <v>1500000</v>
      </c>
    </row>
    <row r="816" spans="1:5" x14ac:dyDescent="0.2">
      <c r="A816" s="292" t="s">
        <v>148</v>
      </c>
      <c r="B816" s="293" t="s">
        <v>1394</v>
      </c>
      <c r="C816" s="293" t="s">
        <v>604</v>
      </c>
      <c r="D816" s="293" t="s">
        <v>1221</v>
      </c>
      <c r="E816" s="294">
        <v>1500000</v>
      </c>
    </row>
    <row r="817" spans="1:5" x14ac:dyDescent="0.2">
      <c r="A817" s="292" t="s">
        <v>105</v>
      </c>
      <c r="B817" s="293" t="s">
        <v>1394</v>
      </c>
      <c r="C817" s="293" t="s">
        <v>604</v>
      </c>
      <c r="D817" s="293" t="s">
        <v>418</v>
      </c>
      <c r="E817" s="294">
        <v>1500000</v>
      </c>
    </row>
    <row r="818" spans="1:5" ht="25.5" x14ac:dyDescent="0.2">
      <c r="A818" s="292" t="s">
        <v>488</v>
      </c>
      <c r="B818" s="293" t="s">
        <v>1048</v>
      </c>
      <c r="C818" s="293" t="s">
        <v>1314</v>
      </c>
      <c r="D818" s="293" t="s">
        <v>1314</v>
      </c>
      <c r="E818" s="294">
        <v>9672083</v>
      </c>
    </row>
    <row r="819" spans="1:5" ht="89.25" x14ac:dyDescent="0.2">
      <c r="A819" s="292" t="s">
        <v>411</v>
      </c>
      <c r="B819" s="293" t="s">
        <v>742</v>
      </c>
      <c r="C819" s="293" t="s">
        <v>1314</v>
      </c>
      <c r="D819" s="293" t="s">
        <v>1314</v>
      </c>
      <c r="E819" s="294">
        <v>6655583</v>
      </c>
    </row>
    <row r="820" spans="1:5" ht="25.5" x14ac:dyDescent="0.2">
      <c r="A820" s="292" t="s">
        <v>1510</v>
      </c>
      <c r="B820" s="293" t="s">
        <v>742</v>
      </c>
      <c r="C820" s="293" t="s">
        <v>1511</v>
      </c>
      <c r="D820" s="293" t="s">
        <v>1314</v>
      </c>
      <c r="E820" s="294">
        <v>6655583</v>
      </c>
    </row>
    <row r="821" spans="1:5" x14ac:dyDescent="0.2">
      <c r="A821" s="292" t="s">
        <v>1340</v>
      </c>
      <c r="B821" s="293" t="s">
        <v>742</v>
      </c>
      <c r="C821" s="293" t="s">
        <v>1341</v>
      </c>
      <c r="D821" s="293" t="s">
        <v>1314</v>
      </c>
      <c r="E821" s="294">
        <v>6655583</v>
      </c>
    </row>
    <row r="822" spans="1:5" x14ac:dyDescent="0.2">
      <c r="A822" s="292" t="s">
        <v>147</v>
      </c>
      <c r="B822" s="293" t="s">
        <v>742</v>
      </c>
      <c r="C822" s="293" t="s">
        <v>1341</v>
      </c>
      <c r="D822" s="293" t="s">
        <v>1220</v>
      </c>
      <c r="E822" s="294">
        <v>6655583</v>
      </c>
    </row>
    <row r="823" spans="1:5" x14ac:dyDescent="0.2">
      <c r="A823" s="292" t="s">
        <v>1145</v>
      </c>
      <c r="B823" s="293" t="s">
        <v>742</v>
      </c>
      <c r="C823" s="293" t="s">
        <v>1341</v>
      </c>
      <c r="D823" s="293" t="s">
        <v>405</v>
      </c>
      <c r="E823" s="294">
        <v>6655583</v>
      </c>
    </row>
    <row r="824" spans="1:5" ht="114.75" x14ac:dyDescent="0.2">
      <c r="A824" s="292" t="s">
        <v>412</v>
      </c>
      <c r="B824" s="293" t="s">
        <v>743</v>
      </c>
      <c r="C824" s="293" t="s">
        <v>1314</v>
      </c>
      <c r="D824" s="293" t="s">
        <v>1314</v>
      </c>
      <c r="E824" s="294">
        <v>1000000</v>
      </c>
    </row>
    <row r="825" spans="1:5" ht="25.5" x14ac:dyDescent="0.2">
      <c r="A825" s="292" t="s">
        <v>1510</v>
      </c>
      <c r="B825" s="293" t="s">
        <v>743</v>
      </c>
      <c r="C825" s="293" t="s">
        <v>1511</v>
      </c>
      <c r="D825" s="293" t="s">
        <v>1314</v>
      </c>
      <c r="E825" s="294">
        <v>1000000</v>
      </c>
    </row>
    <row r="826" spans="1:5" x14ac:dyDescent="0.2">
      <c r="A826" s="292" t="s">
        <v>1340</v>
      </c>
      <c r="B826" s="293" t="s">
        <v>743</v>
      </c>
      <c r="C826" s="293" t="s">
        <v>1341</v>
      </c>
      <c r="D826" s="293" t="s">
        <v>1314</v>
      </c>
      <c r="E826" s="294">
        <v>1000000</v>
      </c>
    </row>
    <row r="827" spans="1:5" x14ac:dyDescent="0.2">
      <c r="A827" s="292" t="s">
        <v>147</v>
      </c>
      <c r="B827" s="293" t="s">
        <v>743</v>
      </c>
      <c r="C827" s="293" t="s">
        <v>1341</v>
      </c>
      <c r="D827" s="293" t="s">
        <v>1220</v>
      </c>
      <c r="E827" s="294">
        <v>1000000</v>
      </c>
    </row>
    <row r="828" spans="1:5" x14ac:dyDescent="0.2">
      <c r="A828" s="292" t="s">
        <v>1145</v>
      </c>
      <c r="B828" s="293" t="s">
        <v>743</v>
      </c>
      <c r="C828" s="293" t="s">
        <v>1341</v>
      </c>
      <c r="D828" s="293" t="s">
        <v>405</v>
      </c>
      <c r="E828" s="294">
        <v>1000000</v>
      </c>
    </row>
    <row r="829" spans="1:5" ht="89.25" x14ac:dyDescent="0.2">
      <c r="A829" s="292" t="s">
        <v>964</v>
      </c>
      <c r="B829" s="293" t="s">
        <v>963</v>
      </c>
      <c r="C829" s="293" t="s">
        <v>1314</v>
      </c>
      <c r="D829" s="293" t="s">
        <v>1314</v>
      </c>
      <c r="E829" s="294">
        <v>30000</v>
      </c>
    </row>
    <row r="830" spans="1:5" ht="25.5" x14ac:dyDescent="0.2">
      <c r="A830" s="292" t="s">
        <v>1510</v>
      </c>
      <c r="B830" s="293" t="s">
        <v>963</v>
      </c>
      <c r="C830" s="293" t="s">
        <v>1511</v>
      </c>
      <c r="D830" s="293" t="s">
        <v>1314</v>
      </c>
      <c r="E830" s="294">
        <v>30000</v>
      </c>
    </row>
    <row r="831" spans="1:5" x14ac:dyDescent="0.2">
      <c r="A831" s="292" t="s">
        <v>1340</v>
      </c>
      <c r="B831" s="293" t="s">
        <v>963</v>
      </c>
      <c r="C831" s="293" t="s">
        <v>1341</v>
      </c>
      <c r="D831" s="293" t="s">
        <v>1314</v>
      </c>
      <c r="E831" s="294">
        <v>30000</v>
      </c>
    </row>
    <row r="832" spans="1:5" x14ac:dyDescent="0.2">
      <c r="A832" s="292" t="s">
        <v>147</v>
      </c>
      <c r="B832" s="293" t="s">
        <v>963</v>
      </c>
      <c r="C832" s="293" t="s">
        <v>1341</v>
      </c>
      <c r="D832" s="293" t="s">
        <v>1220</v>
      </c>
      <c r="E832" s="294">
        <v>30000</v>
      </c>
    </row>
    <row r="833" spans="1:5" x14ac:dyDescent="0.2">
      <c r="A833" s="292" t="s">
        <v>1145</v>
      </c>
      <c r="B833" s="293" t="s">
        <v>963</v>
      </c>
      <c r="C833" s="293" t="s">
        <v>1341</v>
      </c>
      <c r="D833" s="293" t="s">
        <v>405</v>
      </c>
      <c r="E833" s="294">
        <v>30000</v>
      </c>
    </row>
    <row r="834" spans="1:5" ht="76.5" x14ac:dyDescent="0.2">
      <c r="A834" s="292" t="s">
        <v>1362</v>
      </c>
      <c r="B834" s="293" t="s">
        <v>1363</v>
      </c>
      <c r="C834" s="293" t="s">
        <v>1314</v>
      </c>
      <c r="D834" s="293" t="s">
        <v>1314</v>
      </c>
      <c r="E834" s="294">
        <v>700000</v>
      </c>
    </row>
    <row r="835" spans="1:5" ht="25.5" x14ac:dyDescent="0.2">
      <c r="A835" s="292" t="s">
        <v>1510</v>
      </c>
      <c r="B835" s="293" t="s">
        <v>1363</v>
      </c>
      <c r="C835" s="293" t="s">
        <v>1511</v>
      </c>
      <c r="D835" s="293" t="s">
        <v>1314</v>
      </c>
      <c r="E835" s="294">
        <v>700000</v>
      </c>
    </row>
    <row r="836" spans="1:5" x14ac:dyDescent="0.2">
      <c r="A836" s="292" t="s">
        <v>1340</v>
      </c>
      <c r="B836" s="293" t="s">
        <v>1363</v>
      </c>
      <c r="C836" s="293" t="s">
        <v>1341</v>
      </c>
      <c r="D836" s="293" t="s">
        <v>1314</v>
      </c>
      <c r="E836" s="294">
        <v>700000</v>
      </c>
    </row>
    <row r="837" spans="1:5" x14ac:dyDescent="0.2">
      <c r="A837" s="292" t="s">
        <v>147</v>
      </c>
      <c r="B837" s="293" t="s">
        <v>1363</v>
      </c>
      <c r="C837" s="293" t="s">
        <v>1341</v>
      </c>
      <c r="D837" s="293" t="s">
        <v>1220</v>
      </c>
      <c r="E837" s="294">
        <v>700000</v>
      </c>
    </row>
    <row r="838" spans="1:5" x14ac:dyDescent="0.2">
      <c r="A838" s="292" t="s">
        <v>1145</v>
      </c>
      <c r="B838" s="293" t="s">
        <v>1363</v>
      </c>
      <c r="C838" s="293" t="s">
        <v>1341</v>
      </c>
      <c r="D838" s="293" t="s">
        <v>405</v>
      </c>
      <c r="E838" s="294">
        <v>700000</v>
      </c>
    </row>
    <row r="839" spans="1:5" ht="76.5" x14ac:dyDescent="0.2">
      <c r="A839" s="292" t="s">
        <v>1912</v>
      </c>
      <c r="B839" s="293" t="s">
        <v>1913</v>
      </c>
      <c r="C839" s="293" t="s">
        <v>1314</v>
      </c>
      <c r="D839" s="293" t="s">
        <v>1314</v>
      </c>
      <c r="E839" s="294">
        <v>42000</v>
      </c>
    </row>
    <row r="840" spans="1:5" ht="25.5" x14ac:dyDescent="0.2">
      <c r="A840" s="292" t="s">
        <v>1510</v>
      </c>
      <c r="B840" s="293" t="s">
        <v>1913</v>
      </c>
      <c r="C840" s="293" t="s">
        <v>1511</v>
      </c>
      <c r="D840" s="293" t="s">
        <v>1314</v>
      </c>
      <c r="E840" s="294">
        <v>42000</v>
      </c>
    </row>
    <row r="841" spans="1:5" x14ac:dyDescent="0.2">
      <c r="A841" s="292" t="s">
        <v>1340</v>
      </c>
      <c r="B841" s="293" t="s">
        <v>1913</v>
      </c>
      <c r="C841" s="293" t="s">
        <v>1341</v>
      </c>
      <c r="D841" s="293" t="s">
        <v>1314</v>
      </c>
      <c r="E841" s="294">
        <v>42000</v>
      </c>
    </row>
    <row r="842" spans="1:5" x14ac:dyDescent="0.2">
      <c r="A842" s="292" t="s">
        <v>147</v>
      </c>
      <c r="B842" s="293" t="s">
        <v>1913</v>
      </c>
      <c r="C842" s="293" t="s">
        <v>1341</v>
      </c>
      <c r="D842" s="293" t="s">
        <v>1220</v>
      </c>
      <c r="E842" s="294">
        <v>42000</v>
      </c>
    </row>
    <row r="843" spans="1:5" x14ac:dyDescent="0.2">
      <c r="A843" s="292" t="s">
        <v>1145</v>
      </c>
      <c r="B843" s="293" t="s">
        <v>1913</v>
      </c>
      <c r="C843" s="293" t="s">
        <v>1341</v>
      </c>
      <c r="D843" s="293" t="s">
        <v>405</v>
      </c>
      <c r="E843" s="294">
        <v>42000</v>
      </c>
    </row>
    <row r="844" spans="1:5" ht="63.75" x14ac:dyDescent="0.2">
      <c r="A844" s="292" t="s">
        <v>1364</v>
      </c>
      <c r="B844" s="293" t="s">
        <v>1365</v>
      </c>
      <c r="C844" s="293" t="s">
        <v>1314</v>
      </c>
      <c r="D844" s="293" t="s">
        <v>1314</v>
      </c>
      <c r="E844" s="294">
        <v>250000</v>
      </c>
    </row>
    <row r="845" spans="1:5" ht="25.5" x14ac:dyDescent="0.2">
      <c r="A845" s="292" t="s">
        <v>1510</v>
      </c>
      <c r="B845" s="293" t="s">
        <v>1365</v>
      </c>
      <c r="C845" s="293" t="s">
        <v>1511</v>
      </c>
      <c r="D845" s="293" t="s">
        <v>1314</v>
      </c>
      <c r="E845" s="294">
        <v>250000</v>
      </c>
    </row>
    <row r="846" spans="1:5" x14ac:dyDescent="0.2">
      <c r="A846" s="292" t="s">
        <v>1340</v>
      </c>
      <c r="B846" s="293" t="s">
        <v>1365</v>
      </c>
      <c r="C846" s="293" t="s">
        <v>1341</v>
      </c>
      <c r="D846" s="293" t="s">
        <v>1314</v>
      </c>
      <c r="E846" s="294">
        <v>250000</v>
      </c>
    </row>
    <row r="847" spans="1:5" x14ac:dyDescent="0.2">
      <c r="A847" s="292" t="s">
        <v>147</v>
      </c>
      <c r="B847" s="293" t="s">
        <v>1365</v>
      </c>
      <c r="C847" s="293" t="s">
        <v>1341</v>
      </c>
      <c r="D847" s="293" t="s">
        <v>1220</v>
      </c>
      <c r="E847" s="294">
        <v>250000</v>
      </c>
    </row>
    <row r="848" spans="1:5" x14ac:dyDescent="0.2">
      <c r="A848" s="292" t="s">
        <v>1145</v>
      </c>
      <c r="B848" s="293" t="s">
        <v>1365</v>
      </c>
      <c r="C848" s="293" t="s">
        <v>1341</v>
      </c>
      <c r="D848" s="293" t="s">
        <v>405</v>
      </c>
      <c r="E848" s="294">
        <v>250000</v>
      </c>
    </row>
    <row r="849" spans="1:5" ht="63.75" x14ac:dyDescent="0.2">
      <c r="A849" s="292" t="s">
        <v>410</v>
      </c>
      <c r="B849" s="293" t="s">
        <v>1539</v>
      </c>
      <c r="C849" s="293" t="s">
        <v>1314</v>
      </c>
      <c r="D849" s="293" t="s">
        <v>1314</v>
      </c>
      <c r="E849" s="294">
        <v>994500</v>
      </c>
    </row>
    <row r="850" spans="1:5" ht="25.5" x14ac:dyDescent="0.2">
      <c r="A850" s="292" t="s">
        <v>1510</v>
      </c>
      <c r="B850" s="293" t="s">
        <v>1539</v>
      </c>
      <c r="C850" s="293" t="s">
        <v>1511</v>
      </c>
      <c r="D850" s="293" t="s">
        <v>1314</v>
      </c>
      <c r="E850" s="294">
        <v>994500</v>
      </c>
    </row>
    <row r="851" spans="1:5" x14ac:dyDescent="0.2">
      <c r="A851" s="292" t="s">
        <v>1340</v>
      </c>
      <c r="B851" s="293" t="s">
        <v>1539</v>
      </c>
      <c r="C851" s="293" t="s">
        <v>1341</v>
      </c>
      <c r="D851" s="293" t="s">
        <v>1314</v>
      </c>
      <c r="E851" s="294">
        <v>994500</v>
      </c>
    </row>
    <row r="852" spans="1:5" x14ac:dyDescent="0.2">
      <c r="A852" s="292" t="s">
        <v>147</v>
      </c>
      <c r="B852" s="293" t="s">
        <v>1539</v>
      </c>
      <c r="C852" s="293" t="s">
        <v>1341</v>
      </c>
      <c r="D852" s="293" t="s">
        <v>1220</v>
      </c>
      <c r="E852" s="294">
        <v>994500</v>
      </c>
    </row>
    <row r="853" spans="1:5" x14ac:dyDescent="0.2">
      <c r="A853" s="292" t="s">
        <v>1145</v>
      </c>
      <c r="B853" s="293" t="s">
        <v>1539</v>
      </c>
      <c r="C853" s="293" t="s">
        <v>1341</v>
      </c>
      <c r="D853" s="293" t="s">
        <v>405</v>
      </c>
      <c r="E853" s="294">
        <v>994500</v>
      </c>
    </row>
    <row r="854" spans="1:5" ht="25.5" x14ac:dyDescent="0.2">
      <c r="A854" s="292" t="s">
        <v>2060</v>
      </c>
      <c r="B854" s="293" t="s">
        <v>2061</v>
      </c>
      <c r="C854" s="293" t="s">
        <v>1314</v>
      </c>
      <c r="D854" s="293" t="s">
        <v>1314</v>
      </c>
      <c r="E854" s="294">
        <v>200000</v>
      </c>
    </row>
    <row r="855" spans="1:5" ht="76.5" x14ac:dyDescent="0.2">
      <c r="A855" s="292" t="s">
        <v>2062</v>
      </c>
      <c r="B855" s="293" t="s">
        <v>2063</v>
      </c>
      <c r="C855" s="293" t="s">
        <v>1314</v>
      </c>
      <c r="D855" s="293" t="s">
        <v>1314</v>
      </c>
      <c r="E855" s="294">
        <v>150000</v>
      </c>
    </row>
    <row r="856" spans="1:5" ht="25.5" x14ac:dyDescent="0.2">
      <c r="A856" s="292" t="s">
        <v>1510</v>
      </c>
      <c r="B856" s="293" t="s">
        <v>2063</v>
      </c>
      <c r="C856" s="293" t="s">
        <v>1511</v>
      </c>
      <c r="D856" s="293" t="s">
        <v>1314</v>
      </c>
      <c r="E856" s="294">
        <v>150000</v>
      </c>
    </row>
    <row r="857" spans="1:5" x14ac:dyDescent="0.2">
      <c r="A857" s="292" t="s">
        <v>1340</v>
      </c>
      <c r="B857" s="293" t="s">
        <v>2063</v>
      </c>
      <c r="C857" s="293" t="s">
        <v>1341</v>
      </c>
      <c r="D857" s="293" t="s">
        <v>1314</v>
      </c>
      <c r="E857" s="294">
        <v>150000</v>
      </c>
    </row>
    <row r="858" spans="1:5" x14ac:dyDescent="0.2">
      <c r="A858" s="292" t="s">
        <v>147</v>
      </c>
      <c r="B858" s="293" t="s">
        <v>2063</v>
      </c>
      <c r="C858" s="293" t="s">
        <v>1341</v>
      </c>
      <c r="D858" s="293" t="s">
        <v>1220</v>
      </c>
      <c r="E858" s="294">
        <v>150000</v>
      </c>
    </row>
    <row r="859" spans="1:5" x14ac:dyDescent="0.2">
      <c r="A859" s="292" t="s">
        <v>1145</v>
      </c>
      <c r="B859" s="293" t="s">
        <v>2063</v>
      </c>
      <c r="C859" s="293" t="s">
        <v>1341</v>
      </c>
      <c r="D859" s="293" t="s">
        <v>405</v>
      </c>
      <c r="E859" s="294">
        <v>150000</v>
      </c>
    </row>
    <row r="860" spans="1:5" ht="63.75" x14ac:dyDescent="0.2">
      <c r="A860" s="292" t="s">
        <v>2064</v>
      </c>
      <c r="B860" s="293" t="s">
        <v>2065</v>
      </c>
      <c r="C860" s="293" t="s">
        <v>1314</v>
      </c>
      <c r="D860" s="293" t="s">
        <v>1314</v>
      </c>
      <c r="E860" s="294">
        <v>50000</v>
      </c>
    </row>
    <row r="861" spans="1:5" ht="25.5" x14ac:dyDescent="0.2">
      <c r="A861" s="292" t="s">
        <v>1510</v>
      </c>
      <c r="B861" s="293" t="s">
        <v>2065</v>
      </c>
      <c r="C861" s="293" t="s">
        <v>1511</v>
      </c>
      <c r="D861" s="293" t="s">
        <v>1314</v>
      </c>
      <c r="E861" s="294">
        <v>50000</v>
      </c>
    </row>
    <row r="862" spans="1:5" x14ac:dyDescent="0.2">
      <c r="A862" s="292" t="s">
        <v>1340</v>
      </c>
      <c r="B862" s="293" t="s">
        <v>2065</v>
      </c>
      <c r="C862" s="293" t="s">
        <v>1341</v>
      </c>
      <c r="D862" s="293" t="s">
        <v>1314</v>
      </c>
      <c r="E862" s="294">
        <v>50000</v>
      </c>
    </row>
    <row r="863" spans="1:5" x14ac:dyDescent="0.2">
      <c r="A863" s="292" t="s">
        <v>147</v>
      </c>
      <c r="B863" s="293" t="s">
        <v>2065</v>
      </c>
      <c r="C863" s="293" t="s">
        <v>1341</v>
      </c>
      <c r="D863" s="293" t="s">
        <v>1220</v>
      </c>
      <c r="E863" s="294">
        <v>50000</v>
      </c>
    </row>
    <row r="864" spans="1:5" x14ac:dyDescent="0.2">
      <c r="A864" s="292" t="s">
        <v>1145</v>
      </c>
      <c r="B864" s="293" t="s">
        <v>2065</v>
      </c>
      <c r="C864" s="293" t="s">
        <v>1341</v>
      </c>
      <c r="D864" s="293" t="s">
        <v>405</v>
      </c>
      <c r="E864" s="294">
        <v>50000</v>
      </c>
    </row>
    <row r="865" spans="1:5" ht="25.5" x14ac:dyDescent="0.2">
      <c r="A865" s="292" t="s">
        <v>1542</v>
      </c>
      <c r="B865" s="293" t="s">
        <v>1049</v>
      </c>
      <c r="C865" s="293" t="s">
        <v>1314</v>
      </c>
      <c r="D865" s="293" t="s">
        <v>1314</v>
      </c>
      <c r="E865" s="294">
        <v>13871072</v>
      </c>
    </row>
    <row r="866" spans="1:5" ht="25.5" x14ac:dyDescent="0.2">
      <c r="A866" s="292" t="s">
        <v>516</v>
      </c>
      <c r="B866" s="293" t="s">
        <v>1050</v>
      </c>
      <c r="C866" s="293" t="s">
        <v>1314</v>
      </c>
      <c r="D866" s="293" t="s">
        <v>1314</v>
      </c>
      <c r="E866" s="294">
        <v>13671072</v>
      </c>
    </row>
    <row r="867" spans="1:5" ht="102" x14ac:dyDescent="0.2">
      <c r="A867" s="292" t="s">
        <v>1317</v>
      </c>
      <c r="B867" s="293" t="s">
        <v>1318</v>
      </c>
      <c r="C867" s="293" t="s">
        <v>1314</v>
      </c>
      <c r="D867" s="293" t="s">
        <v>1314</v>
      </c>
      <c r="E867" s="294">
        <v>8443842</v>
      </c>
    </row>
    <row r="868" spans="1:5" ht="25.5" x14ac:dyDescent="0.2">
      <c r="A868" s="292" t="s">
        <v>1510</v>
      </c>
      <c r="B868" s="293" t="s">
        <v>1318</v>
      </c>
      <c r="C868" s="293" t="s">
        <v>1511</v>
      </c>
      <c r="D868" s="293" t="s">
        <v>1314</v>
      </c>
      <c r="E868" s="294">
        <v>8443842</v>
      </c>
    </row>
    <row r="869" spans="1:5" x14ac:dyDescent="0.2">
      <c r="A869" s="292" t="s">
        <v>1340</v>
      </c>
      <c r="B869" s="293" t="s">
        <v>1318</v>
      </c>
      <c r="C869" s="293" t="s">
        <v>1341</v>
      </c>
      <c r="D869" s="293" t="s">
        <v>1314</v>
      </c>
      <c r="E869" s="294">
        <v>8443842</v>
      </c>
    </row>
    <row r="870" spans="1:5" x14ac:dyDescent="0.2">
      <c r="A870" s="292" t="s">
        <v>265</v>
      </c>
      <c r="B870" s="293" t="s">
        <v>1318</v>
      </c>
      <c r="C870" s="293" t="s">
        <v>1341</v>
      </c>
      <c r="D870" s="293" t="s">
        <v>1222</v>
      </c>
      <c r="E870" s="294">
        <v>8443842</v>
      </c>
    </row>
    <row r="871" spans="1:5" x14ac:dyDescent="0.2">
      <c r="A871" s="292" t="s">
        <v>1384</v>
      </c>
      <c r="B871" s="293" t="s">
        <v>1318</v>
      </c>
      <c r="C871" s="293" t="s">
        <v>1341</v>
      </c>
      <c r="D871" s="293" t="s">
        <v>1385</v>
      </c>
      <c r="E871" s="294">
        <v>8443842</v>
      </c>
    </row>
    <row r="872" spans="1:5" ht="114.75" x14ac:dyDescent="0.2">
      <c r="A872" s="292" t="s">
        <v>1319</v>
      </c>
      <c r="B872" s="293" t="s">
        <v>1320</v>
      </c>
      <c r="C872" s="293" t="s">
        <v>1314</v>
      </c>
      <c r="D872" s="293" t="s">
        <v>1314</v>
      </c>
      <c r="E872" s="294">
        <v>2000000</v>
      </c>
    </row>
    <row r="873" spans="1:5" ht="25.5" x14ac:dyDescent="0.2">
      <c r="A873" s="292" t="s">
        <v>1510</v>
      </c>
      <c r="B873" s="293" t="s">
        <v>1320</v>
      </c>
      <c r="C873" s="293" t="s">
        <v>1511</v>
      </c>
      <c r="D873" s="293" t="s">
        <v>1314</v>
      </c>
      <c r="E873" s="294">
        <v>2000000</v>
      </c>
    </row>
    <row r="874" spans="1:5" x14ac:dyDescent="0.2">
      <c r="A874" s="292" t="s">
        <v>1340</v>
      </c>
      <c r="B874" s="293" t="s">
        <v>1320</v>
      </c>
      <c r="C874" s="293" t="s">
        <v>1341</v>
      </c>
      <c r="D874" s="293" t="s">
        <v>1314</v>
      </c>
      <c r="E874" s="294">
        <v>2000000</v>
      </c>
    </row>
    <row r="875" spans="1:5" x14ac:dyDescent="0.2">
      <c r="A875" s="292" t="s">
        <v>265</v>
      </c>
      <c r="B875" s="293" t="s">
        <v>1320</v>
      </c>
      <c r="C875" s="293" t="s">
        <v>1341</v>
      </c>
      <c r="D875" s="293" t="s">
        <v>1222</v>
      </c>
      <c r="E875" s="294">
        <v>2000000</v>
      </c>
    </row>
    <row r="876" spans="1:5" x14ac:dyDescent="0.2">
      <c r="A876" s="292" t="s">
        <v>1384</v>
      </c>
      <c r="B876" s="293" t="s">
        <v>1320</v>
      </c>
      <c r="C876" s="293" t="s">
        <v>1341</v>
      </c>
      <c r="D876" s="293" t="s">
        <v>1385</v>
      </c>
      <c r="E876" s="294">
        <v>2000000</v>
      </c>
    </row>
    <row r="877" spans="1:5" ht="89.25" x14ac:dyDescent="0.2">
      <c r="A877" s="292" t="s">
        <v>1321</v>
      </c>
      <c r="B877" s="293" t="s">
        <v>1322</v>
      </c>
      <c r="C877" s="293" t="s">
        <v>1314</v>
      </c>
      <c r="D877" s="293" t="s">
        <v>1314</v>
      </c>
      <c r="E877" s="294">
        <v>50000</v>
      </c>
    </row>
    <row r="878" spans="1:5" ht="25.5" x14ac:dyDescent="0.2">
      <c r="A878" s="292" t="s">
        <v>1510</v>
      </c>
      <c r="B878" s="293" t="s">
        <v>1322</v>
      </c>
      <c r="C878" s="293" t="s">
        <v>1511</v>
      </c>
      <c r="D878" s="293" t="s">
        <v>1314</v>
      </c>
      <c r="E878" s="294">
        <v>50000</v>
      </c>
    </row>
    <row r="879" spans="1:5" x14ac:dyDescent="0.2">
      <c r="A879" s="292" t="s">
        <v>1340</v>
      </c>
      <c r="B879" s="293" t="s">
        <v>1322</v>
      </c>
      <c r="C879" s="293" t="s">
        <v>1341</v>
      </c>
      <c r="D879" s="293" t="s">
        <v>1314</v>
      </c>
      <c r="E879" s="294">
        <v>50000</v>
      </c>
    </row>
    <row r="880" spans="1:5" x14ac:dyDescent="0.2">
      <c r="A880" s="292" t="s">
        <v>265</v>
      </c>
      <c r="B880" s="293" t="s">
        <v>1322</v>
      </c>
      <c r="C880" s="293" t="s">
        <v>1341</v>
      </c>
      <c r="D880" s="293" t="s">
        <v>1222</v>
      </c>
      <c r="E880" s="294">
        <v>50000</v>
      </c>
    </row>
    <row r="881" spans="1:5" x14ac:dyDescent="0.2">
      <c r="A881" s="292" t="s">
        <v>1384</v>
      </c>
      <c r="B881" s="293" t="s">
        <v>1322</v>
      </c>
      <c r="C881" s="293" t="s">
        <v>1341</v>
      </c>
      <c r="D881" s="293" t="s">
        <v>1385</v>
      </c>
      <c r="E881" s="294">
        <v>50000</v>
      </c>
    </row>
    <row r="882" spans="1:5" ht="89.25" x14ac:dyDescent="0.2">
      <c r="A882" s="292" t="s">
        <v>1323</v>
      </c>
      <c r="B882" s="293" t="s">
        <v>1324</v>
      </c>
      <c r="C882" s="293" t="s">
        <v>1314</v>
      </c>
      <c r="D882" s="293" t="s">
        <v>1314</v>
      </c>
      <c r="E882" s="294">
        <v>1000000</v>
      </c>
    </row>
    <row r="883" spans="1:5" ht="25.5" x14ac:dyDescent="0.2">
      <c r="A883" s="292" t="s">
        <v>1510</v>
      </c>
      <c r="B883" s="293" t="s">
        <v>1324</v>
      </c>
      <c r="C883" s="293" t="s">
        <v>1511</v>
      </c>
      <c r="D883" s="293" t="s">
        <v>1314</v>
      </c>
      <c r="E883" s="294">
        <v>1000000</v>
      </c>
    </row>
    <row r="884" spans="1:5" x14ac:dyDescent="0.2">
      <c r="A884" s="292" t="s">
        <v>1340</v>
      </c>
      <c r="B884" s="293" t="s">
        <v>1324</v>
      </c>
      <c r="C884" s="293" t="s">
        <v>1341</v>
      </c>
      <c r="D884" s="293" t="s">
        <v>1314</v>
      </c>
      <c r="E884" s="294">
        <v>1000000</v>
      </c>
    </row>
    <row r="885" spans="1:5" x14ac:dyDescent="0.2">
      <c r="A885" s="292" t="s">
        <v>265</v>
      </c>
      <c r="B885" s="293" t="s">
        <v>1324</v>
      </c>
      <c r="C885" s="293" t="s">
        <v>1341</v>
      </c>
      <c r="D885" s="293" t="s">
        <v>1222</v>
      </c>
      <c r="E885" s="294">
        <v>1000000</v>
      </c>
    </row>
    <row r="886" spans="1:5" x14ac:dyDescent="0.2">
      <c r="A886" s="292" t="s">
        <v>1384</v>
      </c>
      <c r="B886" s="293" t="s">
        <v>1324</v>
      </c>
      <c r="C886" s="293" t="s">
        <v>1341</v>
      </c>
      <c r="D886" s="293" t="s">
        <v>1385</v>
      </c>
      <c r="E886" s="294">
        <v>1000000</v>
      </c>
    </row>
    <row r="887" spans="1:5" ht="102" x14ac:dyDescent="0.2">
      <c r="A887" s="292" t="s">
        <v>1922</v>
      </c>
      <c r="B887" s="293" t="s">
        <v>1923</v>
      </c>
      <c r="C887" s="293" t="s">
        <v>1314</v>
      </c>
      <c r="D887" s="293" t="s">
        <v>1314</v>
      </c>
      <c r="E887" s="294">
        <v>30000</v>
      </c>
    </row>
    <row r="888" spans="1:5" ht="25.5" x14ac:dyDescent="0.2">
      <c r="A888" s="292" t="s">
        <v>1510</v>
      </c>
      <c r="B888" s="293" t="s">
        <v>1923</v>
      </c>
      <c r="C888" s="293" t="s">
        <v>1511</v>
      </c>
      <c r="D888" s="293" t="s">
        <v>1314</v>
      </c>
      <c r="E888" s="294">
        <v>30000</v>
      </c>
    </row>
    <row r="889" spans="1:5" x14ac:dyDescent="0.2">
      <c r="A889" s="292" t="s">
        <v>1340</v>
      </c>
      <c r="B889" s="293" t="s">
        <v>1923</v>
      </c>
      <c r="C889" s="293" t="s">
        <v>1341</v>
      </c>
      <c r="D889" s="293" t="s">
        <v>1314</v>
      </c>
      <c r="E889" s="294">
        <v>30000</v>
      </c>
    </row>
    <row r="890" spans="1:5" x14ac:dyDescent="0.2">
      <c r="A890" s="292" t="s">
        <v>265</v>
      </c>
      <c r="B890" s="293" t="s">
        <v>1923</v>
      </c>
      <c r="C890" s="293" t="s">
        <v>1341</v>
      </c>
      <c r="D890" s="293" t="s">
        <v>1222</v>
      </c>
      <c r="E890" s="294">
        <v>30000</v>
      </c>
    </row>
    <row r="891" spans="1:5" x14ac:dyDescent="0.2">
      <c r="A891" s="292" t="s">
        <v>1384</v>
      </c>
      <c r="B891" s="293" t="s">
        <v>1923</v>
      </c>
      <c r="C891" s="293" t="s">
        <v>1341</v>
      </c>
      <c r="D891" s="293" t="s">
        <v>1385</v>
      </c>
      <c r="E891" s="294">
        <v>30000</v>
      </c>
    </row>
    <row r="892" spans="1:5" ht="89.25" x14ac:dyDescent="0.2">
      <c r="A892" s="292" t="s">
        <v>1325</v>
      </c>
      <c r="B892" s="293" t="s">
        <v>1326</v>
      </c>
      <c r="C892" s="293" t="s">
        <v>1314</v>
      </c>
      <c r="D892" s="293" t="s">
        <v>1314</v>
      </c>
      <c r="E892" s="294">
        <v>500000</v>
      </c>
    </row>
    <row r="893" spans="1:5" ht="25.5" x14ac:dyDescent="0.2">
      <c r="A893" s="292" t="s">
        <v>1510</v>
      </c>
      <c r="B893" s="293" t="s">
        <v>1326</v>
      </c>
      <c r="C893" s="293" t="s">
        <v>1511</v>
      </c>
      <c r="D893" s="293" t="s">
        <v>1314</v>
      </c>
      <c r="E893" s="294">
        <v>500000</v>
      </c>
    </row>
    <row r="894" spans="1:5" x14ac:dyDescent="0.2">
      <c r="A894" s="292" t="s">
        <v>1340</v>
      </c>
      <c r="B894" s="293" t="s">
        <v>1326</v>
      </c>
      <c r="C894" s="293" t="s">
        <v>1341</v>
      </c>
      <c r="D894" s="293" t="s">
        <v>1314</v>
      </c>
      <c r="E894" s="294">
        <v>500000</v>
      </c>
    </row>
    <row r="895" spans="1:5" x14ac:dyDescent="0.2">
      <c r="A895" s="292" t="s">
        <v>265</v>
      </c>
      <c r="B895" s="293" t="s">
        <v>1326</v>
      </c>
      <c r="C895" s="293" t="s">
        <v>1341</v>
      </c>
      <c r="D895" s="293" t="s">
        <v>1222</v>
      </c>
      <c r="E895" s="294">
        <v>500000</v>
      </c>
    </row>
    <row r="896" spans="1:5" x14ac:dyDescent="0.2">
      <c r="A896" s="292" t="s">
        <v>1384</v>
      </c>
      <c r="B896" s="293" t="s">
        <v>1326</v>
      </c>
      <c r="C896" s="293" t="s">
        <v>1341</v>
      </c>
      <c r="D896" s="293" t="s">
        <v>1385</v>
      </c>
      <c r="E896" s="294">
        <v>500000</v>
      </c>
    </row>
    <row r="897" spans="1:5" ht="63.75" x14ac:dyDescent="0.2">
      <c r="A897" s="292" t="s">
        <v>423</v>
      </c>
      <c r="B897" s="293" t="s">
        <v>746</v>
      </c>
      <c r="C897" s="293" t="s">
        <v>1314</v>
      </c>
      <c r="D897" s="293" t="s">
        <v>1314</v>
      </c>
      <c r="E897" s="294">
        <v>747230</v>
      </c>
    </row>
    <row r="898" spans="1:5" ht="25.5" x14ac:dyDescent="0.2">
      <c r="A898" s="292" t="s">
        <v>1510</v>
      </c>
      <c r="B898" s="293" t="s">
        <v>746</v>
      </c>
      <c r="C898" s="293" t="s">
        <v>1511</v>
      </c>
      <c r="D898" s="293" t="s">
        <v>1314</v>
      </c>
      <c r="E898" s="294">
        <v>747230</v>
      </c>
    </row>
    <row r="899" spans="1:5" x14ac:dyDescent="0.2">
      <c r="A899" s="292" t="s">
        <v>1340</v>
      </c>
      <c r="B899" s="293" t="s">
        <v>746</v>
      </c>
      <c r="C899" s="293" t="s">
        <v>1341</v>
      </c>
      <c r="D899" s="293" t="s">
        <v>1314</v>
      </c>
      <c r="E899" s="294">
        <v>747230</v>
      </c>
    </row>
    <row r="900" spans="1:5" x14ac:dyDescent="0.2">
      <c r="A900" s="292" t="s">
        <v>265</v>
      </c>
      <c r="B900" s="293" t="s">
        <v>746</v>
      </c>
      <c r="C900" s="293" t="s">
        <v>1341</v>
      </c>
      <c r="D900" s="293" t="s">
        <v>1222</v>
      </c>
      <c r="E900" s="294">
        <v>747230</v>
      </c>
    </row>
    <row r="901" spans="1:5" x14ac:dyDescent="0.2">
      <c r="A901" s="292" t="s">
        <v>226</v>
      </c>
      <c r="B901" s="293" t="s">
        <v>746</v>
      </c>
      <c r="C901" s="293" t="s">
        <v>1341</v>
      </c>
      <c r="D901" s="293" t="s">
        <v>421</v>
      </c>
      <c r="E901" s="294">
        <v>747230</v>
      </c>
    </row>
    <row r="902" spans="1:5" ht="63.75" x14ac:dyDescent="0.2">
      <c r="A902" s="292" t="s">
        <v>1327</v>
      </c>
      <c r="B902" s="293" t="s">
        <v>1328</v>
      </c>
      <c r="C902" s="293" t="s">
        <v>1314</v>
      </c>
      <c r="D902" s="293" t="s">
        <v>1314</v>
      </c>
      <c r="E902" s="294">
        <v>900000</v>
      </c>
    </row>
    <row r="903" spans="1:5" ht="25.5" x14ac:dyDescent="0.2">
      <c r="A903" s="292" t="s">
        <v>1510</v>
      </c>
      <c r="B903" s="293" t="s">
        <v>1328</v>
      </c>
      <c r="C903" s="293" t="s">
        <v>1511</v>
      </c>
      <c r="D903" s="293" t="s">
        <v>1314</v>
      </c>
      <c r="E903" s="294">
        <v>900000</v>
      </c>
    </row>
    <row r="904" spans="1:5" x14ac:dyDescent="0.2">
      <c r="A904" s="292" t="s">
        <v>1340</v>
      </c>
      <c r="B904" s="293" t="s">
        <v>1328</v>
      </c>
      <c r="C904" s="293" t="s">
        <v>1341</v>
      </c>
      <c r="D904" s="293" t="s">
        <v>1314</v>
      </c>
      <c r="E904" s="294">
        <v>900000</v>
      </c>
    </row>
    <row r="905" spans="1:5" x14ac:dyDescent="0.2">
      <c r="A905" s="292" t="s">
        <v>265</v>
      </c>
      <c r="B905" s="293" t="s">
        <v>1328</v>
      </c>
      <c r="C905" s="293" t="s">
        <v>1341</v>
      </c>
      <c r="D905" s="293" t="s">
        <v>1222</v>
      </c>
      <c r="E905" s="294">
        <v>900000</v>
      </c>
    </row>
    <row r="906" spans="1:5" x14ac:dyDescent="0.2">
      <c r="A906" s="292" t="s">
        <v>1384</v>
      </c>
      <c r="B906" s="293" t="s">
        <v>1328</v>
      </c>
      <c r="C906" s="293" t="s">
        <v>1341</v>
      </c>
      <c r="D906" s="293" t="s">
        <v>1385</v>
      </c>
      <c r="E906" s="294">
        <v>900000</v>
      </c>
    </row>
    <row r="907" spans="1:5" ht="25.5" x14ac:dyDescent="0.2">
      <c r="A907" s="292" t="s">
        <v>518</v>
      </c>
      <c r="B907" s="293" t="s">
        <v>1051</v>
      </c>
      <c r="C907" s="293" t="s">
        <v>1314</v>
      </c>
      <c r="D907" s="293" t="s">
        <v>1314</v>
      </c>
      <c r="E907" s="294">
        <v>200000</v>
      </c>
    </row>
    <row r="908" spans="1:5" ht="76.5" x14ac:dyDescent="0.2">
      <c r="A908" s="292" t="s">
        <v>546</v>
      </c>
      <c r="B908" s="293" t="s">
        <v>747</v>
      </c>
      <c r="C908" s="293" t="s">
        <v>1314</v>
      </c>
      <c r="D908" s="293" t="s">
        <v>1314</v>
      </c>
      <c r="E908" s="294">
        <v>16900</v>
      </c>
    </row>
    <row r="909" spans="1:5" ht="25.5" x14ac:dyDescent="0.2">
      <c r="A909" s="292" t="s">
        <v>1510</v>
      </c>
      <c r="B909" s="293" t="s">
        <v>747</v>
      </c>
      <c r="C909" s="293" t="s">
        <v>1511</v>
      </c>
      <c r="D909" s="293" t="s">
        <v>1314</v>
      </c>
      <c r="E909" s="294">
        <v>16900</v>
      </c>
    </row>
    <row r="910" spans="1:5" x14ac:dyDescent="0.2">
      <c r="A910" s="292" t="s">
        <v>1340</v>
      </c>
      <c r="B910" s="293" t="s">
        <v>747</v>
      </c>
      <c r="C910" s="293" t="s">
        <v>1341</v>
      </c>
      <c r="D910" s="293" t="s">
        <v>1314</v>
      </c>
      <c r="E910" s="294">
        <v>16900</v>
      </c>
    </row>
    <row r="911" spans="1:5" x14ac:dyDescent="0.2">
      <c r="A911" s="292" t="s">
        <v>265</v>
      </c>
      <c r="B911" s="293" t="s">
        <v>747</v>
      </c>
      <c r="C911" s="293" t="s">
        <v>1341</v>
      </c>
      <c r="D911" s="293" t="s">
        <v>1222</v>
      </c>
      <c r="E911" s="294">
        <v>16900</v>
      </c>
    </row>
    <row r="912" spans="1:5" x14ac:dyDescent="0.2">
      <c r="A912" s="292" t="s">
        <v>226</v>
      </c>
      <c r="B912" s="293" t="s">
        <v>747</v>
      </c>
      <c r="C912" s="293" t="s">
        <v>1341</v>
      </c>
      <c r="D912" s="293" t="s">
        <v>421</v>
      </c>
      <c r="E912" s="294">
        <v>16900</v>
      </c>
    </row>
    <row r="913" spans="1:5" ht="63.75" x14ac:dyDescent="0.2">
      <c r="A913" s="292" t="s">
        <v>424</v>
      </c>
      <c r="B913" s="293" t="s">
        <v>748</v>
      </c>
      <c r="C913" s="293" t="s">
        <v>1314</v>
      </c>
      <c r="D913" s="293" t="s">
        <v>1314</v>
      </c>
      <c r="E913" s="294">
        <v>176400</v>
      </c>
    </row>
    <row r="914" spans="1:5" ht="25.5" x14ac:dyDescent="0.2">
      <c r="A914" s="292" t="s">
        <v>1510</v>
      </c>
      <c r="B914" s="293" t="s">
        <v>748</v>
      </c>
      <c r="C914" s="293" t="s">
        <v>1511</v>
      </c>
      <c r="D914" s="293" t="s">
        <v>1314</v>
      </c>
      <c r="E914" s="294">
        <v>176400</v>
      </c>
    </row>
    <row r="915" spans="1:5" x14ac:dyDescent="0.2">
      <c r="A915" s="292" t="s">
        <v>1340</v>
      </c>
      <c r="B915" s="293" t="s">
        <v>748</v>
      </c>
      <c r="C915" s="293" t="s">
        <v>1341</v>
      </c>
      <c r="D915" s="293" t="s">
        <v>1314</v>
      </c>
      <c r="E915" s="294">
        <v>176400</v>
      </c>
    </row>
    <row r="916" spans="1:5" x14ac:dyDescent="0.2">
      <c r="A916" s="292" t="s">
        <v>265</v>
      </c>
      <c r="B916" s="293" t="s">
        <v>748</v>
      </c>
      <c r="C916" s="293" t="s">
        <v>1341</v>
      </c>
      <c r="D916" s="293" t="s">
        <v>1222</v>
      </c>
      <c r="E916" s="294">
        <v>176400</v>
      </c>
    </row>
    <row r="917" spans="1:5" x14ac:dyDescent="0.2">
      <c r="A917" s="292" t="s">
        <v>226</v>
      </c>
      <c r="B917" s="293" t="s">
        <v>748</v>
      </c>
      <c r="C917" s="293" t="s">
        <v>1341</v>
      </c>
      <c r="D917" s="293" t="s">
        <v>421</v>
      </c>
      <c r="E917" s="294">
        <v>176400</v>
      </c>
    </row>
    <row r="918" spans="1:5" ht="89.25" x14ac:dyDescent="0.2">
      <c r="A918" s="292" t="s">
        <v>425</v>
      </c>
      <c r="B918" s="293" t="s">
        <v>749</v>
      </c>
      <c r="C918" s="293" t="s">
        <v>1314</v>
      </c>
      <c r="D918" s="293" t="s">
        <v>1314</v>
      </c>
      <c r="E918" s="294">
        <v>6700</v>
      </c>
    </row>
    <row r="919" spans="1:5" ht="25.5" x14ac:dyDescent="0.2">
      <c r="A919" s="292" t="s">
        <v>1510</v>
      </c>
      <c r="B919" s="293" t="s">
        <v>749</v>
      </c>
      <c r="C919" s="293" t="s">
        <v>1511</v>
      </c>
      <c r="D919" s="293" t="s">
        <v>1314</v>
      </c>
      <c r="E919" s="294">
        <v>6700</v>
      </c>
    </row>
    <row r="920" spans="1:5" x14ac:dyDescent="0.2">
      <c r="A920" s="292" t="s">
        <v>1340</v>
      </c>
      <c r="B920" s="293" t="s">
        <v>749</v>
      </c>
      <c r="C920" s="293" t="s">
        <v>1341</v>
      </c>
      <c r="D920" s="293" t="s">
        <v>1314</v>
      </c>
      <c r="E920" s="294">
        <v>6700</v>
      </c>
    </row>
    <row r="921" spans="1:5" x14ac:dyDescent="0.2">
      <c r="A921" s="292" t="s">
        <v>265</v>
      </c>
      <c r="B921" s="293" t="s">
        <v>749</v>
      </c>
      <c r="C921" s="293" t="s">
        <v>1341</v>
      </c>
      <c r="D921" s="293" t="s">
        <v>1222</v>
      </c>
      <c r="E921" s="294">
        <v>6700</v>
      </c>
    </row>
    <row r="922" spans="1:5" x14ac:dyDescent="0.2">
      <c r="A922" s="292" t="s">
        <v>226</v>
      </c>
      <c r="B922" s="293" t="s">
        <v>749</v>
      </c>
      <c r="C922" s="293" t="s">
        <v>1341</v>
      </c>
      <c r="D922" s="293" t="s">
        <v>421</v>
      </c>
      <c r="E922" s="294">
        <v>6700</v>
      </c>
    </row>
    <row r="923" spans="1:5" ht="38.25" x14ac:dyDescent="0.2">
      <c r="A923" s="292" t="s">
        <v>1406</v>
      </c>
      <c r="B923" s="293" t="s">
        <v>1052</v>
      </c>
      <c r="C923" s="293" t="s">
        <v>1314</v>
      </c>
      <c r="D923" s="293" t="s">
        <v>1314</v>
      </c>
      <c r="E923" s="294">
        <v>763000</v>
      </c>
    </row>
    <row r="924" spans="1:5" ht="25.5" x14ac:dyDescent="0.2">
      <c r="A924" s="292" t="s">
        <v>521</v>
      </c>
      <c r="B924" s="293" t="s">
        <v>1053</v>
      </c>
      <c r="C924" s="293" t="s">
        <v>1314</v>
      </c>
      <c r="D924" s="293" t="s">
        <v>1314</v>
      </c>
      <c r="E924" s="294">
        <v>760000</v>
      </c>
    </row>
    <row r="925" spans="1:5" ht="89.25" x14ac:dyDescent="0.2">
      <c r="A925" s="292" t="s">
        <v>1492</v>
      </c>
      <c r="B925" s="293" t="s">
        <v>729</v>
      </c>
      <c r="C925" s="293" t="s">
        <v>1314</v>
      </c>
      <c r="D925" s="293" t="s">
        <v>1314</v>
      </c>
      <c r="E925" s="294">
        <v>10000</v>
      </c>
    </row>
    <row r="926" spans="1:5" ht="25.5" x14ac:dyDescent="0.2">
      <c r="A926" s="292" t="s">
        <v>1502</v>
      </c>
      <c r="B926" s="293" t="s">
        <v>729</v>
      </c>
      <c r="C926" s="293" t="s">
        <v>1503</v>
      </c>
      <c r="D926" s="293" t="s">
        <v>1314</v>
      </c>
      <c r="E926" s="294">
        <v>10000</v>
      </c>
    </row>
    <row r="927" spans="1:5" ht="25.5" x14ac:dyDescent="0.2">
      <c r="A927" s="292" t="s">
        <v>1338</v>
      </c>
      <c r="B927" s="293" t="s">
        <v>729</v>
      </c>
      <c r="C927" s="293" t="s">
        <v>1339</v>
      </c>
      <c r="D927" s="293" t="s">
        <v>1314</v>
      </c>
      <c r="E927" s="294">
        <v>10000</v>
      </c>
    </row>
    <row r="928" spans="1:5" x14ac:dyDescent="0.2">
      <c r="A928" s="292" t="s">
        <v>190</v>
      </c>
      <c r="B928" s="293" t="s">
        <v>729</v>
      </c>
      <c r="C928" s="293" t="s">
        <v>1339</v>
      </c>
      <c r="D928" s="293" t="s">
        <v>1218</v>
      </c>
      <c r="E928" s="294">
        <v>10000</v>
      </c>
    </row>
    <row r="929" spans="1:5" x14ac:dyDescent="0.2">
      <c r="A929" s="292" t="s">
        <v>152</v>
      </c>
      <c r="B929" s="293" t="s">
        <v>729</v>
      </c>
      <c r="C929" s="293" t="s">
        <v>1339</v>
      </c>
      <c r="D929" s="293" t="s">
        <v>400</v>
      </c>
      <c r="E929" s="294">
        <v>10000</v>
      </c>
    </row>
    <row r="930" spans="1:5" ht="102" x14ac:dyDescent="0.2">
      <c r="A930" s="292" t="s">
        <v>1746</v>
      </c>
      <c r="B930" s="293" t="s">
        <v>1531</v>
      </c>
      <c r="C930" s="293" t="s">
        <v>1314</v>
      </c>
      <c r="D930" s="293" t="s">
        <v>1314</v>
      </c>
      <c r="E930" s="294">
        <v>750000</v>
      </c>
    </row>
    <row r="931" spans="1:5" x14ac:dyDescent="0.2">
      <c r="A931" s="292" t="s">
        <v>1504</v>
      </c>
      <c r="B931" s="293" t="s">
        <v>1531</v>
      </c>
      <c r="C931" s="293" t="s">
        <v>1505</v>
      </c>
      <c r="D931" s="293" t="s">
        <v>1314</v>
      </c>
      <c r="E931" s="294">
        <v>750000</v>
      </c>
    </row>
    <row r="932" spans="1:5" ht="38.25" x14ac:dyDescent="0.2">
      <c r="A932" s="292" t="s">
        <v>1348</v>
      </c>
      <c r="B932" s="293" t="s">
        <v>1531</v>
      </c>
      <c r="C932" s="293" t="s">
        <v>394</v>
      </c>
      <c r="D932" s="293" t="s">
        <v>1314</v>
      </c>
      <c r="E932" s="294">
        <v>750000</v>
      </c>
    </row>
    <row r="933" spans="1:5" x14ac:dyDescent="0.2">
      <c r="A933" s="292" t="s">
        <v>190</v>
      </c>
      <c r="B933" s="293" t="s">
        <v>1531</v>
      </c>
      <c r="C933" s="293" t="s">
        <v>394</v>
      </c>
      <c r="D933" s="293" t="s">
        <v>1218</v>
      </c>
      <c r="E933" s="294">
        <v>750000</v>
      </c>
    </row>
    <row r="934" spans="1:5" x14ac:dyDescent="0.2">
      <c r="A934" s="292" t="s">
        <v>152</v>
      </c>
      <c r="B934" s="293" t="s">
        <v>1531</v>
      </c>
      <c r="C934" s="293" t="s">
        <v>394</v>
      </c>
      <c r="D934" s="293" t="s">
        <v>400</v>
      </c>
      <c r="E934" s="294">
        <v>750000</v>
      </c>
    </row>
    <row r="935" spans="1:5" ht="25.5" x14ac:dyDescent="0.2">
      <c r="A935" s="292" t="s">
        <v>488</v>
      </c>
      <c r="B935" s="293" t="s">
        <v>1493</v>
      </c>
      <c r="C935" s="293" t="s">
        <v>1314</v>
      </c>
      <c r="D935" s="293" t="s">
        <v>1314</v>
      </c>
      <c r="E935" s="294">
        <v>3000</v>
      </c>
    </row>
    <row r="936" spans="1:5" ht="89.25" x14ac:dyDescent="0.2">
      <c r="A936" s="292" t="s">
        <v>1494</v>
      </c>
      <c r="B936" s="293" t="s">
        <v>1495</v>
      </c>
      <c r="C936" s="293" t="s">
        <v>1314</v>
      </c>
      <c r="D936" s="293" t="s">
        <v>1314</v>
      </c>
      <c r="E936" s="294">
        <v>3000</v>
      </c>
    </row>
    <row r="937" spans="1:5" ht="25.5" x14ac:dyDescent="0.2">
      <c r="A937" s="292" t="s">
        <v>1502</v>
      </c>
      <c r="B937" s="293" t="s">
        <v>1495</v>
      </c>
      <c r="C937" s="293" t="s">
        <v>1503</v>
      </c>
      <c r="D937" s="293" t="s">
        <v>1314</v>
      </c>
      <c r="E937" s="294">
        <v>3000</v>
      </c>
    </row>
    <row r="938" spans="1:5" ht="25.5" x14ac:dyDescent="0.2">
      <c r="A938" s="292" t="s">
        <v>1338</v>
      </c>
      <c r="B938" s="293" t="s">
        <v>1495</v>
      </c>
      <c r="C938" s="293" t="s">
        <v>1339</v>
      </c>
      <c r="D938" s="293" t="s">
        <v>1314</v>
      </c>
      <c r="E938" s="294">
        <v>3000</v>
      </c>
    </row>
    <row r="939" spans="1:5" x14ac:dyDescent="0.2">
      <c r="A939" s="292" t="s">
        <v>190</v>
      </c>
      <c r="B939" s="293" t="s">
        <v>1495</v>
      </c>
      <c r="C939" s="293" t="s">
        <v>1339</v>
      </c>
      <c r="D939" s="293" t="s">
        <v>1218</v>
      </c>
      <c r="E939" s="294">
        <v>3000</v>
      </c>
    </row>
    <row r="940" spans="1:5" x14ac:dyDescent="0.2">
      <c r="A940" s="292" t="s">
        <v>152</v>
      </c>
      <c r="B940" s="293" t="s">
        <v>1495</v>
      </c>
      <c r="C940" s="293" t="s">
        <v>1339</v>
      </c>
      <c r="D940" s="293" t="s">
        <v>400</v>
      </c>
      <c r="E940" s="294">
        <v>3000</v>
      </c>
    </row>
    <row r="941" spans="1:5" ht="25.5" x14ac:dyDescent="0.2">
      <c r="A941" s="292" t="s">
        <v>524</v>
      </c>
      <c r="B941" s="293" t="s">
        <v>1054</v>
      </c>
      <c r="C941" s="293" t="s">
        <v>1314</v>
      </c>
      <c r="D941" s="293" t="s">
        <v>1314</v>
      </c>
      <c r="E941" s="294">
        <v>99289200</v>
      </c>
    </row>
    <row r="942" spans="1:5" x14ac:dyDescent="0.2">
      <c r="A942" s="292" t="s">
        <v>525</v>
      </c>
      <c r="B942" s="293" t="s">
        <v>1055</v>
      </c>
      <c r="C942" s="293" t="s">
        <v>1314</v>
      </c>
      <c r="D942" s="293" t="s">
        <v>1314</v>
      </c>
      <c r="E942" s="294">
        <v>34808100</v>
      </c>
    </row>
    <row r="943" spans="1:5" ht="38.25" x14ac:dyDescent="0.2">
      <c r="A943" s="292" t="s">
        <v>399</v>
      </c>
      <c r="B943" s="293" t="s">
        <v>728</v>
      </c>
      <c r="C943" s="293" t="s">
        <v>1314</v>
      </c>
      <c r="D943" s="293" t="s">
        <v>1314</v>
      </c>
      <c r="E943" s="294">
        <v>37400</v>
      </c>
    </row>
    <row r="944" spans="1:5" ht="25.5" x14ac:dyDescent="0.2">
      <c r="A944" s="292" t="s">
        <v>1502</v>
      </c>
      <c r="B944" s="293" t="s">
        <v>728</v>
      </c>
      <c r="C944" s="293" t="s">
        <v>1503</v>
      </c>
      <c r="D944" s="293" t="s">
        <v>1314</v>
      </c>
      <c r="E944" s="294">
        <v>37400</v>
      </c>
    </row>
    <row r="945" spans="1:5" ht="25.5" x14ac:dyDescent="0.2">
      <c r="A945" s="292" t="s">
        <v>1338</v>
      </c>
      <c r="B945" s="293" t="s">
        <v>728</v>
      </c>
      <c r="C945" s="293" t="s">
        <v>1339</v>
      </c>
      <c r="D945" s="293" t="s">
        <v>1314</v>
      </c>
      <c r="E945" s="294">
        <v>37400</v>
      </c>
    </row>
    <row r="946" spans="1:5" x14ac:dyDescent="0.2">
      <c r="A946" s="292" t="s">
        <v>190</v>
      </c>
      <c r="B946" s="293" t="s">
        <v>728</v>
      </c>
      <c r="C946" s="293" t="s">
        <v>1339</v>
      </c>
      <c r="D946" s="293" t="s">
        <v>1218</v>
      </c>
      <c r="E946" s="294">
        <v>37400</v>
      </c>
    </row>
    <row r="947" spans="1:5" x14ac:dyDescent="0.2">
      <c r="A947" s="292" t="s">
        <v>269</v>
      </c>
      <c r="B947" s="293" t="s">
        <v>728</v>
      </c>
      <c r="C947" s="293" t="s">
        <v>1339</v>
      </c>
      <c r="D947" s="293" t="s">
        <v>398</v>
      </c>
      <c r="E947" s="294">
        <v>37400</v>
      </c>
    </row>
    <row r="948" spans="1:5" ht="63.75" x14ac:dyDescent="0.2">
      <c r="A948" s="292" t="s">
        <v>1697</v>
      </c>
      <c r="B948" s="293" t="s">
        <v>1383</v>
      </c>
      <c r="C948" s="293" t="s">
        <v>1314</v>
      </c>
      <c r="D948" s="293" t="s">
        <v>1314</v>
      </c>
      <c r="E948" s="294">
        <v>8450180</v>
      </c>
    </row>
    <row r="949" spans="1:5" x14ac:dyDescent="0.2">
      <c r="A949" s="292" t="s">
        <v>1512</v>
      </c>
      <c r="B949" s="293" t="s">
        <v>1383</v>
      </c>
      <c r="C949" s="293" t="s">
        <v>1513</v>
      </c>
      <c r="D949" s="293" t="s">
        <v>1314</v>
      </c>
      <c r="E949" s="294">
        <v>8450180</v>
      </c>
    </row>
    <row r="950" spans="1:5" x14ac:dyDescent="0.2">
      <c r="A950" s="292" t="s">
        <v>1567</v>
      </c>
      <c r="B950" s="293" t="s">
        <v>1383</v>
      </c>
      <c r="C950" s="293" t="s">
        <v>1568</v>
      </c>
      <c r="D950" s="293" t="s">
        <v>1314</v>
      </c>
      <c r="E950" s="294">
        <v>8450180</v>
      </c>
    </row>
    <row r="951" spans="1:5" x14ac:dyDescent="0.2">
      <c r="A951" s="292" t="s">
        <v>190</v>
      </c>
      <c r="B951" s="293" t="s">
        <v>1383</v>
      </c>
      <c r="C951" s="293" t="s">
        <v>1568</v>
      </c>
      <c r="D951" s="293" t="s">
        <v>1218</v>
      </c>
      <c r="E951" s="294">
        <v>8450180</v>
      </c>
    </row>
    <row r="952" spans="1:5" x14ac:dyDescent="0.2">
      <c r="A952" s="292" t="s">
        <v>269</v>
      </c>
      <c r="B952" s="293" t="s">
        <v>1383</v>
      </c>
      <c r="C952" s="293" t="s">
        <v>1568</v>
      </c>
      <c r="D952" s="293" t="s">
        <v>398</v>
      </c>
      <c r="E952" s="294">
        <v>8450180</v>
      </c>
    </row>
    <row r="953" spans="1:5" ht="51" x14ac:dyDescent="0.2">
      <c r="A953" s="292" t="s">
        <v>1679</v>
      </c>
      <c r="B953" s="293" t="s">
        <v>1680</v>
      </c>
      <c r="C953" s="293" t="s">
        <v>1314</v>
      </c>
      <c r="D953" s="293" t="s">
        <v>1314</v>
      </c>
      <c r="E953" s="294">
        <v>113020</v>
      </c>
    </row>
    <row r="954" spans="1:5" ht="25.5" x14ac:dyDescent="0.2">
      <c r="A954" s="292" t="s">
        <v>1502</v>
      </c>
      <c r="B954" s="293" t="s">
        <v>1680</v>
      </c>
      <c r="C954" s="293" t="s">
        <v>1503</v>
      </c>
      <c r="D954" s="293" t="s">
        <v>1314</v>
      </c>
      <c r="E954" s="294">
        <v>113020</v>
      </c>
    </row>
    <row r="955" spans="1:5" ht="25.5" x14ac:dyDescent="0.2">
      <c r="A955" s="292" t="s">
        <v>1338</v>
      </c>
      <c r="B955" s="293" t="s">
        <v>1680</v>
      </c>
      <c r="C955" s="293" t="s">
        <v>1339</v>
      </c>
      <c r="D955" s="293" t="s">
        <v>1314</v>
      </c>
      <c r="E955" s="294">
        <v>113020</v>
      </c>
    </row>
    <row r="956" spans="1:5" x14ac:dyDescent="0.2">
      <c r="A956" s="292" t="s">
        <v>190</v>
      </c>
      <c r="B956" s="293" t="s">
        <v>1680</v>
      </c>
      <c r="C956" s="293" t="s">
        <v>1339</v>
      </c>
      <c r="D956" s="293" t="s">
        <v>1218</v>
      </c>
      <c r="E956" s="294">
        <v>113020</v>
      </c>
    </row>
    <row r="957" spans="1:5" x14ac:dyDescent="0.2">
      <c r="A957" s="292" t="s">
        <v>269</v>
      </c>
      <c r="B957" s="293" t="s">
        <v>1680</v>
      </c>
      <c r="C957" s="293" t="s">
        <v>1339</v>
      </c>
      <c r="D957" s="293" t="s">
        <v>398</v>
      </c>
      <c r="E957" s="294">
        <v>113020</v>
      </c>
    </row>
    <row r="958" spans="1:5" ht="76.5" x14ac:dyDescent="0.2">
      <c r="A958" s="292" t="s">
        <v>1571</v>
      </c>
      <c r="B958" s="293" t="s">
        <v>1572</v>
      </c>
      <c r="C958" s="293" t="s">
        <v>1314</v>
      </c>
      <c r="D958" s="293" t="s">
        <v>1314</v>
      </c>
      <c r="E958" s="294">
        <v>26207500</v>
      </c>
    </row>
    <row r="959" spans="1:5" x14ac:dyDescent="0.2">
      <c r="A959" s="292" t="s">
        <v>1512</v>
      </c>
      <c r="B959" s="293" t="s">
        <v>1572</v>
      </c>
      <c r="C959" s="293" t="s">
        <v>1513</v>
      </c>
      <c r="D959" s="293" t="s">
        <v>1314</v>
      </c>
      <c r="E959" s="294">
        <v>26207500</v>
      </c>
    </row>
    <row r="960" spans="1:5" x14ac:dyDescent="0.2">
      <c r="A960" s="292" t="s">
        <v>1567</v>
      </c>
      <c r="B960" s="293" t="s">
        <v>1572</v>
      </c>
      <c r="C960" s="293" t="s">
        <v>1568</v>
      </c>
      <c r="D960" s="293" t="s">
        <v>1314</v>
      </c>
      <c r="E960" s="294">
        <v>26207500</v>
      </c>
    </row>
    <row r="961" spans="1:5" x14ac:dyDescent="0.2">
      <c r="A961" s="292" t="s">
        <v>190</v>
      </c>
      <c r="B961" s="293" t="s">
        <v>1572</v>
      </c>
      <c r="C961" s="293" t="s">
        <v>1568</v>
      </c>
      <c r="D961" s="293" t="s">
        <v>1218</v>
      </c>
      <c r="E961" s="294">
        <v>26207500</v>
      </c>
    </row>
    <row r="962" spans="1:5" x14ac:dyDescent="0.2">
      <c r="A962" s="292" t="s">
        <v>269</v>
      </c>
      <c r="B962" s="293" t="s">
        <v>1572</v>
      </c>
      <c r="C962" s="293" t="s">
        <v>1568</v>
      </c>
      <c r="D962" s="293" t="s">
        <v>398</v>
      </c>
      <c r="E962" s="294">
        <v>26207500</v>
      </c>
    </row>
    <row r="963" spans="1:5" ht="25.5" x14ac:dyDescent="0.2">
      <c r="A963" s="292" t="s">
        <v>527</v>
      </c>
      <c r="B963" s="293" t="s">
        <v>1056</v>
      </c>
      <c r="C963" s="293" t="s">
        <v>1314</v>
      </c>
      <c r="D963" s="293" t="s">
        <v>1314</v>
      </c>
      <c r="E963" s="294">
        <v>64042200</v>
      </c>
    </row>
    <row r="964" spans="1:5" ht="51" x14ac:dyDescent="0.2">
      <c r="A964" s="292" t="s">
        <v>882</v>
      </c>
      <c r="B964" s="293" t="s">
        <v>1008</v>
      </c>
      <c r="C964" s="293" t="s">
        <v>1314</v>
      </c>
      <c r="D964" s="293" t="s">
        <v>1314</v>
      </c>
      <c r="E964" s="294">
        <v>387000</v>
      </c>
    </row>
    <row r="965" spans="1:5" x14ac:dyDescent="0.2">
      <c r="A965" s="292" t="s">
        <v>1504</v>
      </c>
      <c r="B965" s="293" t="s">
        <v>1008</v>
      </c>
      <c r="C965" s="293" t="s">
        <v>1505</v>
      </c>
      <c r="D965" s="293" t="s">
        <v>1314</v>
      </c>
      <c r="E965" s="294">
        <v>387000</v>
      </c>
    </row>
    <row r="966" spans="1:5" ht="38.25" x14ac:dyDescent="0.2">
      <c r="A966" s="292" t="s">
        <v>1348</v>
      </c>
      <c r="B966" s="293" t="s">
        <v>1008</v>
      </c>
      <c r="C966" s="293" t="s">
        <v>394</v>
      </c>
      <c r="D966" s="293" t="s">
        <v>1314</v>
      </c>
      <c r="E966" s="294">
        <v>387000</v>
      </c>
    </row>
    <row r="967" spans="1:5" x14ac:dyDescent="0.2">
      <c r="A967" s="292" t="s">
        <v>190</v>
      </c>
      <c r="B967" s="293" t="s">
        <v>1008</v>
      </c>
      <c r="C967" s="293" t="s">
        <v>394</v>
      </c>
      <c r="D967" s="293" t="s">
        <v>1218</v>
      </c>
      <c r="E967" s="294">
        <v>387000</v>
      </c>
    </row>
    <row r="968" spans="1:5" x14ac:dyDescent="0.2">
      <c r="A968" s="292" t="s">
        <v>192</v>
      </c>
      <c r="B968" s="293" t="s">
        <v>1008</v>
      </c>
      <c r="C968" s="293" t="s">
        <v>394</v>
      </c>
      <c r="D968" s="293" t="s">
        <v>396</v>
      </c>
      <c r="E968" s="294">
        <v>387000</v>
      </c>
    </row>
    <row r="969" spans="1:5" ht="51" x14ac:dyDescent="0.2">
      <c r="A969" s="292" t="s">
        <v>397</v>
      </c>
      <c r="B969" s="293" t="s">
        <v>727</v>
      </c>
      <c r="C969" s="293" t="s">
        <v>1314</v>
      </c>
      <c r="D969" s="293" t="s">
        <v>1314</v>
      </c>
      <c r="E969" s="294">
        <v>63655200</v>
      </c>
    </row>
    <row r="970" spans="1:5" x14ac:dyDescent="0.2">
      <c r="A970" s="292" t="s">
        <v>1504</v>
      </c>
      <c r="B970" s="293" t="s">
        <v>727</v>
      </c>
      <c r="C970" s="293" t="s">
        <v>1505</v>
      </c>
      <c r="D970" s="293" t="s">
        <v>1314</v>
      </c>
      <c r="E970" s="294">
        <v>63655200</v>
      </c>
    </row>
    <row r="971" spans="1:5" ht="38.25" x14ac:dyDescent="0.2">
      <c r="A971" s="292" t="s">
        <v>1348</v>
      </c>
      <c r="B971" s="293" t="s">
        <v>727</v>
      </c>
      <c r="C971" s="293" t="s">
        <v>394</v>
      </c>
      <c r="D971" s="293" t="s">
        <v>1314</v>
      </c>
      <c r="E971" s="294">
        <v>63655200</v>
      </c>
    </row>
    <row r="972" spans="1:5" x14ac:dyDescent="0.2">
      <c r="A972" s="292" t="s">
        <v>190</v>
      </c>
      <c r="B972" s="293" t="s">
        <v>727</v>
      </c>
      <c r="C972" s="293" t="s">
        <v>394</v>
      </c>
      <c r="D972" s="293" t="s">
        <v>1218</v>
      </c>
      <c r="E972" s="294">
        <v>63655200</v>
      </c>
    </row>
    <row r="973" spans="1:5" x14ac:dyDescent="0.2">
      <c r="A973" s="292" t="s">
        <v>192</v>
      </c>
      <c r="B973" s="293" t="s">
        <v>727</v>
      </c>
      <c r="C973" s="293" t="s">
        <v>394</v>
      </c>
      <c r="D973" s="293" t="s">
        <v>396</v>
      </c>
      <c r="E973" s="294">
        <v>63655200</v>
      </c>
    </row>
    <row r="974" spans="1:5" ht="25.5" x14ac:dyDescent="0.2">
      <c r="A974" s="292" t="s">
        <v>529</v>
      </c>
      <c r="B974" s="293" t="s">
        <v>1057</v>
      </c>
      <c r="C974" s="293" t="s">
        <v>1314</v>
      </c>
      <c r="D974" s="293" t="s">
        <v>1314</v>
      </c>
      <c r="E974" s="294">
        <v>438900</v>
      </c>
    </row>
    <row r="975" spans="1:5" ht="51" x14ac:dyDescent="0.2">
      <c r="A975" s="292" t="s">
        <v>447</v>
      </c>
      <c r="B975" s="293" t="s">
        <v>2072</v>
      </c>
      <c r="C975" s="293" t="s">
        <v>1314</v>
      </c>
      <c r="D975" s="293" t="s">
        <v>1314</v>
      </c>
      <c r="E975" s="294">
        <v>80000</v>
      </c>
    </row>
    <row r="976" spans="1:5" ht="25.5" x14ac:dyDescent="0.2">
      <c r="A976" s="292" t="s">
        <v>1502</v>
      </c>
      <c r="B976" s="293" t="s">
        <v>2072</v>
      </c>
      <c r="C976" s="293" t="s">
        <v>1503</v>
      </c>
      <c r="D976" s="293" t="s">
        <v>1314</v>
      </c>
      <c r="E976" s="294">
        <v>80000</v>
      </c>
    </row>
    <row r="977" spans="1:5" ht="25.5" x14ac:dyDescent="0.2">
      <c r="A977" s="292" t="s">
        <v>1338</v>
      </c>
      <c r="B977" s="293" t="s">
        <v>2072</v>
      </c>
      <c r="C977" s="293" t="s">
        <v>1339</v>
      </c>
      <c r="D977" s="293" t="s">
        <v>1314</v>
      </c>
      <c r="E977" s="294">
        <v>80000</v>
      </c>
    </row>
    <row r="978" spans="1:5" x14ac:dyDescent="0.2">
      <c r="A978" s="292" t="s">
        <v>147</v>
      </c>
      <c r="B978" s="293" t="s">
        <v>2072</v>
      </c>
      <c r="C978" s="293" t="s">
        <v>1339</v>
      </c>
      <c r="D978" s="293" t="s">
        <v>1220</v>
      </c>
      <c r="E978" s="294">
        <v>80000</v>
      </c>
    </row>
    <row r="979" spans="1:5" x14ac:dyDescent="0.2">
      <c r="A979" s="292" t="s">
        <v>1147</v>
      </c>
      <c r="B979" s="293" t="s">
        <v>2072</v>
      </c>
      <c r="C979" s="293" t="s">
        <v>1339</v>
      </c>
      <c r="D979" s="293" t="s">
        <v>1148</v>
      </c>
      <c r="E979" s="294">
        <v>80000</v>
      </c>
    </row>
    <row r="980" spans="1:5" ht="76.5" x14ac:dyDescent="0.2">
      <c r="A980" s="292" t="s">
        <v>1734</v>
      </c>
      <c r="B980" s="293" t="s">
        <v>1735</v>
      </c>
      <c r="C980" s="293" t="s">
        <v>1314</v>
      </c>
      <c r="D980" s="293" t="s">
        <v>1314</v>
      </c>
      <c r="E980" s="294">
        <v>358900</v>
      </c>
    </row>
    <row r="981" spans="1:5" x14ac:dyDescent="0.2">
      <c r="A981" s="292" t="s">
        <v>1512</v>
      </c>
      <c r="B981" s="293" t="s">
        <v>1735</v>
      </c>
      <c r="C981" s="293" t="s">
        <v>1513</v>
      </c>
      <c r="D981" s="293" t="s">
        <v>1314</v>
      </c>
      <c r="E981" s="294">
        <v>358900</v>
      </c>
    </row>
    <row r="982" spans="1:5" x14ac:dyDescent="0.2">
      <c r="A982" s="292" t="s">
        <v>1567</v>
      </c>
      <c r="B982" s="293" t="s">
        <v>1735</v>
      </c>
      <c r="C982" s="293" t="s">
        <v>1568</v>
      </c>
      <c r="D982" s="293" t="s">
        <v>1314</v>
      </c>
      <c r="E982" s="294">
        <v>358900</v>
      </c>
    </row>
    <row r="983" spans="1:5" x14ac:dyDescent="0.2">
      <c r="A983" s="292" t="s">
        <v>190</v>
      </c>
      <c r="B983" s="293" t="s">
        <v>1735</v>
      </c>
      <c r="C983" s="293" t="s">
        <v>1568</v>
      </c>
      <c r="D983" s="293" t="s">
        <v>1218</v>
      </c>
      <c r="E983" s="294">
        <v>358900</v>
      </c>
    </row>
    <row r="984" spans="1:5" x14ac:dyDescent="0.2">
      <c r="A984" s="292" t="s">
        <v>269</v>
      </c>
      <c r="B984" s="293" t="s">
        <v>1735</v>
      </c>
      <c r="C984" s="293" t="s">
        <v>1568</v>
      </c>
      <c r="D984" s="293" t="s">
        <v>398</v>
      </c>
      <c r="E984" s="294">
        <v>358900</v>
      </c>
    </row>
    <row r="985" spans="1:5" ht="25.5" x14ac:dyDescent="0.2">
      <c r="A985" s="292" t="s">
        <v>643</v>
      </c>
      <c r="B985" s="293" t="s">
        <v>1058</v>
      </c>
      <c r="C985" s="293" t="s">
        <v>1314</v>
      </c>
      <c r="D985" s="293" t="s">
        <v>1314</v>
      </c>
      <c r="E985" s="294">
        <v>1650000</v>
      </c>
    </row>
    <row r="986" spans="1:5" ht="25.5" x14ac:dyDescent="0.2">
      <c r="A986" s="292" t="s">
        <v>976</v>
      </c>
      <c r="B986" s="293" t="s">
        <v>1543</v>
      </c>
      <c r="C986" s="293" t="s">
        <v>1314</v>
      </c>
      <c r="D986" s="293" t="s">
        <v>1314</v>
      </c>
      <c r="E986" s="294">
        <v>550000</v>
      </c>
    </row>
    <row r="987" spans="1:5" ht="63.75" x14ac:dyDescent="0.2">
      <c r="A987" s="292" t="s">
        <v>980</v>
      </c>
      <c r="B987" s="293" t="s">
        <v>979</v>
      </c>
      <c r="C987" s="293" t="s">
        <v>1314</v>
      </c>
      <c r="D987" s="293" t="s">
        <v>1314</v>
      </c>
      <c r="E987" s="294">
        <v>550000</v>
      </c>
    </row>
    <row r="988" spans="1:5" ht="25.5" x14ac:dyDescent="0.2">
      <c r="A988" s="292" t="s">
        <v>1502</v>
      </c>
      <c r="B988" s="293" t="s">
        <v>979</v>
      </c>
      <c r="C988" s="293" t="s">
        <v>1503</v>
      </c>
      <c r="D988" s="293" t="s">
        <v>1314</v>
      </c>
      <c r="E988" s="294">
        <v>550000</v>
      </c>
    </row>
    <row r="989" spans="1:5" ht="25.5" x14ac:dyDescent="0.2">
      <c r="A989" s="292" t="s">
        <v>1338</v>
      </c>
      <c r="B989" s="293" t="s">
        <v>979</v>
      </c>
      <c r="C989" s="293" t="s">
        <v>1339</v>
      </c>
      <c r="D989" s="293" t="s">
        <v>1314</v>
      </c>
      <c r="E989" s="294">
        <v>550000</v>
      </c>
    </row>
    <row r="990" spans="1:5" x14ac:dyDescent="0.2">
      <c r="A990" s="292" t="s">
        <v>255</v>
      </c>
      <c r="B990" s="293" t="s">
        <v>979</v>
      </c>
      <c r="C990" s="293" t="s">
        <v>1339</v>
      </c>
      <c r="D990" s="293" t="s">
        <v>1219</v>
      </c>
      <c r="E990" s="294">
        <v>550000</v>
      </c>
    </row>
    <row r="991" spans="1:5" x14ac:dyDescent="0.2">
      <c r="A991" s="292" t="s">
        <v>3</v>
      </c>
      <c r="B991" s="293" t="s">
        <v>979</v>
      </c>
      <c r="C991" s="293" t="s">
        <v>1339</v>
      </c>
      <c r="D991" s="293" t="s">
        <v>426</v>
      </c>
      <c r="E991" s="294">
        <v>550000</v>
      </c>
    </row>
    <row r="992" spans="1:5" ht="25.5" x14ac:dyDescent="0.2">
      <c r="A992" s="292" t="s">
        <v>1310</v>
      </c>
      <c r="B992" s="293" t="s">
        <v>1311</v>
      </c>
      <c r="C992" s="293" t="s">
        <v>1314</v>
      </c>
      <c r="D992" s="293" t="s">
        <v>1314</v>
      </c>
      <c r="E992" s="294">
        <v>500000</v>
      </c>
    </row>
    <row r="993" spans="1:5" ht="63.75" x14ac:dyDescent="0.2">
      <c r="A993" s="292" t="s">
        <v>1392</v>
      </c>
      <c r="B993" s="293" t="s">
        <v>1393</v>
      </c>
      <c r="C993" s="293" t="s">
        <v>1314</v>
      </c>
      <c r="D993" s="293" t="s">
        <v>1314</v>
      </c>
      <c r="E993" s="294">
        <v>500000</v>
      </c>
    </row>
    <row r="994" spans="1:5" ht="25.5" x14ac:dyDescent="0.2">
      <c r="A994" s="292" t="s">
        <v>1502</v>
      </c>
      <c r="B994" s="293" t="s">
        <v>1393</v>
      </c>
      <c r="C994" s="293" t="s">
        <v>1503</v>
      </c>
      <c r="D994" s="293" t="s">
        <v>1314</v>
      </c>
      <c r="E994" s="294">
        <v>500000</v>
      </c>
    </row>
    <row r="995" spans="1:5" ht="25.5" x14ac:dyDescent="0.2">
      <c r="A995" s="292" t="s">
        <v>1338</v>
      </c>
      <c r="B995" s="293" t="s">
        <v>1393</v>
      </c>
      <c r="C995" s="293" t="s">
        <v>1339</v>
      </c>
      <c r="D995" s="293" t="s">
        <v>1314</v>
      </c>
      <c r="E995" s="294">
        <v>500000</v>
      </c>
    </row>
    <row r="996" spans="1:5" x14ac:dyDescent="0.2">
      <c r="A996" s="292" t="s">
        <v>190</v>
      </c>
      <c r="B996" s="293" t="s">
        <v>1393</v>
      </c>
      <c r="C996" s="293" t="s">
        <v>1339</v>
      </c>
      <c r="D996" s="293" t="s">
        <v>1218</v>
      </c>
      <c r="E996" s="294">
        <v>500000</v>
      </c>
    </row>
    <row r="997" spans="1:5" x14ac:dyDescent="0.2">
      <c r="A997" s="292" t="s">
        <v>152</v>
      </c>
      <c r="B997" s="293" t="s">
        <v>1393</v>
      </c>
      <c r="C997" s="293" t="s">
        <v>1339</v>
      </c>
      <c r="D997" s="293" t="s">
        <v>400</v>
      </c>
      <c r="E997" s="294">
        <v>500000</v>
      </c>
    </row>
    <row r="998" spans="1:5" ht="25.5" x14ac:dyDescent="0.2">
      <c r="A998" s="292" t="s">
        <v>644</v>
      </c>
      <c r="B998" s="293" t="s">
        <v>1059</v>
      </c>
      <c r="C998" s="293" t="s">
        <v>1314</v>
      </c>
      <c r="D998" s="293" t="s">
        <v>1314</v>
      </c>
      <c r="E998" s="294">
        <v>600000</v>
      </c>
    </row>
    <row r="999" spans="1:5" ht="63.75" x14ac:dyDescent="0.2">
      <c r="A999" s="292" t="s">
        <v>570</v>
      </c>
      <c r="B999" s="293" t="s">
        <v>793</v>
      </c>
      <c r="C999" s="293" t="s">
        <v>1314</v>
      </c>
      <c r="D999" s="293" t="s">
        <v>1314</v>
      </c>
      <c r="E999" s="294">
        <v>600000</v>
      </c>
    </row>
    <row r="1000" spans="1:5" x14ac:dyDescent="0.2">
      <c r="A1000" s="292" t="s">
        <v>1506</v>
      </c>
      <c r="B1000" s="293" t="s">
        <v>793</v>
      </c>
      <c r="C1000" s="293" t="s">
        <v>1507</v>
      </c>
      <c r="D1000" s="293" t="s">
        <v>1314</v>
      </c>
      <c r="E1000" s="294">
        <v>600000</v>
      </c>
    </row>
    <row r="1001" spans="1:5" x14ac:dyDescent="0.2">
      <c r="A1001" s="292" t="s">
        <v>573</v>
      </c>
      <c r="B1001" s="293" t="s">
        <v>793</v>
      </c>
      <c r="C1001" s="293" t="s">
        <v>574</v>
      </c>
      <c r="D1001" s="293" t="s">
        <v>1314</v>
      </c>
      <c r="E1001" s="294">
        <v>600000</v>
      </c>
    </row>
    <row r="1002" spans="1:5" x14ac:dyDescent="0.2">
      <c r="A1002" s="292" t="s">
        <v>255</v>
      </c>
      <c r="B1002" s="293" t="s">
        <v>793</v>
      </c>
      <c r="C1002" s="293" t="s">
        <v>574</v>
      </c>
      <c r="D1002" s="293" t="s">
        <v>1219</v>
      </c>
      <c r="E1002" s="294">
        <v>600000</v>
      </c>
    </row>
    <row r="1003" spans="1:5" x14ac:dyDescent="0.2">
      <c r="A1003" s="292" t="s">
        <v>3</v>
      </c>
      <c r="B1003" s="293" t="s">
        <v>793</v>
      </c>
      <c r="C1003" s="293" t="s">
        <v>574</v>
      </c>
      <c r="D1003" s="293" t="s">
        <v>426</v>
      </c>
      <c r="E1003" s="294">
        <v>600000</v>
      </c>
    </row>
    <row r="1004" spans="1:5" ht="25.5" x14ac:dyDescent="0.2">
      <c r="A1004" s="292" t="s">
        <v>1563</v>
      </c>
      <c r="B1004" s="293" t="s">
        <v>1060</v>
      </c>
      <c r="C1004" s="293" t="s">
        <v>1314</v>
      </c>
      <c r="D1004" s="293" t="s">
        <v>1314</v>
      </c>
      <c r="E1004" s="294">
        <v>154216405</v>
      </c>
    </row>
    <row r="1005" spans="1:5" ht="51" x14ac:dyDescent="0.2">
      <c r="A1005" s="292" t="s">
        <v>1566</v>
      </c>
      <c r="B1005" s="293" t="s">
        <v>1061</v>
      </c>
      <c r="C1005" s="293" t="s">
        <v>1314</v>
      </c>
      <c r="D1005" s="293" t="s">
        <v>1314</v>
      </c>
      <c r="E1005" s="294">
        <v>135313300</v>
      </c>
    </row>
    <row r="1006" spans="1:5" ht="114.75" x14ac:dyDescent="0.2">
      <c r="A1006" s="292" t="s">
        <v>1695</v>
      </c>
      <c r="B1006" s="293" t="s">
        <v>853</v>
      </c>
      <c r="C1006" s="293" t="s">
        <v>1314</v>
      </c>
      <c r="D1006" s="293" t="s">
        <v>1314</v>
      </c>
      <c r="E1006" s="294">
        <v>4948600</v>
      </c>
    </row>
    <row r="1007" spans="1:5" x14ac:dyDescent="0.2">
      <c r="A1007" s="292" t="s">
        <v>1512</v>
      </c>
      <c r="B1007" s="293" t="s">
        <v>853</v>
      </c>
      <c r="C1007" s="293" t="s">
        <v>1513</v>
      </c>
      <c r="D1007" s="293" t="s">
        <v>1314</v>
      </c>
      <c r="E1007" s="294">
        <v>4948600</v>
      </c>
    </row>
    <row r="1008" spans="1:5" x14ac:dyDescent="0.2">
      <c r="A1008" s="292" t="s">
        <v>474</v>
      </c>
      <c r="B1008" s="293" t="s">
        <v>853</v>
      </c>
      <c r="C1008" s="293" t="s">
        <v>475</v>
      </c>
      <c r="D1008" s="293" t="s">
        <v>1314</v>
      </c>
      <c r="E1008" s="294">
        <v>4948600</v>
      </c>
    </row>
    <row r="1009" spans="1:5" x14ac:dyDescent="0.2">
      <c r="A1009" s="292" t="s">
        <v>200</v>
      </c>
      <c r="B1009" s="293" t="s">
        <v>853</v>
      </c>
      <c r="C1009" s="293" t="s">
        <v>475</v>
      </c>
      <c r="D1009" s="293" t="s">
        <v>1233</v>
      </c>
      <c r="E1009" s="294">
        <v>4948600</v>
      </c>
    </row>
    <row r="1010" spans="1:5" x14ac:dyDescent="0.2">
      <c r="A1010" s="292" t="s">
        <v>201</v>
      </c>
      <c r="B1010" s="293" t="s">
        <v>853</v>
      </c>
      <c r="C1010" s="293" t="s">
        <v>475</v>
      </c>
      <c r="D1010" s="293" t="s">
        <v>473</v>
      </c>
      <c r="E1010" s="294">
        <v>4948600</v>
      </c>
    </row>
    <row r="1011" spans="1:5" ht="114.75" x14ac:dyDescent="0.2">
      <c r="A1011" s="292" t="s">
        <v>1694</v>
      </c>
      <c r="B1011" s="293" t="s">
        <v>851</v>
      </c>
      <c r="C1011" s="293" t="s">
        <v>1314</v>
      </c>
      <c r="D1011" s="293" t="s">
        <v>1314</v>
      </c>
      <c r="E1011" s="294">
        <v>265800</v>
      </c>
    </row>
    <row r="1012" spans="1:5" x14ac:dyDescent="0.2">
      <c r="A1012" s="292" t="s">
        <v>1512</v>
      </c>
      <c r="B1012" s="293" t="s">
        <v>851</v>
      </c>
      <c r="C1012" s="293" t="s">
        <v>1513</v>
      </c>
      <c r="D1012" s="293" t="s">
        <v>1314</v>
      </c>
      <c r="E1012" s="294">
        <v>265800</v>
      </c>
    </row>
    <row r="1013" spans="1:5" x14ac:dyDescent="0.2">
      <c r="A1013" s="292" t="s">
        <v>474</v>
      </c>
      <c r="B1013" s="293" t="s">
        <v>851</v>
      </c>
      <c r="C1013" s="293" t="s">
        <v>475</v>
      </c>
      <c r="D1013" s="293" t="s">
        <v>1314</v>
      </c>
      <c r="E1013" s="294">
        <v>265800</v>
      </c>
    </row>
    <row r="1014" spans="1:5" x14ac:dyDescent="0.2">
      <c r="A1014" s="292" t="s">
        <v>250</v>
      </c>
      <c r="B1014" s="293" t="s">
        <v>851</v>
      </c>
      <c r="C1014" s="293" t="s">
        <v>475</v>
      </c>
      <c r="D1014" s="293" t="s">
        <v>1212</v>
      </c>
      <c r="E1014" s="294">
        <v>265800</v>
      </c>
    </row>
    <row r="1015" spans="1:5" x14ac:dyDescent="0.2">
      <c r="A1015" s="292" t="s">
        <v>233</v>
      </c>
      <c r="B1015" s="293" t="s">
        <v>851</v>
      </c>
      <c r="C1015" s="293" t="s">
        <v>475</v>
      </c>
      <c r="D1015" s="293" t="s">
        <v>376</v>
      </c>
      <c r="E1015" s="294">
        <v>265800</v>
      </c>
    </row>
    <row r="1016" spans="1:5" ht="114.75" x14ac:dyDescent="0.2">
      <c r="A1016" s="292" t="s">
        <v>1573</v>
      </c>
      <c r="B1016" s="293" t="s">
        <v>858</v>
      </c>
      <c r="C1016" s="293" t="s">
        <v>1314</v>
      </c>
      <c r="D1016" s="293" t="s">
        <v>1314</v>
      </c>
      <c r="E1016" s="294">
        <v>42780600</v>
      </c>
    </row>
    <row r="1017" spans="1:5" x14ac:dyDescent="0.2">
      <c r="A1017" s="292" t="s">
        <v>1512</v>
      </c>
      <c r="B1017" s="293" t="s">
        <v>858</v>
      </c>
      <c r="C1017" s="293" t="s">
        <v>1513</v>
      </c>
      <c r="D1017" s="293" t="s">
        <v>1314</v>
      </c>
      <c r="E1017" s="294">
        <v>42780600</v>
      </c>
    </row>
    <row r="1018" spans="1:5" x14ac:dyDescent="0.2">
      <c r="A1018" s="292" t="s">
        <v>1350</v>
      </c>
      <c r="B1018" s="293" t="s">
        <v>858</v>
      </c>
      <c r="C1018" s="293" t="s">
        <v>1351</v>
      </c>
      <c r="D1018" s="293" t="s">
        <v>1314</v>
      </c>
      <c r="E1018" s="294">
        <v>42780600</v>
      </c>
    </row>
    <row r="1019" spans="1:5" ht="38.25" x14ac:dyDescent="0.2">
      <c r="A1019" s="292" t="s">
        <v>1236</v>
      </c>
      <c r="B1019" s="293" t="s">
        <v>858</v>
      </c>
      <c r="C1019" s="293" t="s">
        <v>1351</v>
      </c>
      <c r="D1019" s="293" t="s">
        <v>1237</v>
      </c>
      <c r="E1019" s="294">
        <v>42780600</v>
      </c>
    </row>
    <row r="1020" spans="1:5" ht="38.25" x14ac:dyDescent="0.2">
      <c r="A1020" s="292" t="s">
        <v>227</v>
      </c>
      <c r="B1020" s="293" t="s">
        <v>858</v>
      </c>
      <c r="C1020" s="293" t="s">
        <v>1351</v>
      </c>
      <c r="D1020" s="293" t="s">
        <v>477</v>
      </c>
      <c r="E1020" s="294">
        <v>42780600</v>
      </c>
    </row>
    <row r="1021" spans="1:5" ht="89.25" x14ac:dyDescent="0.2">
      <c r="A1021" s="292" t="s">
        <v>1702</v>
      </c>
      <c r="B1021" s="293" t="s">
        <v>860</v>
      </c>
      <c r="C1021" s="293" t="s">
        <v>1314</v>
      </c>
      <c r="D1021" s="293" t="s">
        <v>1314</v>
      </c>
      <c r="E1021" s="294">
        <v>36570000</v>
      </c>
    </row>
    <row r="1022" spans="1:5" x14ac:dyDescent="0.2">
      <c r="A1022" s="292" t="s">
        <v>1512</v>
      </c>
      <c r="B1022" s="293" t="s">
        <v>860</v>
      </c>
      <c r="C1022" s="293" t="s">
        <v>1513</v>
      </c>
      <c r="D1022" s="293" t="s">
        <v>1314</v>
      </c>
      <c r="E1022" s="294">
        <v>36570000</v>
      </c>
    </row>
    <row r="1023" spans="1:5" x14ac:dyDescent="0.2">
      <c r="A1023" s="292" t="s">
        <v>72</v>
      </c>
      <c r="B1023" s="293" t="s">
        <v>860</v>
      </c>
      <c r="C1023" s="293" t="s">
        <v>470</v>
      </c>
      <c r="D1023" s="293" t="s">
        <v>1314</v>
      </c>
      <c r="E1023" s="294">
        <v>36570000</v>
      </c>
    </row>
    <row r="1024" spans="1:5" ht="38.25" x14ac:dyDescent="0.2">
      <c r="A1024" s="292" t="s">
        <v>1236</v>
      </c>
      <c r="B1024" s="293" t="s">
        <v>860</v>
      </c>
      <c r="C1024" s="293" t="s">
        <v>470</v>
      </c>
      <c r="D1024" s="293" t="s">
        <v>1237</v>
      </c>
      <c r="E1024" s="294">
        <v>36570000</v>
      </c>
    </row>
    <row r="1025" spans="1:5" x14ac:dyDescent="0.2">
      <c r="A1025" s="292" t="s">
        <v>267</v>
      </c>
      <c r="B1025" s="293" t="s">
        <v>860</v>
      </c>
      <c r="C1025" s="293" t="s">
        <v>470</v>
      </c>
      <c r="D1025" s="293" t="s">
        <v>479</v>
      </c>
      <c r="E1025" s="294">
        <v>36570000</v>
      </c>
    </row>
    <row r="1026" spans="1:5" ht="89.25" x14ac:dyDescent="0.2">
      <c r="A1026" s="292" t="s">
        <v>582</v>
      </c>
      <c r="B1026" s="293" t="s">
        <v>859</v>
      </c>
      <c r="C1026" s="293" t="s">
        <v>1314</v>
      </c>
      <c r="D1026" s="293" t="s">
        <v>1314</v>
      </c>
      <c r="E1026" s="294">
        <v>50653600</v>
      </c>
    </row>
    <row r="1027" spans="1:5" x14ac:dyDescent="0.2">
      <c r="A1027" s="292" t="s">
        <v>1512</v>
      </c>
      <c r="B1027" s="293" t="s">
        <v>859</v>
      </c>
      <c r="C1027" s="293" t="s">
        <v>1513</v>
      </c>
      <c r="D1027" s="293" t="s">
        <v>1314</v>
      </c>
      <c r="E1027" s="294">
        <v>50653600</v>
      </c>
    </row>
    <row r="1028" spans="1:5" x14ac:dyDescent="0.2">
      <c r="A1028" s="292" t="s">
        <v>1350</v>
      </c>
      <c r="B1028" s="293" t="s">
        <v>859</v>
      </c>
      <c r="C1028" s="293" t="s">
        <v>1351</v>
      </c>
      <c r="D1028" s="293" t="s">
        <v>1314</v>
      </c>
      <c r="E1028" s="294">
        <v>50653600</v>
      </c>
    </row>
    <row r="1029" spans="1:5" ht="38.25" x14ac:dyDescent="0.2">
      <c r="A1029" s="292" t="s">
        <v>1236</v>
      </c>
      <c r="B1029" s="293" t="s">
        <v>859</v>
      </c>
      <c r="C1029" s="293" t="s">
        <v>1351</v>
      </c>
      <c r="D1029" s="293" t="s">
        <v>1237</v>
      </c>
      <c r="E1029" s="294">
        <v>50653600</v>
      </c>
    </row>
    <row r="1030" spans="1:5" ht="38.25" x14ac:dyDescent="0.2">
      <c r="A1030" s="292" t="s">
        <v>227</v>
      </c>
      <c r="B1030" s="293" t="s">
        <v>859</v>
      </c>
      <c r="C1030" s="293" t="s">
        <v>1351</v>
      </c>
      <c r="D1030" s="293" t="s">
        <v>477</v>
      </c>
      <c r="E1030" s="294">
        <v>50653600</v>
      </c>
    </row>
    <row r="1031" spans="1:5" ht="102" x14ac:dyDescent="0.2">
      <c r="A1031" s="292" t="s">
        <v>1699</v>
      </c>
      <c r="B1031" s="293" t="s">
        <v>1700</v>
      </c>
      <c r="C1031" s="293" t="s">
        <v>1314</v>
      </c>
      <c r="D1031" s="293" t="s">
        <v>1314</v>
      </c>
      <c r="E1031" s="294">
        <v>94700</v>
      </c>
    </row>
    <row r="1032" spans="1:5" x14ac:dyDescent="0.2">
      <c r="A1032" s="292" t="s">
        <v>1512</v>
      </c>
      <c r="B1032" s="293" t="s">
        <v>1700</v>
      </c>
      <c r="C1032" s="293" t="s">
        <v>1513</v>
      </c>
      <c r="D1032" s="293" t="s">
        <v>1314</v>
      </c>
      <c r="E1032" s="294">
        <v>94700</v>
      </c>
    </row>
    <row r="1033" spans="1:5" x14ac:dyDescent="0.2">
      <c r="A1033" s="292" t="s">
        <v>1567</v>
      </c>
      <c r="B1033" s="293" t="s">
        <v>1700</v>
      </c>
      <c r="C1033" s="293" t="s">
        <v>1568</v>
      </c>
      <c r="D1033" s="293" t="s">
        <v>1314</v>
      </c>
      <c r="E1033" s="294">
        <v>94700</v>
      </c>
    </row>
    <row r="1034" spans="1:5" x14ac:dyDescent="0.2">
      <c r="A1034" s="292" t="s">
        <v>264</v>
      </c>
      <c r="B1034" s="293" t="s">
        <v>1700</v>
      </c>
      <c r="C1034" s="293" t="s">
        <v>1568</v>
      </c>
      <c r="D1034" s="293" t="s">
        <v>1234</v>
      </c>
      <c r="E1034" s="294">
        <v>94700</v>
      </c>
    </row>
    <row r="1035" spans="1:5" x14ac:dyDescent="0.2">
      <c r="A1035" s="292" t="s">
        <v>1235</v>
      </c>
      <c r="B1035" s="293" t="s">
        <v>1700</v>
      </c>
      <c r="C1035" s="293" t="s">
        <v>1568</v>
      </c>
      <c r="D1035" s="293" t="s">
        <v>413</v>
      </c>
      <c r="E1035" s="294">
        <v>94700</v>
      </c>
    </row>
    <row r="1036" spans="1:5" ht="25.5" x14ac:dyDescent="0.2">
      <c r="A1036" s="292" t="s">
        <v>533</v>
      </c>
      <c r="B1036" s="293" t="s">
        <v>1062</v>
      </c>
      <c r="C1036" s="293" t="s">
        <v>1314</v>
      </c>
      <c r="D1036" s="293" t="s">
        <v>1314</v>
      </c>
      <c r="E1036" s="294">
        <v>18903105</v>
      </c>
    </row>
    <row r="1037" spans="1:5" ht="63.75" x14ac:dyDescent="0.2">
      <c r="A1037" s="292" t="s">
        <v>465</v>
      </c>
      <c r="B1037" s="293" t="s">
        <v>845</v>
      </c>
      <c r="C1037" s="293" t="s">
        <v>1314</v>
      </c>
      <c r="D1037" s="293" t="s">
        <v>1314</v>
      </c>
      <c r="E1037" s="294">
        <v>14793383</v>
      </c>
    </row>
    <row r="1038" spans="1:5" ht="51" x14ac:dyDescent="0.2">
      <c r="A1038" s="292" t="s">
        <v>1501</v>
      </c>
      <c r="B1038" s="293" t="s">
        <v>845</v>
      </c>
      <c r="C1038" s="293" t="s">
        <v>290</v>
      </c>
      <c r="D1038" s="293" t="s">
        <v>1314</v>
      </c>
      <c r="E1038" s="294">
        <v>12846852</v>
      </c>
    </row>
    <row r="1039" spans="1:5" ht="25.5" x14ac:dyDescent="0.2">
      <c r="A1039" s="292" t="s">
        <v>1345</v>
      </c>
      <c r="B1039" s="293" t="s">
        <v>845</v>
      </c>
      <c r="C1039" s="293" t="s">
        <v>30</v>
      </c>
      <c r="D1039" s="293" t="s">
        <v>1314</v>
      </c>
      <c r="E1039" s="294">
        <v>12846852</v>
      </c>
    </row>
    <row r="1040" spans="1:5" x14ac:dyDescent="0.2">
      <c r="A1040" s="292" t="s">
        <v>250</v>
      </c>
      <c r="B1040" s="293" t="s">
        <v>845</v>
      </c>
      <c r="C1040" s="293" t="s">
        <v>30</v>
      </c>
      <c r="D1040" s="293" t="s">
        <v>1212</v>
      </c>
      <c r="E1040" s="294">
        <v>12846852</v>
      </c>
    </row>
    <row r="1041" spans="1:5" ht="38.25" x14ac:dyDescent="0.2">
      <c r="A1041" s="292" t="s">
        <v>232</v>
      </c>
      <c r="B1041" s="293" t="s">
        <v>845</v>
      </c>
      <c r="C1041" s="293" t="s">
        <v>30</v>
      </c>
      <c r="D1041" s="293" t="s">
        <v>370</v>
      </c>
      <c r="E1041" s="294">
        <v>12846852</v>
      </c>
    </row>
    <row r="1042" spans="1:5" ht="25.5" x14ac:dyDescent="0.2">
      <c r="A1042" s="292" t="s">
        <v>1502</v>
      </c>
      <c r="B1042" s="293" t="s">
        <v>845</v>
      </c>
      <c r="C1042" s="293" t="s">
        <v>1503</v>
      </c>
      <c r="D1042" s="293" t="s">
        <v>1314</v>
      </c>
      <c r="E1042" s="294">
        <v>1934031</v>
      </c>
    </row>
    <row r="1043" spans="1:5" ht="25.5" x14ac:dyDescent="0.2">
      <c r="A1043" s="292" t="s">
        <v>1338</v>
      </c>
      <c r="B1043" s="293" t="s">
        <v>845</v>
      </c>
      <c r="C1043" s="293" t="s">
        <v>1339</v>
      </c>
      <c r="D1043" s="293" t="s">
        <v>1314</v>
      </c>
      <c r="E1043" s="294">
        <v>1934031</v>
      </c>
    </row>
    <row r="1044" spans="1:5" x14ac:dyDescent="0.2">
      <c r="A1044" s="292" t="s">
        <v>250</v>
      </c>
      <c r="B1044" s="293" t="s">
        <v>845</v>
      </c>
      <c r="C1044" s="293" t="s">
        <v>1339</v>
      </c>
      <c r="D1044" s="293" t="s">
        <v>1212</v>
      </c>
      <c r="E1044" s="294">
        <v>1934031</v>
      </c>
    </row>
    <row r="1045" spans="1:5" ht="38.25" x14ac:dyDescent="0.2">
      <c r="A1045" s="292" t="s">
        <v>232</v>
      </c>
      <c r="B1045" s="293" t="s">
        <v>845</v>
      </c>
      <c r="C1045" s="293" t="s">
        <v>1339</v>
      </c>
      <c r="D1045" s="293" t="s">
        <v>370</v>
      </c>
      <c r="E1045" s="294">
        <v>1934031</v>
      </c>
    </row>
    <row r="1046" spans="1:5" x14ac:dyDescent="0.2">
      <c r="A1046" s="292" t="s">
        <v>1504</v>
      </c>
      <c r="B1046" s="293" t="s">
        <v>845</v>
      </c>
      <c r="C1046" s="293" t="s">
        <v>1505</v>
      </c>
      <c r="D1046" s="293" t="s">
        <v>1314</v>
      </c>
      <c r="E1046" s="294">
        <v>12500</v>
      </c>
    </row>
    <row r="1047" spans="1:5" x14ac:dyDescent="0.2">
      <c r="A1047" s="292" t="s">
        <v>1343</v>
      </c>
      <c r="B1047" s="293" t="s">
        <v>845</v>
      </c>
      <c r="C1047" s="293" t="s">
        <v>1344</v>
      </c>
      <c r="D1047" s="293" t="s">
        <v>1314</v>
      </c>
      <c r="E1047" s="294">
        <v>12500</v>
      </c>
    </row>
    <row r="1048" spans="1:5" x14ac:dyDescent="0.2">
      <c r="A1048" s="292" t="s">
        <v>250</v>
      </c>
      <c r="B1048" s="293" t="s">
        <v>845</v>
      </c>
      <c r="C1048" s="293" t="s">
        <v>1344</v>
      </c>
      <c r="D1048" s="293" t="s">
        <v>1212</v>
      </c>
      <c r="E1048" s="294">
        <v>12500</v>
      </c>
    </row>
    <row r="1049" spans="1:5" ht="38.25" x14ac:dyDescent="0.2">
      <c r="A1049" s="292" t="s">
        <v>232</v>
      </c>
      <c r="B1049" s="293" t="s">
        <v>845</v>
      </c>
      <c r="C1049" s="293" t="s">
        <v>1344</v>
      </c>
      <c r="D1049" s="293" t="s">
        <v>370</v>
      </c>
      <c r="E1049" s="294">
        <v>12500</v>
      </c>
    </row>
    <row r="1050" spans="1:5" ht="89.25" x14ac:dyDescent="0.2">
      <c r="A1050" s="292" t="s">
        <v>577</v>
      </c>
      <c r="B1050" s="293" t="s">
        <v>846</v>
      </c>
      <c r="C1050" s="293" t="s">
        <v>1314</v>
      </c>
      <c r="D1050" s="293" t="s">
        <v>1314</v>
      </c>
      <c r="E1050" s="294">
        <v>522000</v>
      </c>
    </row>
    <row r="1051" spans="1:5" ht="51" x14ac:dyDescent="0.2">
      <c r="A1051" s="292" t="s">
        <v>1501</v>
      </c>
      <c r="B1051" s="293" t="s">
        <v>846</v>
      </c>
      <c r="C1051" s="293" t="s">
        <v>290</v>
      </c>
      <c r="D1051" s="293" t="s">
        <v>1314</v>
      </c>
      <c r="E1051" s="294">
        <v>522000</v>
      </c>
    </row>
    <row r="1052" spans="1:5" ht="25.5" x14ac:dyDescent="0.2">
      <c r="A1052" s="292" t="s">
        <v>1345</v>
      </c>
      <c r="B1052" s="293" t="s">
        <v>846</v>
      </c>
      <c r="C1052" s="293" t="s">
        <v>30</v>
      </c>
      <c r="D1052" s="293" t="s">
        <v>1314</v>
      </c>
      <c r="E1052" s="294">
        <v>522000</v>
      </c>
    </row>
    <row r="1053" spans="1:5" x14ac:dyDescent="0.2">
      <c r="A1053" s="292" t="s">
        <v>250</v>
      </c>
      <c r="B1053" s="293" t="s">
        <v>846</v>
      </c>
      <c r="C1053" s="293" t="s">
        <v>30</v>
      </c>
      <c r="D1053" s="293" t="s">
        <v>1212</v>
      </c>
      <c r="E1053" s="294">
        <v>522000</v>
      </c>
    </row>
    <row r="1054" spans="1:5" ht="38.25" x14ac:dyDescent="0.2">
      <c r="A1054" s="292" t="s">
        <v>232</v>
      </c>
      <c r="B1054" s="293" t="s">
        <v>846</v>
      </c>
      <c r="C1054" s="293" t="s">
        <v>30</v>
      </c>
      <c r="D1054" s="293" t="s">
        <v>370</v>
      </c>
      <c r="E1054" s="294">
        <v>522000</v>
      </c>
    </row>
    <row r="1055" spans="1:5" ht="76.5" x14ac:dyDescent="0.2">
      <c r="A1055" s="292" t="s">
        <v>632</v>
      </c>
      <c r="B1055" s="293" t="s">
        <v>847</v>
      </c>
      <c r="C1055" s="293" t="s">
        <v>1314</v>
      </c>
      <c r="D1055" s="293" t="s">
        <v>1314</v>
      </c>
      <c r="E1055" s="294">
        <v>470000</v>
      </c>
    </row>
    <row r="1056" spans="1:5" ht="51" x14ac:dyDescent="0.2">
      <c r="A1056" s="292" t="s">
        <v>1501</v>
      </c>
      <c r="B1056" s="293" t="s">
        <v>847</v>
      </c>
      <c r="C1056" s="293" t="s">
        <v>290</v>
      </c>
      <c r="D1056" s="293" t="s">
        <v>1314</v>
      </c>
      <c r="E1056" s="294">
        <v>470000</v>
      </c>
    </row>
    <row r="1057" spans="1:5" ht="25.5" x14ac:dyDescent="0.2">
      <c r="A1057" s="292" t="s">
        <v>1345</v>
      </c>
      <c r="B1057" s="293" t="s">
        <v>847</v>
      </c>
      <c r="C1057" s="293" t="s">
        <v>30</v>
      </c>
      <c r="D1057" s="293" t="s">
        <v>1314</v>
      </c>
      <c r="E1057" s="294">
        <v>470000</v>
      </c>
    </row>
    <row r="1058" spans="1:5" x14ac:dyDescent="0.2">
      <c r="A1058" s="292" t="s">
        <v>250</v>
      </c>
      <c r="B1058" s="293" t="s">
        <v>847</v>
      </c>
      <c r="C1058" s="293" t="s">
        <v>30</v>
      </c>
      <c r="D1058" s="293" t="s">
        <v>1212</v>
      </c>
      <c r="E1058" s="294">
        <v>470000</v>
      </c>
    </row>
    <row r="1059" spans="1:5" ht="38.25" x14ac:dyDescent="0.2">
      <c r="A1059" s="292" t="s">
        <v>232</v>
      </c>
      <c r="B1059" s="293" t="s">
        <v>847</v>
      </c>
      <c r="C1059" s="293" t="s">
        <v>30</v>
      </c>
      <c r="D1059" s="293" t="s">
        <v>370</v>
      </c>
      <c r="E1059" s="294">
        <v>470000</v>
      </c>
    </row>
    <row r="1060" spans="1:5" ht="76.5" x14ac:dyDescent="0.2">
      <c r="A1060" s="292" t="s">
        <v>990</v>
      </c>
      <c r="B1060" s="293" t="s">
        <v>989</v>
      </c>
      <c r="C1060" s="293" t="s">
        <v>1314</v>
      </c>
      <c r="D1060" s="293" t="s">
        <v>1314</v>
      </c>
      <c r="E1060" s="294">
        <v>1682096</v>
      </c>
    </row>
    <row r="1061" spans="1:5" ht="51" x14ac:dyDescent="0.2">
      <c r="A1061" s="292" t="s">
        <v>1501</v>
      </c>
      <c r="B1061" s="293" t="s">
        <v>989</v>
      </c>
      <c r="C1061" s="293" t="s">
        <v>290</v>
      </c>
      <c r="D1061" s="293" t="s">
        <v>1314</v>
      </c>
      <c r="E1061" s="294">
        <v>1682096</v>
      </c>
    </row>
    <row r="1062" spans="1:5" ht="25.5" x14ac:dyDescent="0.2">
      <c r="A1062" s="292" t="s">
        <v>1345</v>
      </c>
      <c r="B1062" s="293" t="s">
        <v>989</v>
      </c>
      <c r="C1062" s="293" t="s">
        <v>30</v>
      </c>
      <c r="D1062" s="293" t="s">
        <v>1314</v>
      </c>
      <c r="E1062" s="294">
        <v>1682096</v>
      </c>
    </row>
    <row r="1063" spans="1:5" x14ac:dyDescent="0.2">
      <c r="A1063" s="292" t="s">
        <v>250</v>
      </c>
      <c r="B1063" s="293" t="s">
        <v>989</v>
      </c>
      <c r="C1063" s="293" t="s">
        <v>30</v>
      </c>
      <c r="D1063" s="293" t="s">
        <v>1212</v>
      </c>
      <c r="E1063" s="294">
        <v>1682096</v>
      </c>
    </row>
    <row r="1064" spans="1:5" ht="38.25" x14ac:dyDescent="0.2">
      <c r="A1064" s="292" t="s">
        <v>232</v>
      </c>
      <c r="B1064" s="293" t="s">
        <v>989</v>
      </c>
      <c r="C1064" s="293" t="s">
        <v>30</v>
      </c>
      <c r="D1064" s="293" t="s">
        <v>370</v>
      </c>
      <c r="E1064" s="294">
        <v>1682096</v>
      </c>
    </row>
    <row r="1065" spans="1:5" ht="51" x14ac:dyDescent="0.2">
      <c r="A1065" s="292" t="s">
        <v>633</v>
      </c>
      <c r="B1065" s="293" t="s">
        <v>848</v>
      </c>
      <c r="C1065" s="293" t="s">
        <v>1314</v>
      </c>
      <c r="D1065" s="293" t="s">
        <v>1314</v>
      </c>
      <c r="E1065" s="294">
        <v>603720</v>
      </c>
    </row>
    <row r="1066" spans="1:5" ht="25.5" x14ac:dyDescent="0.2">
      <c r="A1066" s="292" t="s">
        <v>1502</v>
      </c>
      <c r="B1066" s="293" t="s">
        <v>848</v>
      </c>
      <c r="C1066" s="293" t="s">
        <v>1503</v>
      </c>
      <c r="D1066" s="293" t="s">
        <v>1314</v>
      </c>
      <c r="E1066" s="294">
        <v>603720</v>
      </c>
    </row>
    <row r="1067" spans="1:5" ht="25.5" x14ac:dyDescent="0.2">
      <c r="A1067" s="292" t="s">
        <v>1338</v>
      </c>
      <c r="B1067" s="293" t="s">
        <v>848</v>
      </c>
      <c r="C1067" s="293" t="s">
        <v>1339</v>
      </c>
      <c r="D1067" s="293" t="s">
        <v>1314</v>
      </c>
      <c r="E1067" s="294">
        <v>603720</v>
      </c>
    </row>
    <row r="1068" spans="1:5" x14ac:dyDescent="0.2">
      <c r="A1068" s="292" t="s">
        <v>250</v>
      </c>
      <c r="B1068" s="293" t="s">
        <v>848</v>
      </c>
      <c r="C1068" s="293" t="s">
        <v>1339</v>
      </c>
      <c r="D1068" s="293" t="s">
        <v>1212</v>
      </c>
      <c r="E1068" s="294">
        <v>603720</v>
      </c>
    </row>
    <row r="1069" spans="1:5" ht="38.25" x14ac:dyDescent="0.2">
      <c r="A1069" s="292" t="s">
        <v>232</v>
      </c>
      <c r="B1069" s="293" t="s">
        <v>848</v>
      </c>
      <c r="C1069" s="293" t="s">
        <v>1339</v>
      </c>
      <c r="D1069" s="293" t="s">
        <v>370</v>
      </c>
      <c r="E1069" s="294">
        <v>603720</v>
      </c>
    </row>
    <row r="1070" spans="1:5" ht="51" x14ac:dyDescent="0.2">
      <c r="A1070" s="292" t="s">
        <v>1029</v>
      </c>
      <c r="B1070" s="293" t="s">
        <v>1030</v>
      </c>
      <c r="C1070" s="293" t="s">
        <v>1314</v>
      </c>
      <c r="D1070" s="293" t="s">
        <v>1314</v>
      </c>
      <c r="E1070" s="294">
        <v>190430</v>
      </c>
    </row>
    <row r="1071" spans="1:5" ht="25.5" x14ac:dyDescent="0.2">
      <c r="A1071" s="292" t="s">
        <v>1502</v>
      </c>
      <c r="B1071" s="293" t="s">
        <v>1030</v>
      </c>
      <c r="C1071" s="293" t="s">
        <v>1503</v>
      </c>
      <c r="D1071" s="293" t="s">
        <v>1314</v>
      </c>
      <c r="E1071" s="294">
        <v>190430</v>
      </c>
    </row>
    <row r="1072" spans="1:5" ht="25.5" x14ac:dyDescent="0.2">
      <c r="A1072" s="292" t="s">
        <v>1338</v>
      </c>
      <c r="B1072" s="293" t="s">
        <v>1030</v>
      </c>
      <c r="C1072" s="293" t="s">
        <v>1339</v>
      </c>
      <c r="D1072" s="293" t="s">
        <v>1314</v>
      </c>
      <c r="E1072" s="294">
        <v>190430</v>
      </c>
    </row>
    <row r="1073" spans="1:5" x14ac:dyDescent="0.2">
      <c r="A1073" s="292" t="s">
        <v>250</v>
      </c>
      <c r="B1073" s="293" t="s">
        <v>1030</v>
      </c>
      <c r="C1073" s="293" t="s">
        <v>1339</v>
      </c>
      <c r="D1073" s="293" t="s">
        <v>1212</v>
      </c>
      <c r="E1073" s="294">
        <v>190430</v>
      </c>
    </row>
    <row r="1074" spans="1:5" ht="38.25" x14ac:dyDescent="0.2">
      <c r="A1074" s="292" t="s">
        <v>232</v>
      </c>
      <c r="B1074" s="293" t="s">
        <v>1030</v>
      </c>
      <c r="C1074" s="293" t="s">
        <v>1339</v>
      </c>
      <c r="D1074" s="293" t="s">
        <v>370</v>
      </c>
      <c r="E1074" s="294">
        <v>190430</v>
      </c>
    </row>
    <row r="1075" spans="1:5" ht="63.75" x14ac:dyDescent="0.2">
      <c r="A1075" s="292" t="s">
        <v>578</v>
      </c>
      <c r="B1075" s="293" t="s">
        <v>849</v>
      </c>
      <c r="C1075" s="293" t="s">
        <v>1314</v>
      </c>
      <c r="D1075" s="293" t="s">
        <v>1314</v>
      </c>
      <c r="E1075" s="294">
        <v>618476</v>
      </c>
    </row>
    <row r="1076" spans="1:5" ht="51" x14ac:dyDescent="0.2">
      <c r="A1076" s="292" t="s">
        <v>1501</v>
      </c>
      <c r="B1076" s="293" t="s">
        <v>849</v>
      </c>
      <c r="C1076" s="293" t="s">
        <v>290</v>
      </c>
      <c r="D1076" s="293" t="s">
        <v>1314</v>
      </c>
      <c r="E1076" s="294">
        <v>618476</v>
      </c>
    </row>
    <row r="1077" spans="1:5" ht="25.5" x14ac:dyDescent="0.2">
      <c r="A1077" s="292" t="s">
        <v>1345</v>
      </c>
      <c r="B1077" s="293" t="s">
        <v>849</v>
      </c>
      <c r="C1077" s="293" t="s">
        <v>30</v>
      </c>
      <c r="D1077" s="293" t="s">
        <v>1314</v>
      </c>
      <c r="E1077" s="294">
        <v>618476</v>
      </c>
    </row>
    <row r="1078" spans="1:5" x14ac:dyDescent="0.2">
      <c r="A1078" s="292" t="s">
        <v>250</v>
      </c>
      <c r="B1078" s="293" t="s">
        <v>849</v>
      </c>
      <c r="C1078" s="293" t="s">
        <v>30</v>
      </c>
      <c r="D1078" s="293" t="s">
        <v>1212</v>
      </c>
      <c r="E1078" s="294">
        <v>618476</v>
      </c>
    </row>
    <row r="1079" spans="1:5" ht="38.25" x14ac:dyDescent="0.2">
      <c r="A1079" s="292" t="s">
        <v>232</v>
      </c>
      <c r="B1079" s="293" t="s">
        <v>849</v>
      </c>
      <c r="C1079" s="293" t="s">
        <v>30</v>
      </c>
      <c r="D1079" s="293" t="s">
        <v>370</v>
      </c>
      <c r="E1079" s="294">
        <v>618476</v>
      </c>
    </row>
    <row r="1080" spans="1:5" ht="76.5" x14ac:dyDescent="0.2">
      <c r="A1080" s="292" t="s">
        <v>1564</v>
      </c>
      <c r="B1080" s="293" t="s">
        <v>1565</v>
      </c>
      <c r="C1080" s="293" t="s">
        <v>1314</v>
      </c>
      <c r="D1080" s="293" t="s">
        <v>1314</v>
      </c>
      <c r="E1080" s="294">
        <v>23000</v>
      </c>
    </row>
    <row r="1081" spans="1:5" ht="25.5" x14ac:dyDescent="0.2">
      <c r="A1081" s="292" t="s">
        <v>1502</v>
      </c>
      <c r="B1081" s="293" t="s">
        <v>1565</v>
      </c>
      <c r="C1081" s="293" t="s">
        <v>1503</v>
      </c>
      <c r="D1081" s="293" t="s">
        <v>1314</v>
      </c>
      <c r="E1081" s="294">
        <v>23000</v>
      </c>
    </row>
    <row r="1082" spans="1:5" ht="25.5" x14ac:dyDescent="0.2">
      <c r="A1082" s="292" t="s">
        <v>1338</v>
      </c>
      <c r="B1082" s="293" t="s">
        <v>1565</v>
      </c>
      <c r="C1082" s="293" t="s">
        <v>1339</v>
      </c>
      <c r="D1082" s="293" t="s">
        <v>1314</v>
      </c>
      <c r="E1082" s="294">
        <v>23000</v>
      </c>
    </row>
    <row r="1083" spans="1:5" x14ac:dyDescent="0.2">
      <c r="A1083" s="292" t="s">
        <v>250</v>
      </c>
      <c r="B1083" s="293" t="s">
        <v>1565</v>
      </c>
      <c r="C1083" s="293" t="s">
        <v>1339</v>
      </c>
      <c r="D1083" s="293" t="s">
        <v>1212</v>
      </c>
      <c r="E1083" s="294">
        <v>23000</v>
      </c>
    </row>
    <row r="1084" spans="1:5" ht="38.25" x14ac:dyDescent="0.2">
      <c r="A1084" s="292" t="s">
        <v>232</v>
      </c>
      <c r="B1084" s="293" t="s">
        <v>1565</v>
      </c>
      <c r="C1084" s="293" t="s">
        <v>1339</v>
      </c>
      <c r="D1084" s="293" t="s">
        <v>370</v>
      </c>
      <c r="E1084" s="294">
        <v>23000</v>
      </c>
    </row>
    <row r="1085" spans="1:5" ht="25.5" x14ac:dyDescent="0.2">
      <c r="A1085" s="292" t="s">
        <v>534</v>
      </c>
      <c r="B1085" s="293" t="s">
        <v>1063</v>
      </c>
      <c r="C1085" s="293" t="s">
        <v>1314</v>
      </c>
      <c r="D1085" s="293" t="s">
        <v>1314</v>
      </c>
      <c r="E1085" s="294">
        <v>1850900</v>
      </c>
    </row>
    <row r="1086" spans="1:5" x14ac:dyDescent="0.2">
      <c r="A1086" s="292" t="s">
        <v>535</v>
      </c>
      <c r="B1086" s="293" t="s">
        <v>1064</v>
      </c>
      <c r="C1086" s="293" t="s">
        <v>1314</v>
      </c>
      <c r="D1086" s="293" t="s">
        <v>1314</v>
      </c>
      <c r="E1086" s="294">
        <v>18700</v>
      </c>
    </row>
    <row r="1087" spans="1:5" ht="76.5" x14ac:dyDescent="0.2">
      <c r="A1087" s="292" t="s">
        <v>1490</v>
      </c>
      <c r="B1087" s="293" t="s">
        <v>1491</v>
      </c>
      <c r="C1087" s="293" t="s">
        <v>1314</v>
      </c>
      <c r="D1087" s="293" t="s">
        <v>1314</v>
      </c>
      <c r="E1087" s="294">
        <v>8700</v>
      </c>
    </row>
    <row r="1088" spans="1:5" x14ac:dyDescent="0.2">
      <c r="A1088" s="292" t="s">
        <v>1504</v>
      </c>
      <c r="B1088" s="293" t="s">
        <v>1491</v>
      </c>
      <c r="C1088" s="293" t="s">
        <v>1505</v>
      </c>
      <c r="D1088" s="293" t="s">
        <v>1314</v>
      </c>
      <c r="E1088" s="294">
        <v>8700</v>
      </c>
    </row>
    <row r="1089" spans="1:5" ht="38.25" x14ac:dyDescent="0.2">
      <c r="A1089" s="292" t="s">
        <v>1348</v>
      </c>
      <c r="B1089" s="293" t="s">
        <v>1491</v>
      </c>
      <c r="C1089" s="293" t="s">
        <v>394</v>
      </c>
      <c r="D1089" s="293" t="s">
        <v>1314</v>
      </c>
      <c r="E1089" s="294">
        <v>8700</v>
      </c>
    </row>
    <row r="1090" spans="1:5" x14ac:dyDescent="0.2">
      <c r="A1090" s="292" t="s">
        <v>190</v>
      </c>
      <c r="B1090" s="293" t="s">
        <v>1491</v>
      </c>
      <c r="C1090" s="293" t="s">
        <v>394</v>
      </c>
      <c r="D1090" s="293" t="s">
        <v>1218</v>
      </c>
      <c r="E1090" s="294">
        <v>8700</v>
      </c>
    </row>
    <row r="1091" spans="1:5" x14ac:dyDescent="0.2">
      <c r="A1091" s="292" t="s">
        <v>191</v>
      </c>
      <c r="B1091" s="293" t="s">
        <v>1491</v>
      </c>
      <c r="C1091" s="293" t="s">
        <v>394</v>
      </c>
      <c r="D1091" s="293" t="s">
        <v>392</v>
      </c>
      <c r="E1091" s="294">
        <v>8700</v>
      </c>
    </row>
    <row r="1092" spans="1:5" ht="51" x14ac:dyDescent="0.2">
      <c r="A1092" s="292" t="s">
        <v>2035</v>
      </c>
      <c r="B1092" s="293" t="s">
        <v>2036</v>
      </c>
      <c r="C1092" s="293" t="s">
        <v>1314</v>
      </c>
      <c r="D1092" s="293" t="s">
        <v>1314</v>
      </c>
      <c r="E1092" s="294">
        <v>10000</v>
      </c>
    </row>
    <row r="1093" spans="1:5" ht="25.5" x14ac:dyDescent="0.2">
      <c r="A1093" s="292" t="s">
        <v>1502</v>
      </c>
      <c r="B1093" s="293" t="s">
        <v>2036</v>
      </c>
      <c r="C1093" s="293" t="s">
        <v>1503</v>
      </c>
      <c r="D1093" s="293" t="s">
        <v>1314</v>
      </c>
      <c r="E1093" s="294">
        <v>10000</v>
      </c>
    </row>
    <row r="1094" spans="1:5" ht="25.5" x14ac:dyDescent="0.2">
      <c r="A1094" s="292" t="s">
        <v>1338</v>
      </c>
      <c r="B1094" s="293" t="s">
        <v>2036</v>
      </c>
      <c r="C1094" s="293" t="s">
        <v>1339</v>
      </c>
      <c r="D1094" s="293" t="s">
        <v>1314</v>
      </c>
      <c r="E1094" s="294">
        <v>10000</v>
      </c>
    </row>
    <row r="1095" spans="1:5" x14ac:dyDescent="0.2">
      <c r="A1095" s="292" t="s">
        <v>190</v>
      </c>
      <c r="B1095" s="293" t="s">
        <v>2036</v>
      </c>
      <c r="C1095" s="293" t="s">
        <v>1339</v>
      </c>
      <c r="D1095" s="293" t="s">
        <v>1218</v>
      </c>
      <c r="E1095" s="294">
        <v>10000</v>
      </c>
    </row>
    <row r="1096" spans="1:5" x14ac:dyDescent="0.2">
      <c r="A1096" s="292" t="s">
        <v>191</v>
      </c>
      <c r="B1096" s="293" t="s">
        <v>2036</v>
      </c>
      <c r="C1096" s="293" t="s">
        <v>1339</v>
      </c>
      <c r="D1096" s="293" t="s">
        <v>392</v>
      </c>
      <c r="E1096" s="294">
        <v>10000</v>
      </c>
    </row>
    <row r="1097" spans="1:5" x14ac:dyDescent="0.2">
      <c r="A1097" s="292" t="s">
        <v>536</v>
      </c>
      <c r="B1097" s="293" t="s">
        <v>1065</v>
      </c>
      <c r="C1097" s="293" t="s">
        <v>1314</v>
      </c>
      <c r="D1097" s="293" t="s">
        <v>1314</v>
      </c>
      <c r="E1097" s="294">
        <v>93000</v>
      </c>
    </row>
    <row r="1098" spans="1:5" ht="51" x14ac:dyDescent="0.2">
      <c r="A1098" s="292" t="s">
        <v>1315</v>
      </c>
      <c r="B1098" s="293" t="s">
        <v>1316</v>
      </c>
      <c r="C1098" s="293" t="s">
        <v>1314</v>
      </c>
      <c r="D1098" s="293" t="s">
        <v>1314</v>
      </c>
      <c r="E1098" s="294">
        <v>93000</v>
      </c>
    </row>
    <row r="1099" spans="1:5" ht="25.5" x14ac:dyDescent="0.2">
      <c r="A1099" s="292" t="s">
        <v>1502</v>
      </c>
      <c r="B1099" s="293" t="s">
        <v>1316</v>
      </c>
      <c r="C1099" s="293" t="s">
        <v>1503</v>
      </c>
      <c r="D1099" s="293" t="s">
        <v>1314</v>
      </c>
      <c r="E1099" s="294">
        <v>93000</v>
      </c>
    </row>
    <row r="1100" spans="1:5" ht="25.5" x14ac:dyDescent="0.2">
      <c r="A1100" s="292" t="s">
        <v>1338</v>
      </c>
      <c r="B1100" s="293" t="s">
        <v>1316</v>
      </c>
      <c r="C1100" s="293" t="s">
        <v>1339</v>
      </c>
      <c r="D1100" s="293" t="s">
        <v>1314</v>
      </c>
      <c r="E1100" s="294">
        <v>93000</v>
      </c>
    </row>
    <row r="1101" spans="1:5" x14ac:dyDescent="0.2">
      <c r="A1101" s="292" t="s">
        <v>190</v>
      </c>
      <c r="B1101" s="293" t="s">
        <v>1316</v>
      </c>
      <c r="C1101" s="293" t="s">
        <v>1339</v>
      </c>
      <c r="D1101" s="293" t="s">
        <v>1218</v>
      </c>
      <c r="E1101" s="294">
        <v>93000</v>
      </c>
    </row>
    <row r="1102" spans="1:5" x14ac:dyDescent="0.2">
      <c r="A1102" s="292" t="s">
        <v>152</v>
      </c>
      <c r="B1102" s="293" t="s">
        <v>1316</v>
      </c>
      <c r="C1102" s="293" t="s">
        <v>1339</v>
      </c>
      <c r="D1102" s="293" t="s">
        <v>400</v>
      </c>
      <c r="E1102" s="294">
        <v>93000</v>
      </c>
    </row>
    <row r="1103" spans="1:5" ht="25.5" x14ac:dyDescent="0.2">
      <c r="A1103" s="292" t="s">
        <v>488</v>
      </c>
      <c r="B1103" s="293" t="s">
        <v>1066</v>
      </c>
      <c r="C1103" s="293" t="s">
        <v>1314</v>
      </c>
      <c r="D1103" s="293" t="s">
        <v>1314</v>
      </c>
      <c r="E1103" s="294">
        <v>1739200</v>
      </c>
    </row>
    <row r="1104" spans="1:5" ht="76.5" x14ac:dyDescent="0.2">
      <c r="A1104" s="292" t="s">
        <v>395</v>
      </c>
      <c r="B1104" s="293" t="s">
        <v>726</v>
      </c>
      <c r="C1104" s="293" t="s">
        <v>1314</v>
      </c>
      <c r="D1104" s="293" t="s">
        <v>1314</v>
      </c>
      <c r="E1104" s="294">
        <v>1739200</v>
      </c>
    </row>
    <row r="1105" spans="1:5" ht="51" x14ac:dyDescent="0.2">
      <c r="A1105" s="292" t="s">
        <v>1501</v>
      </c>
      <c r="B1105" s="293" t="s">
        <v>726</v>
      </c>
      <c r="C1105" s="293" t="s">
        <v>290</v>
      </c>
      <c r="D1105" s="293" t="s">
        <v>1314</v>
      </c>
      <c r="E1105" s="294">
        <v>1677100</v>
      </c>
    </row>
    <row r="1106" spans="1:5" ht="25.5" x14ac:dyDescent="0.2">
      <c r="A1106" s="292" t="s">
        <v>1345</v>
      </c>
      <c r="B1106" s="293" t="s">
        <v>726</v>
      </c>
      <c r="C1106" s="293" t="s">
        <v>30</v>
      </c>
      <c r="D1106" s="293" t="s">
        <v>1314</v>
      </c>
      <c r="E1106" s="294">
        <v>1677100</v>
      </c>
    </row>
    <row r="1107" spans="1:5" x14ac:dyDescent="0.2">
      <c r="A1107" s="292" t="s">
        <v>190</v>
      </c>
      <c r="B1107" s="293" t="s">
        <v>726</v>
      </c>
      <c r="C1107" s="293" t="s">
        <v>30</v>
      </c>
      <c r="D1107" s="293" t="s">
        <v>1218</v>
      </c>
      <c r="E1107" s="294">
        <v>1677100</v>
      </c>
    </row>
    <row r="1108" spans="1:5" x14ac:dyDescent="0.2">
      <c r="A1108" s="292" t="s">
        <v>191</v>
      </c>
      <c r="B1108" s="293" t="s">
        <v>726</v>
      </c>
      <c r="C1108" s="293" t="s">
        <v>30</v>
      </c>
      <c r="D1108" s="293" t="s">
        <v>392</v>
      </c>
      <c r="E1108" s="294">
        <v>1677100</v>
      </c>
    </row>
    <row r="1109" spans="1:5" ht="25.5" x14ac:dyDescent="0.2">
      <c r="A1109" s="292" t="s">
        <v>1502</v>
      </c>
      <c r="B1109" s="293" t="s">
        <v>726</v>
      </c>
      <c r="C1109" s="293" t="s">
        <v>1503</v>
      </c>
      <c r="D1109" s="293" t="s">
        <v>1314</v>
      </c>
      <c r="E1109" s="294">
        <v>62100</v>
      </c>
    </row>
    <row r="1110" spans="1:5" ht="25.5" x14ac:dyDescent="0.2">
      <c r="A1110" s="292" t="s">
        <v>1338</v>
      </c>
      <c r="B1110" s="293" t="s">
        <v>726</v>
      </c>
      <c r="C1110" s="293" t="s">
        <v>1339</v>
      </c>
      <c r="D1110" s="293" t="s">
        <v>1314</v>
      </c>
      <c r="E1110" s="294">
        <v>62100</v>
      </c>
    </row>
    <row r="1111" spans="1:5" x14ac:dyDescent="0.2">
      <c r="A1111" s="292" t="s">
        <v>190</v>
      </c>
      <c r="B1111" s="293" t="s">
        <v>726</v>
      </c>
      <c r="C1111" s="293" t="s">
        <v>1339</v>
      </c>
      <c r="D1111" s="293" t="s">
        <v>1218</v>
      </c>
      <c r="E1111" s="294">
        <v>62100</v>
      </c>
    </row>
    <row r="1112" spans="1:5" x14ac:dyDescent="0.2">
      <c r="A1112" s="292" t="s">
        <v>191</v>
      </c>
      <c r="B1112" s="293" t="s">
        <v>726</v>
      </c>
      <c r="C1112" s="293" t="s">
        <v>1339</v>
      </c>
      <c r="D1112" s="293" t="s">
        <v>392</v>
      </c>
      <c r="E1112" s="294">
        <v>62100</v>
      </c>
    </row>
    <row r="1113" spans="1:5" ht="38.25" x14ac:dyDescent="0.2">
      <c r="A1113" s="292" t="s">
        <v>2048</v>
      </c>
      <c r="B1113" s="293" t="s">
        <v>2049</v>
      </c>
      <c r="C1113" s="293" t="s">
        <v>1314</v>
      </c>
      <c r="D1113" s="293" t="s">
        <v>1314</v>
      </c>
      <c r="E1113" s="294">
        <v>250000</v>
      </c>
    </row>
    <row r="1114" spans="1:5" ht="25.5" x14ac:dyDescent="0.2">
      <c r="A1114" s="292" t="s">
        <v>2050</v>
      </c>
      <c r="B1114" s="293" t="s">
        <v>2051</v>
      </c>
      <c r="C1114" s="293" t="s">
        <v>1314</v>
      </c>
      <c r="D1114" s="293" t="s">
        <v>1314</v>
      </c>
      <c r="E1114" s="294">
        <v>150000</v>
      </c>
    </row>
    <row r="1115" spans="1:5" ht="76.5" x14ac:dyDescent="0.2">
      <c r="A1115" s="292" t="s">
        <v>2052</v>
      </c>
      <c r="B1115" s="293" t="s">
        <v>2053</v>
      </c>
      <c r="C1115" s="293" t="s">
        <v>1314</v>
      </c>
      <c r="D1115" s="293" t="s">
        <v>1314</v>
      </c>
      <c r="E1115" s="294">
        <v>150000</v>
      </c>
    </row>
    <row r="1116" spans="1:5" ht="25.5" x14ac:dyDescent="0.2">
      <c r="A1116" s="292" t="s">
        <v>1510</v>
      </c>
      <c r="B1116" s="293" t="s">
        <v>2053</v>
      </c>
      <c r="C1116" s="293" t="s">
        <v>1511</v>
      </c>
      <c r="D1116" s="293" t="s">
        <v>1314</v>
      </c>
      <c r="E1116" s="294">
        <v>150000</v>
      </c>
    </row>
    <row r="1117" spans="1:5" ht="25.5" x14ac:dyDescent="0.2">
      <c r="A1117" s="292" t="s">
        <v>2054</v>
      </c>
      <c r="B1117" s="293" t="s">
        <v>2053</v>
      </c>
      <c r="C1117" s="293" t="s">
        <v>2055</v>
      </c>
      <c r="D1117" s="293" t="s">
        <v>1314</v>
      </c>
      <c r="E1117" s="294">
        <v>150000</v>
      </c>
    </row>
    <row r="1118" spans="1:5" x14ac:dyDescent="0.2">
      <c r="A1118" s="292" t="s">
        <v>266</v>
      </c>
      <c r="B1118" s="293" t="s">
        <v>2053</v>
      </c>
      <c r="C1118" s="293" t="s">
        <v>2055</v>
      </c>
      <c r="D1118" s="293" t="s">
        <v>1226</v>
      </c>
      <c r="E1118" s="294">
        <v>150000</v>
      </c>
    </row>
    <row r="1119" spans="1:5" x14ac:dyDescent="0.2">
      <c r="A1119" s="292" t="s">
        <v>222</v>
      </c>
      <c r="B1119" s="293" t="s">
        <v>2053</v>
      </c>
      <c r="C1119" s="293" t="s">
        <v>2055</v>
      </c>
      <c r="D1119" s="293" t="s">
        <v>432</v>
      </c>
      <c r="E1119" s="294">
        <v>150000</v>
      </c>
    </row>
    <row r="1120" spans="1:5" ht="38.25" x14ac:dyDescent="0.2">
      <c r="A1120" s="292" t="s">
        <v>2066</v>
      </c>
      <c r="B1120" s="293" t="s">
        <v>2067</v>
      </c>
      <c r="C1120" s="293" t="s">
        <v>1314</v>
      </c>
      <c r="D1120" s="293" t="s">
        <v>1314</v>
      </c>
      <c r="E1120" s="294">
        <v>100000</v>
      </c>
    </row>
    <row r="1121" spans="1:5" ht="102" x14ac:dyDescent="0.2">
      <c r="A1121" s="292" t="s">
        <v>2068</v>
      </c>
      <c r="B1121" s="293" t="s">
        <v>2069</v>
      </c>
      <c r="C1121" s="293" t="s">
        <v>1314</v>
      </c>
      <c r="D1121" s="293" t="s">
        <v>1314</v>
      </c>
      <c r="E1121" s="294">
        <v>50000</v>
      </c>
    </row>
    <row r="1122" spans="1:5" ht="25.5" x14ac:dyDescent="0.2">
      <c r="A1122" s="292" t="s">
        <v>1502</v>
      </c>
      <c r="B1122" s="293" t="s">
        <v>2069</v>
      </c>
      <c r="C1122" s="293" t="s">
        <v>1503</v>
      </c>
      <c r="D1122" s="293" t="s">
        <v>1314</v>
      </c>
      <c r="E1122" s="294">
        <v>50000</v>
      </c>
    </row>
    <row r="1123" spans="1:5" ht="25.5" x14ac:dyDescent="0.2">
      <c r="A1123" s="292" t="s">
        <v>1338</v>
      </c>
      <c r="B1123" s="293" t="s">
        <v>2069</v>
      </c>
      <c r="C1123" s="293" t="s">
        <v>1339</v>
      </c>
      <c r="D1123" s="293" t="s">
        <v>1314</v>
      </c>
      <c r="E1123" s="294">
        <v>50000</v>
      </c>
    </row>
    <row r="1124" spans="1:5" x14ac:dyDescent="0.2">
      <c r="A1124" s="292" t="s">
        <v>266</v>
      </c>
      <c r="B1124" s="293" t="s">
        <v>2069</v>
      </c>
      <c r="C1124" s="293" t="s">
        <v>1339</v>
      </c>
      <c r="D1124" s="293" t="s">
        <v>1226</v>
      </c>
      <c r="E1124" s="294">
        <v>50000</v>
      </c>
    </row>
    <row r="1125" spans="1:5" x14ac:dyDescent="0.2">
      <c r="A1125" s="292" t="s">
        <v>222</v>
      </c>
      <c r="B1125" s="293" t="s">
        <v>2069</v>
      </c>
      <c r="C1125" s="293" t="s">
        <v>1339</v>
      </c>
      <c r="D1125" s="293" t="s">
        <v>432</v>
      </c>
      <c r="E1125" s="294">
        <v>50000</v>
      </c>
    </row>
    <row r="1126" spans="1:5" ht="89.25" x14ac:dyDescent="0.2">
      <c r="A1126" s="292" t="s">
        <v>2070</v>
      </c>
      <c r="B1126" s="293" t="s">
        <v>2071</v>
      </c>
      <c r="C1126" s="293" t="s">
        <v>1314</v>
      </c>
      <c r="D1126" s="293" t="s">
        <v>1314</v>
      </c>
      <c r="E1126" s="294">
        <v>50000</v>
      </c>
    </row>
    <row r="1127" spans="1:5" ht="25.5" x14ac:dyDescent="0.2">
      <c r="A1127" s="292" t="s">
        <v>1502</v>
      </c>
      <c r="B1127" s="293" t="s">
        <v>2071</v>
      </c>
      <c r="C1127" s="293" t="s">
        <v>1503</v>
      </c>
      <c r="D1127" s="293" t="s">
        <v>1314</v>
      </c>
      <c r="E1127" s="294">
        <v>50000</v>
      </c>
    </row>
    <row r="1128" spans="1:5" ht="25.5" x14ac:dyDescent="0.2">
      <c r="A1128" s="292" t="s">
        <v>1338</v>
      </c>
      <c r="B1128" s="293" t="s">
        <v>2071</v>
      </c>
      <c r="C1128" s="293" t="s">
        <v>1339</v>
      </c>
      <c r="D1128" s="293" t="s">
        <v>1314</v>
      </c>
      <c r="E1128" s="294">
        <v>50000</v>
      </c>
    </row>
    <row r="1129" spans="1:5" x14ac:dyDescent="0.2">
      <c r="A1129" s="292" t="s">
        <v>266</v>
      </c>
      <c r="B1129" s="293" t="s">
        <v>2071</v>
      </c>
      <c r="C1129" s="293" t="s">
        <v>1339</v>
      </c>
      <c r="D1129" s="293" t="s">
        <v>1226</v>
      </c>
      <c r="E1129" s="294">
        <v>50000</v>
      </c>
    </row>
    <row r="1130" spans="1:5" x14ac:dyDescent="0.2">
      <c r="A1130" s="292" t="s">
        <v>222</v>
      </c>
      <c r="B1130" s="293" t="s">
        <v>2071</v>
      </c>
      <c r="C1130" s="293" t="s">
        <v>1339</v>
      </c>
      <c r="D1130" s="293" t="s">
        <v>432</v>
      </c>
      <c r="E1130" s="294">
        <v>50000</v>
      </c>
    </row>
    <row r="1131" spans="1:5" ht="25.5" x14ac:dyDescent="0.2">
      <c r="A1131" s="292" t="s">
        <v>646</v>
      </c>
      <c r="B1131" s="293" t="s">
        <v>1067</v>
      </c>
      <c r="C1131" s="293" t="s">
        <v>1314</v>
      </c>
      <c r="D1131" s="293" t="s">
        <v>1314</v>
      </c>
      <c r="E1131" s="294">
        <v>78786000</v>
      </c>
    </row>
    <row r="1132" spans="1:5" ht="38.25" x14ac:dyDescent="0.2">
      <c r="A1132" s="292" t="s">
        <v>362</v>
      </c>
      <c r="B1132" s="293" t="s">
        <v>1068</v>
      </c>
      <c r="C1132" s="293" t="s">
        <v>1314</v>
      </c>
      <c r="D1132" s="293" t="s">
        <v>1314</v>
      </c>
      <c r="E1132" s="294">
        <v>2569341</v>
      </c>
    </row>
    <row r="1133" spans="1:5" ht="38.25" x14ac:dyDescent="0.2">
      <c r="A1133" s="292" t="s">
        <v>362</v>
      </c>
      <c r="B1133" s="293" t="s">
        <v>701</v>
      </c>
      <c r="C1133" s="293" t="s">
        <v>1314</v>
      </c>
      <c r="D1133" s="293" t="s">
        <v>1314</v>
      </c>
      <c r="E1133" s="294">
        <v>2469341</v>
      </c>
    </row>
    <row r="1134" spans="1:5" ht="51" x14ac:dyDescent="0.2">
      <c r="A1134" s="292" t="s">
        <v>1501</v>
      </c>
      <c r="B1134" s="293" t="s">
        <v>701</v>
      </c>
      <c r="C1134" s="293" t="s">
        <v>290</v>
      </c>
      <c r="D1134" s="293" t="s">
        <v>1314</v>
      </c>
      <c r="E1134" s="294">
        <v>2469341</v>
      </c>
    </row>
    <row r="1135" spans="1:5" ht="25.5" x14ac:dyDescent="0.2">
      <c r="A1135" s="292" t="s">
        <v>1345</v>
      </c>
      <c r="B1135" s="293" t="s">
        <v>701</v>
      </c>
      <c r="C1135" s="293" t="s">
        <v>30</v>
      </c>
      <c r="D1135" s="293" t="s">
        <v>1314</v>
      </c>
      <c r="E1135" s="294">
        <v>2469341</v>
      </c>
    </row>
    <row r="1136" spans="1:5" x14ac:dyDescent="0.2">
      <c r="A1136" s="292" t="s">
        <v>250</v>
      </c>
      <c r="B1136" s="293" t="s">
        <v>701</v>
      </c>
      <c r="C1136" s="293" t="s">
        <v>30</v>
      </c>
      <c r="D1136" s="293" t="s">
        <v>1212</v>
      </c>
      <c r="E1136" s="294">
        <v>2469341</v>
      </c>
    </row>
    <row r="1137" spans="1:5" ht="25.5" x14ac:dyDescent="0.2">
      <c r="A1137" s="292" t="s">
        <v>1489</v>
      </c>
      <c r="B1137" s="293" t="s">
        <v>701</v>
      </c>
      <c r="C1137" s="293" t="s">
        <v>30</v>
      </c>
      <c r="D1137" s="293" t="s">
        <v>361</v>
      </c>
      <c r="E1137" s="294">
        <v>2469341</v>
      </c>
    </row>
    <row r="1138" spans="1:5" ht="51" x14ac:dyDescent="0.2">
      <c r="A1138" s="292" t="s">
        <v>2022</v>
      </c>
      <c r="B1138" s="293" t="s">
        <v>2023</v>
      </c>
      <c r="C1138" s="293" t="s">
        <v>1314</v>
      </c>
      <c r="D1138" s="293" t="s">
        <v>1314</v>
      </c>
      <c r="E1138" s="294">
        <v>100000</v>
      </c>
    </row>
    <row r="1139" spans="1:5" ht="51" x14ac:dyDescent="0.2">
      <c r="A1139" s="292" t="s">
        <v>1501</v>
      </c>
      <c r="B1139" s="293" t="s">
        <v>2023</v>
      </c>
      <c r="C1139" s="293" t="s">
        <v>290</v>
      </c>
      <c r="D1139" s="293" t="s">
        <v>1314</v>
      </c>
      <c r="E1139" s="294">
        <v>100000</v>
      </c>
    </row>
    <row r="1140" spans="1:5" ht="25.5" x14ac:dyDescent="0.2">
      <c r="A1140" s="292" t="s">
        <v>1345</v>
      </c>
      <c r="B1140" s="293" t="s">
        <v>2023</v>
      </c>
      <c r="C1140" s="293" t="s">
        <v>30</v>
      </c>
      <c r="D1140" s="293" t="s">
        <v>1314</v>
      </c>
      <c r="E1140" s="294">
        <v>100000</v>
      </c>
    </row>
    <row r="1141" spans="1:5" x14ac:dyDescent="0.2">
      <c r="A1141" s="292" t="s">
        <v>250</v>
      </c>
      <c r="B1141" s="293" t="s">
        <v>2023</v>
      </c>
      <c r="C1141" s="293" t="s">
        <v>30</v>
      </c>
      <c r="D1141" s="293" t="s">
        <v>1212</v>
      </c>
      <c r="E1141" s="294">
        <v>100000</v>
      </c>
    </row>
    <row r="1142" spans="1:5" ht="25.5" x14ac:dyDescent="0.2">
      <c r="A1142" s="292" t="s">
        <v>1489</v>
      </c>
      <c r="B1142" s="293" t="s">
        <v>2023</v>
      </c>
      <c r="C1142" s="293" t="s">
        <v>30</v>
      </c>
      <c r="D1142" s="293" t="s">
        <v>361</v>
      </c>
      <c r="E1142" s="294">
        <v>100000</v>
      </c>
    </row>
    <row r="1143" spans="1:5" ht="38.25" x14ac:dyDescent="0.2">
      <c r="A1143" s="292" t="s">
        <v>647</v>
      </c>
      <c r="B1143" s="293" t="s">
        <v>1069</v>
      </c>
      <c r="C1143" s="293" t="s">
        <v>1314</v>
      </c>
      <c r="D1143" s="293" t="s">
        <v>1314</v>
      </c>
      <c r="E1143" s="294">
        <v>71129486</v>
      </c>
    </row>
    <row r="1144" spans="1:5" ht="51" x14ac:dyDescent="0.2">
      <c r="A1144" s="292" t="s">
        <v>1533</v>
      </c>
      <c r="B1144" s="293" t="s">
        <v>1534</v>
      </c>
      <c r="C1144" s="293" t="s">
        <v>1314</v>
      </c>
      <c r="D1144" s="293" t="s">
        <v>1314</v>
      </c>
      <c r="E1144" s="294">
        <v>906300</v>
      </c>
    </row>
    <row r="1145" spans="1:5" ht="51" x14ac:dyDescent="0.2">
      <c r="A1145" s="292" t="s">
        <v>1501</v>
      </c>
      <c r="B1145" s="293" t="s">
        <v>1534</v>
      </c>
      <c r="C1145" s="293" t="s">
        <v>290</v>
      </c>
      <c r="D1145" s="293" t="s">
        <v>1314</v>
      </c>
      <c r="E1145" s="294">
        <v>896300</v>
      </c>
    </row>
    <row r="1146" spans="1:5" ht="25.5" x14ac:dyDescent="0.2">
      <c r="A1146" s="292" t="s">
        <v>1345</v>
      </c>
      <c r="B1146" s="293" t="s">
        <v>1534</v>
      </c>
      <c r="C1146" s="293" t="s">
        <v>30</v>
      </c>
      <c r="D1146" s="293" t="s">
        <v>1314</v>
      </c>
      <c r="E1146" s="294">
        <v>896300</v>
      </c>
    </row>
    <row r="1147" spans="1:5" x14ac:dyDescent="0.2">
      <c r="A1147" s="292" t="s">
        <v>148</v>
      </c>
      <c r="B1147" s="293" t="s">
        <v>1534</v>
      </c>
      <c r="C1147" s="293" t="s">
        <v>30</v>
      </c>
      <c r="D1147" s="293" t="s">
        <v>1221</v>
      </c>
      <c r="E1147" s="294">
        <v>896300</v>
      </c>
    </row>
    <row r="1148" spans="1:5" x14ac:dyDescent="0.2">
      <c r="A1148" s="292" t="s">
        <v>65</v>
      </c>
      <c r="B1148" s="293" t="s">
        <v>1534</v>
      </c>
      <c r="C1148" s="293" t="s">
        <v>30</v>
      </c>
      <c r="D1148" s="293" t="s">
        <v>434</v>
      </c>
      <c r="E1148" s="294">
        <v>896300</v>
      </c>
    </row>
    <row r="1149" spans="1:5" ht="25.5" x14ac:dyDescent="0.2">
      <c r="A1149" s="292" t="s">
        <v>1502</v>
      </c>
      <c r="B1149" s="293" t="s">
        <v>1534</v>
      </c>
      <c r="C1149" s="293" t="s">
        <v>1503</v>
      </c>
      <c r="D1149" s="293" t="s">
        <v>1314</v>
      </c>
      <c r="E1149" s="294">
        <v>10000</v>
      </c>
    </row>
    <row r="1150" spans="1:5" ht="25.5" x14ac:dyDescent="0.2">
      <c r="A1150" s="292" t="s">
        <v>1338</v>
      </c>
      <c r="B1150" s="293" t="s">
        <v>1534</v>
      </c>
      <c r="C1150" s="293" t="s">
        <v>1339</v>
      </c>
      <c r="D1150" s="293" t="s">
        <v>1314</v>
      </c>
      <c r="E1150" s="294">
        <v>10000</v>
      </c>
    </row>
    <row r="1151" spans="1:5" x14ac:dyDescent="0.2">
      <c r="A1151" s="292" t="s">
        <v>148</v>
      </c>
      <c r="B1151" s="293" t="s">
        <v>1534</v>
      </c>
      <c r="C1151" s="293" t="s">
        <v>1339</v>
      </c>
      <c r="D1151" s="293" t="s">
        <v>1221</v>
      </c>
      <c r="E1151" s="294">
        <v>10000</v>
      </c>
    </row>
    <row r="1152" spans="1:5" x14ac:dyDescent="0.2">
      <c r="A1152" s="292" t="s">
        <v>65</v>
      </c>
      <c r="B1152" s="293" t="s">
        <v>1534</v>
      </c>
      <c r="C1152" s="293" t="s">
        <v>1339</v>
      </c>
      <c r="D1152" s="293" t="s">
        <v>434</v>
      </c>
      <c r="E1152" s="294">
        <v>10000</v>
      </c>
    </row>
    <row r="1153" spans="1:5" ht="38.25" x14ac:dyDescent="0.2">
      <c r="A1153" s="292" t="s">
        <v>367</v>
      </c>
      <c r="B1153" s="293" t="s">
        <v>695</v>
      </c>
      <c r="C1153" s="293" t="s">
        <v>1314</v>
      </c>
      <c r="D1153" s="293" t="s">
        <v>1314</v>
      </c>
      <c r="E1153" s="294">
        <v>49936537</v>
      </c>
    </row>
    <row r="1154" spans="1:5" ht="51" x14ac:dyDescent="0.2">
      <c r="A1154" s="292" t="s">
        <v>1501</v>
      </c>
      <c r="B1154" s="293" t="s">
        <v>695</v>
      </c>
      <c r="C1154" s="293" t="s">
        <v>290</v>
      </c>
      <c r="D1154" s="293" t="s">
        <v>1314</v>
      </c>
      <c r="E1154" s="294">
        <v>42481538</v>
      </c>
    </row>
    <row r="1155" spans="1:5" ht="25.5" x14ac:dyDescent="0.2">
      <c r="A1155" s="292" t="s">
        <v>1345</v>
      </c>
      <c r="B1155" s="293" t="s">
        <v>695</v>
      </c>
      <c r="C1155" s="293" t="s">
        <v>30</v>
      </c>
      <c r="D1155" s="293" t="s">
        <v>1314</v>
      </c>
      <c r="E1155" s="294">
        <v>42481538</v>
      </c>
    </row>
    <row r="1156" spans="1:5" x14ac:dyDescent="0.2">
      <c r="A1156" s="292" t="s">
        <v>250</v>
      </c>
      <c r="B1156" s="293" t="s">
        <v>695</v>
      </c>
      <c r="C1156" s="293" t="s">
        <v>30</v>
      </c>
      <c r="D1156" s="293" t="s">
        <v>1212</v>
      </c>
      <c r="E1156" s="294">
        <v>42481538</v>
      </c>
    </row>
    <row r="1157" spans="1:5" ht="38.25" x14ac:dyDescent="0.2">
      <c r="A1157" s="292" t="s">
        <v>71</v>
      </c>
      <c r="B1157" s="293" t="s">
        <v>695</v>
      </c>
      <c r="C1157" s="293" t="s">
        <v>30</v>
      </c>
      <c r="D1157" s="293" t="s">
        <v>366</v>
      </c>
      <c r="E1157" s="294">
        <v>2538930</v>
      </c>
    </row>
    <row r="1158" spans="1:5" ht="38.25" x14ac:dyDescent="0.2">
      <c r="A1158" s="292" t="s">
        <v>252</v>
      </c>
      <c r="B1158" s="293" t="s">
        <v>695</v>
      </c>
      <c r="C1158" s="293" t="s">
        <v>30</v>
      </c>
      <c r="D1158" s="293" t="s">
        <v>372</v>
      </c>
      <c r="E1158" s="294">
        <v>39088932</v>
      </c>
    </row>
    <row r="1159" spans="1:5" ht="38.25" x14ac:dyDescent="0.2">
      <c r="A1159" s="292" t="s">
        <v>232</v>
      </c>
      <c r="B1159" s="293" t="s">
        <v>695</v>
      </c>
      <c r="C1159" s="293" t="s">
        <v>30</v>
      </c>
      <c r="D1159" s="293" t="s">
        <v>370</v>
      </c>
      <c r="E1159" s="294">
        <v>853676</v>
      </c>
    </row>
    <row r="1160" spans="1:5" ht="25.5" x14ac:dyDescent="0.2">
      <c r="A1160" s="292" t="s">
        <v>1502</v>
      </c>
      <c r="B1160" s="293" t="s">
        <v>695</v>
      </c>
      <c r="C1160" s="293" t="s">
        <v>1503</v>
      </c>
      <c r="D1160" s="293" t="s">
        <v>1314</v>
      </c>
      <c r="E1160" s="294">
        <v>7182063</v>
      </c>
    </row>
    <row r="1161" spans="1:5" ht="25.5" x14ac:dyDescent="0.2">
      <c r="A1161" s="292" t="s">
        <v>1338</v>
      </c>
      <c r="B1161" s="293" t="s">
        <v>695</v>
      </c>
      <c r="C1161" s="293" t="s">
        <v>1339</v>
      </c>
      <c r="D1161" s="293" t="s">
        <v>1314</v>
      </c>
      <c r="E1161" s="294">
        <v>7182063</v>
      </c>
    </row>
    <row r="1162" spans="1:5" x14ac:dyDescent="0.2">
      <c r="A1162" s="292" t="s">
        <v>250</v>
      </c>
      <c r="B1162" s="293" t="s">
        <v>695</v>
      </c>
      <c r="C1162" s="293" t="s">
        <v>1339</v>
      </c>
      <c r="D1162" s="293" t="s">
        <v>1212</v>
      </c>
      <c r="E1162" s="294">
        <v>7182063</v>
      </c>
    </row>
    <row r="1163" spans="1:5" ht="38.25" x14ac:dyDescent="0.2">
      <c r="A1163" s="292" t="s">
        <v>71</v>
      </c>
      <c r="B1163" s="293" t="s">
        <v>695</v>
      </c>
      <c r="C1163" s="293" t="s">
        <v>1339</v>
      </c>
      <c r="D1163" s="293" t="s">
        <v>366</v>
      </c>
      <c r="E1163" s="294">
        <v>651050</v>
      </c>
    </row>
    <row r="1164" spans="1:5" ht="38.25" x14ac:dyDescent="0.2">
      <c r="A1164" s="292" t="s">
        <v>252</v>
      </c>
      <c r="B1164" s="293" t="s">
        <v>695</v>
      </c>
      <c r="C1164" s="293" t="s">
        <v>1339</v>
      </c>
      <c r="D1164" s="293" t="s">
        <v>372</v>
      </c>
      <c r="E1164" s="294">
        <v>6483463</v>
      </c>
    </row>
    <row r="1165" spans="1:5" ht="38.25" x14ac:dyDescent="0.2">
      <c r="A1165" s="292" t="s">
        <v>232</v>
      </c>
      <c r="B1165" s="293" t="s">
        <v>695</v>
      </c>
      <c r="C1165" s="293" t="s">
        <v>1339</v>
      </c>
      <c r="D1165" s="293" t="s">
        <v>370</v>
      </c>
      <c r="E1165" s="294">
        <v>47550</v>
      </c>
    </row>
    <row r="1166" spans="1:5" x14ac:dyDescent="0.2">
      <c r="A1166" s="292" t="s">
        <v>1504</v>
      </c>
      <c r="B1166" s="293" t="s">
        <v>695</v>
      </c>
      <c r="C1166" s="293" t="s">
        <v>1505</v>
      </c>
      <c r="D1166" s="293" t="s">
        <v>1314</v>
      </c>
      <c r="E1166" s="294">
        <v>272936</v>
      </c>
    </row>
    <row r="1167" spans="1:5" x14ac:dyDescent="0.2">
      <c r="A1167" s="292" t="s">
        <v>1343</v>
      </c>
      <c r="B1167" s="293" t="s">
        <v>695</v>
      </c>
      <c r="C1167" s="293" t="s">
        <v>1344</v>
      </c>
      <c r="D1167" s="293" t="s">
        <v>1314</v>
      </c>
      <c r="E1167" s="294">
        <v>272936</v>
      </c>
    </row>
    <row r="1168" spans="1:5" x14ac:dyDescent="0.2">
      <c r="A1168" s="292" t="s">
        <v>250</v>
      </c>
      <c r="B1168" s="293" t="s">
        <v>695</v>
      </c>
      <c r="C1168" s="293" t="s">
        <v>1344</v>
      </c>
      <c r="D1168" s="293" t="s">
        <v>1212</v>
      </c>
      <c r="E1168" s="294">
        <v>272936</v>
      </c>
    </row>
    <row r="1169" spans="1:5" ht="38.25" x14ac:dyDescent="0.2">
      <c r="A1169" s="292" t="s">
        <v>252</v>
      </c>
      <c r="B1169" s="293" t="s">
        <v>695</v>
      </c>
      <c r="C1169" s="293" t="s">
        <v>1344</v>
      </c>
      <c r="D1169" s="293" t="s">
        <v>372</v>
      </c>
      <c r="E1169" s="294">
        <v>272936</v>
      </c>
    </row>
    <row r="1170" spans="1:5" ht="63.75" x14ac:dyDescent="0.2">
      <c r="A1170" s="292" t="s">
        <v>607</v>
      </c>
      <c r="B1170" s="293" t="s">
        <v>705</v>
      </c>
      <c r="C1170" s="293" t="s">
        <v>1314</v>
      </c>
      <c r="D1170" s="293" t="s">
        <v>1314</v>
      </c>
      <c r="E1170" s="294">
        <v>1227782</v>
      </c>
    </row>
    <row r="1171" spans="1:5" ht="51" x14ac:dyDescent="0.2">
      <c r="A1171" s="292" t="s">
        <v>1501</v>
      </c>
      <c r="B1171" s="293" t="s">
        <v>705</v>
      </c>
      <c r="C1171" s="293" t="s">
        <v>290</v>
      </c>
      <c r="D1171" s="293" t="s">
        <v>1314</v>
      </c>
      <c r="E1171" s="294">
        <v>1227782</v>
      </c>
    </row>
    <row r="1172" spans="1:5" ht="25.5" x14ac:dyDescent="0.2">
      <c r="A1172" s="292" t="s">
        <v>1345</v>
      </c>
      <c r="B1172" s="293" t="s">
        <v>705</v>
      </c>
      <c r="C1172" s="293" t="s">
        <v>30</v>
      </c>
      <c r="D1172" s="293" t="s">
        <v>1314</v>
      </c>
      <c r="E1172" s="294">
        <v>1227782</v>
      </c>
    </row>
    <row r="1173" spans="1:5" x14ac:dyDescent="0.2">
      <c r="A1173" s="292" t="s">
        <v>250</v>
      </c>
      <c r="B1173" s="293" t="s">
        <v>705</v>
      </c>
      <c r="C1173" s="293" t="s">
        <v>30</v>
      </c>
      <c r="D1173" s="293" t="s">
        <v>1212</v>
      </c>
      <c r="E1173" s="294">
        <v>1227782</v>
      </c>
    </row>
    <row r="1174" spans="1:5" ht="38.25" x14ac:dyDescent="0.2">
      <c r="A1174" s="292" t="s">
        <v>252</v>
      </c>
      <c r="B1174" s="293" t="s">
        <v>705</v>
      </c>
      <c r="C1174" s="293" t="s">
        <v>30</v>
      </c>
      <c r="D1174" s="293" t="s">
        <v>372</v>
      </c>
      <c r="E1174" s="294">
        <v>1227782</v>
      </c>
    </row>
    <row r="1175" spans="1:5" ht="51" x14ac:dyDescent="0.2">
      <c r="A1175" s="292" t="s">
        <v>605</v>
      </c>
      <c r="B1175" s="293" t="s">
        <v>696</v>
      </c>
      <c r="C1175" s="293" t="s">
        <v>1314</v>
      </c>
      <c r="D1175" s="293" t="s">
        <v>1314</v>
      </c>
      <c r="E1175" s="294">
        <v>492000</v>
      </c>
    </row>
    <row r="1176" spans="1:5" ht="51" x14ac:dyDescent="0.2">
      <c r="A1176" s="292" t="s">
        <v>1501</v>
      </c>
      <c r="B1176" s="293" t="s">
        <v>696</v>
      </c>
      <c r="C1176" s="293" t="s">
        <v>290</v>
      </c>
      <c r="D1176" s="293" t="s">
        <v>1314</v>
      </c>
      <c r="E1176" s="294">
        <v>492000</v>
      </c>
    </row>
    <row r="1177" spans="1:5" ht="25.5" x14ac:dyDescent="0.2">
      <c r="A1177" s="292" t="s">
        <v>1345</v>
      </c>
      <c r="B1177" s="293" t="s">
        <v>696</v>
      </c>
      <c r="C1177" s="293" t="s">
        <v>30</v>
      </c>
      <c r="D1177" s="293" t="s">
        <v>1314</v>
      </c>
      <c r="E1177" s="294">
        <v>492000</v>
      </c>
    </row>
    <row r="1178" spans="1:5" x14ac:dyDescent="0.2">
      <c r="A1178" s="292" t="s">
        <v>250</v>
      </c>
      <c r="B1178" s="293" t="s">
        <v>696</v>
      </c>
      <c r="C1178" s="293" t="s">
        <v>30</v>
      </c>
      <c r="D1178" s="293" t="s">
        <v>1212</v>
      </c>
      <c r="E1178" s="294">
        <v>492000</v>
      </c>
    </row>
    <row r="1179" spans="1:5" ht="38.25" x14ac:dyDescent="0.2">
      <c r="A1179" s="292" t="s">
        <v>71</v>
      </c>
      <c r="B1179" s="293" t="s">
        <v>696</v>
      </c>
      <c r="C1179" s="293" t="s">
        <v>30</v>
      </c>
      <c r="D1179" s="293" t="s">
        <v>366</v>
      </c>
      <c r="E1179" s="294">
        <v>52000</v>
      </c>
    </row>
    <row r="1180" spans="1:5" ht="38.25" x14ac:dyDescent="0.2">
      <c r="A1180" s="292" t="s">
        <v>252</v>
      </c>
      <c r="B1180" s="293" t="s">
        <v>696</v>
      </c>
      <c r="C1180" s="293" t="s">
        <v>30</v>
      </c>
      <c r="D1180" s="293" t="s">
        <v>372</v>
      </c>
      <c r="E1180" s="294">
        <v>400000</v>
      </c>
    </row>
    <row r="1181" spans="1:5" ht="38.25" x14ac:dyDescent="0.2">
      <c r="A1181" s="292" t="s">
        <v>232</v>
      </c>
      <c r="B1181" s="293" t="s">
        <v>696</v>
      </c>
      <c r="C1181" s="293" t="s">
        <v>30</v>
      </c>
      <c r="D1181" s="293" t="s">
        <v>370</v>
      </c>
      <c r="E1181" s="294">
        <v>40000</v>
      </c>
    </row>
    <row r="1182" spans="1:5" ht="51" x14ac:dyDescent="0.2">
      <c r="A1182" s="292" t="s">
        <v>608</v>
      </c>
      <c r="B1182" s="293" t="s">
        <v>706</v>
      </c>
      <c r="C1182" s="293" t="s">
        <v>1314</v>
      </c>
      <c r="D1182" s="293" t="s">
        <v>1314</v>
      </c>
      <c r="E1182" s="294">
        <v>8288772</v>
      </c>
    </row>
    <row r="1183" spans="1:5" ht="51" x14ac:dyDescent="0.2">
      <c r="A1183" s="292" t="s">
        <v>1501</v>
      </c>
      <c r="B1183" s="293" t="s">
        <v>706</v>
      </c>
      <c r="C1183" s="293" t="s">
        <v>290</v>
      </c>
      <c r="D1183" s="293" t="s">
        <v>1314</v>
      </c>
      <c r="E1183" s="294">
        <v>8288772</v>
      </c>
    </row>
    <row r="1184" spans="1:5" ht="25.5" x14ac:dyDescent="0.2">
      <c r="A1184" s="292" t="s">
        <v>1345</v>
      </c>
      <c r="B1184" s="293" t="s">
        <v>706</v>
      </c>
      <c r="C1184" s="293" t="s">
        <v>30</v>
      </c>
      <c r="D1184" s="293" t="s">
        <v>1314</v>
      </c>
      <c r="E1184" s="294">
        <v>8288772</v>
      </c>
    </row>
    <row r="1185" spans="1:5" x14ac:dyDescent="0.2">
      <c r="A1185" s="292" t="s">
        <v>250</v>
      </c>
      <c r="B1185" s="293" t="s">
        <v>706</v>
      </c>
      <c r="C1185" s="293" t="s">
        <v>30</v>
      </c>
      <c r="D1185" s="293" t="s">
        <v>1212</v>
      </c>
      <c r="E1185" s="294">
        <v>8288772</v>
      </c>
    </row>
    <row r="1186" spans="1:5" ht="38.25" x14ac:dyDescent="0.2">
      <c r="A1186" s="292" t="s">
        <v>252</v>
      </c>
      <c r="B1186" s="293" t="s">
        <v>706</v>
      </c>
      <c r="C1186" s="293" t="s">
        <v>30</v>
      </c>
      <c r="D1186" s="293" t="s">
        <v>372</v>
      </c>
      <c r="E1186" s="294">
        <v>8288772</v>
      </c>
    </row>
    <row r="1187" spans="1:5" ht="38.25" x14ac:dyDescent="0.2">
      <c r="A1187" s="292" t="s">
        <v>1012</v>
      </c>
      <c r="B1187" s="293" t="s">
        <v>1013</v>
      </c>
      <c r="C1187" s="293" t="s">
        <v>1314</v>
      </c>
      <c r="D1187" s="293" t="s">
        <v>1314</v>
      </c>
      <c r="E1187" s="294">
        <v>3401569</v>
      </c>
    </row>
    <row r="1188" spans="1:5" ht="25.5" x14ac:dyDescent="0.2">
      <c r="A1188" s="292" t="s">
        <v>1502</v>
      </c>
      <c r="B1188" s="293" t="s">
        <v>1013</v>
      </c>
      <c r="C1188" s="293" t="s">
        <v>1503</v>
      </c>
      <c r="D1188" s="293" t="s">
        <v>1314</v>
      </c>
      <c r="E1188" s="294">
        <v>3401569</v>
      </c>
    </row>
    <row r="1189" spans="1:5" ht="25.5" x14ac:dyDescent="0.2">
      <c r="A1189" s="292" t="s">
        <v>1338</v>
      </c>
      <c r="B1189" s="293" t="s">
        <v>1013</v>
      </c>
      <c r="C1189" s="293" t="s">
        <v>1339</v>
      </c>
      <c r="D1189" s="293" t="s">
        <v>1314</v>
      </c>
      <c r="E1189" s="294">
        <v>3401569</v>
      </c>
    </row>
    <row r="1190" spans="1:5" x14ac:dyDescent="0.2">
      <c r="A1190" s="292" t="s">
        <v>250</v>
      </c>
      <c r="B1190" s="293" t="s">
        <v>1013</v>
      </c>
      <c r="C1190" s="293" t="s">
        <v>1339</v>
      </c>
      <c r="D1190" s="293" t="s">
        <v>1212</v>
      </c>
      <c r="E1190" s="294">
        <v>3401569</v>
      </c>
    </row>
    <row r="1191" spans="1:5" ht="38.25" x14ac:dyDescent="0.2">
      <c r="A1191" s="292" t="s">
        <v>252</v>
      </c>
      <c r="B1191" s="293" t="s">
        <v>1013</v>
      </c>
      <c r="C1191" s="293" t="s">
        <v>1339</v>
      </c>
      <c r="D1191" s="293" t="s">
        <v>372</v>
      </c>
      <c r="E1191" s="294">
        <v>3401569</v>
      </c>
    </row>
    <row r="1192" spans="1:5" ht="38.25" x14ac:dyDescent="0.2">
      <c r="A1192" s="292" t="s">
        <v>1738</v>
      </c>
      <c r="B1192" s="293" t="s">
        <v>1739</v>
      </c>
      <c r="C1192" s="293" t="s">
        <v>1314</v>
      </c>
      <c r="D1192" s="293" t="s">
        <v>1314</v>
      </c>
      <c r="E1192" s="294">
        <v>165060</v>
      </c>
    </row>
    <row r="1193" spans="1:5" ht="25.5" x14ac:dyDescent="0.2">
      <c r="A1193" s="292" t="s">
        <v>1502</v>
      </c>
      <c r="B1193" s="293" t="s">
        <v>1739</v>
      </c>
      <c r="C1193" s="293" t="s">
        <v>1503</v>
      </c>
      <c r="D1193" s="293" t="s">
        <v>1314</v>
      </c>
      <c r="E1193" s="294">
        <v>165060</v>
      </c>
    </row>
    <row r="1194" spans="1:5" ht="25.5" x14ac:dyDescent="0.2">
      <c r="A1194" s="292" t="s">
        <v>1338</v>
      </c>
      <c r="B1194" s="293" t="s">
        <v>1739</v>
      </c>
      <c r="C1194" s="293" t="s">
        <v>1339</v>
      </c>
      <c r="D1194" s="293" t="s">
        <v>1314</v>
      </c>
      <c r="E1194" s="294">
        <v>165060</v>
      </c>
    </row>
    <row r="1195" spans="1:5" x14ac:dyDescent="0.2">
      <c r="A1195" s="292" t="s">
        <v>250</v>
      </c>
      <c r="B1195" s="293" t="s">
        <v>1739</v>
      </c>
      <c r="C1195" s="293" t="s">
        <v>1339</v>
      </c>
      <c r="D1195" s="293" t="s">
        <v>1212</v>
      </c>
      <c r="E1195" s="294">
        <v>165060</v>
      </c>
    </row>
    <row r="1196" spans="1:5" ht="38.25" x14ac:dyDescent="0.2">
      <c r="A1196" s="292" t="s">
        <v>252</v>
      </c>
      <c r="B1196" s="293" t="s">
        <v>1739</v>
      </c>
      <c r="C1196" s="293" t="s">
        <v>1339</v>
      </c>
      <c r="D1196" s="293" t="s">
        <v>372</v>
      </c>
      <c r="E1196" s="294">
        <v>165060</v>
      </c>
    </row>
    <row r="1197" spans="1:5" ht="25.5" x14ac:dyDescent="0.2">
      <c r="A1197" s="292" t="s">
        <v>1143</v>
      </c>
      <c r="B1197" s="293" t="s">
        <v>1144</v>
      </c>
      <c r="C1197" s="293" t="s">
        <v>1314</v>
      </c>
      <c r="D1197" s="293" t="s">
        <v>1314</v>
      </c>
      <c r="E1197" s="294">
        <v>1269512</v>
      </c>
    </row>
    <row r="1198" spans="1:5" ht="25.5" x14ac:dyDescent="0.2">
      <c r="A1198" s="292" t="s">
        <v>1502</v>
      </c>
      <c r="B1198" s="293" t="s">
        <v>1144</v>
      </c>
      <c r="C1198" s="293" t="s">
        <v>1503</v>
      </c>
      <c r="D1198" s="293" t="s">
        <v>1314</v>
      </c>
      <c r="E1198" s="294">
        <v>1269512</v>
      </c>
    </row>
    <row r="1199" spans="1:5" ht="25.5" x14ac:dyDescent="0.2">
      <c r="A1199" s="292" t="s">
        <v>1338</v>
      </c>
      <c r="B1199" s="293" t="s">
        <v>1144</v>
      </c>
      <c r="C1199" s="293" t="s">
        <v>1339</v>
      </c>
      <c r="D1199" s="293" t="s">
        <v>1314</v>
      </c>
      <c r="E1199" s="294">
        <v>1269512</v>
      </c>
    </row>
    <row r="1200" spans="1:5" x14ac:dyDescent="0.2">
      <c r="A1200" s="292" t="s">
        <v>250</v>
      </c>
      <c r="B1200" s="293" t="s">
        <v>1144</v>
      </c>
      <c r="C1200" s="293" t="s">
        <v>1339</v>
      </c>
      <c r="D1200" s="293" t="s">
        <v>1212</v>
      </c>
      <c r="E1200" s="294">
        <v>1269512</v>
      </c>
    </row>
    <row r="1201" spans="1:5" ht="38.25" x14ac:dyDescent="0.2">
      <c r="A1201" s="292" t="s">
        <v>252</v>
      </c>
      <c r="B1201" s="293" t="s">
        <v>1144</v>
      </c>
      <c r="C1201" s="293" t="s">
        <v>1339</v>
      </c>
      <c r="D1201" s="293" t="s">
        <v>372</v>
      </c>
      <c r="E1201" s="294">
        <v>1269512</v>
      </c>
    </row>
    <row r="1202" spans="1:5" ht="63.75" x14ac:dyDescent="0.2">
      <c r="A1202" s="292" t="s">
        <v>584</v>
      </c>
      <c r="B1202" s="293" t="s">
        <v>710</v>
      </c>
      <c r="C1202" s="293" t="s">
        <v>1314</v>
      </c>
      <c r="D1202" s="293" t="s">
        <v>1314</v>
      </c>
      <c r="E1202" s="294">
        <v>80900</v>
      </c>
    </row>
    <row r="1203" spans="1:5" ht="51" x14ac:dyDescent="0.2">
      <c r="A1203" s="292" t="s">
        <v>1501</v>
      </c>
      <c r="B1203" s="293" t="s">
        <v>710</v>
      </c>
      <c r="C1203" s="293" t="s">
        <v>290</v>
      </c>
      <c r="D1203" s="293" t="s">
        <v>1314</v>
      </c>
      <c r="E1203" s="294">
        <v>77720</v>
      </c>
    </row>
    <row r="1204" spans="1:5" ht="25.5" x14ac:dyDescent="0.2">
      <c r="A1204" s="292" t="s">
        <v>1345</v>
      </c>
      <c r="B1204" s="293" t="s">
        <v>710</v>
      </c>
      <c r="C1204" s="293" t="s">
        <v>30</v>
      </c>
      <c r="D1204" s="293" t="s">
        <v>1314</v>
      </c>
      <c r="E1204" s="294">
        <v>77720</v>
      </c>
    </row>
    <row r="1205" spans="1:5" x14ac:dyDescent="0.2">
      <c r="A1205" s="292" t="s">
        <v>250</v>
      </c>
      <c r="B1205" s="293" t="s">
        <v>710</v>
      </c>
      <c r="C1205" s="293" t="s">
        <v>30</v>
      </c>
      <c r="D1205" s="293" t="s">
        <v>1212</v>
      </c>
      <c r="E1205" s="294">
        <v>77720</v>
      </c>
    </row>
    <row r="1206" spans="1:5" x14ac:dyDescent="0.2">
      <c r="A1206" s="292" t="s">
        <v>233</v>
      </c>
      <c r="B1206" s="293" t="s">
        <v>710</v>
      </c>
      <c r="C1206" s="293" t="s">
        <v>30</v>
      </c>
      <c r="D1206" s="293" t="s">
        <v>376</v>
      </c>
      <c r="E1206" s="294">
        <v>77720</v>
      </c>
    </row>
    <row r="1207" spans="1:5" ht="25.5" x14ac:dyDescent="0.2">
      <c r="A1207" s="292" t="s">
        <v>1502</v>
      </c>
      <c r="B1207" s="293" t="s">
        <v>710</v>
      </c>
      <c r="C1207" s="293" t="s">
        <v>1503</v>
      </c>
      <c r="D1207" s="293" t="s">
        <v>1314</v>
      </c>
      <c r="E1207" s="294">
        <v>3180</v>
      </c>
    </row>
    <row r="1208" spans="1:5" ht="25.5" x14ac:dyDescent="0.2">
      <c r="A1208" s="292" t="s">
        <v>1338</v>
      </c>
      <c r="B1208" s="293" t="s">
        <v>710</v>
      </c>
      <c r="C1208" s="293" t="s">
        <v>1339</v>
      </c>
      <c r="D1208" s="293" t="s">
        <v>1314</v>
      </c>
      <c r="E1208" s="294">
        <v>3180</v>
      </c>
    </row>
    <row r="1209" spans="1:5" x14ac:dyDescent="0.2">
      <c r="A1209" s="292" t="s">
        <v>250</v>
      </c>
      <c r="B1209" s="293" t="s">
        <v>710</v>
      </c>
      <c r="C1209" s="293" t="s">
        <v>1339</v>
      </c>
      <c r="D1209" s="293" t="s">
        <v>1212</v>
      </c>
      <c r="E1209" s="294">
        <v>3180</v>
      </c>
    </row>
    <row r="1210" spans="1:5" x14ac:dyDescent="0.2">
      <c r="A1210" s="292" t="s">
        <v>233</v>
      </c>
      <c r="B1210" s="293" t="s">
        <v>710</v>
      </c>
      <c r="C1210" s="293" t="s">
        <v>1339</v>
      </c>
      <c r="D1210" s="293" t="s">
        <v>376</v>
      </c>
      <c r="E1210" s="294">
        <v>3180</v>
      </c>
    </row>
    <row r="1211" spans="1:5" ht="51" x14ac:dyDescent="0.2">
      <c r="A1211" s="292" t="s">
        <v>1965</v>
      </c>
      <c r="B1211" s="293" t="s">
        <v>1966</v>
      </c>
      <c r="C1211" s="293" t="s">
        <v>1314</v>
      </c>
      <c r="D1211" s="293" t="s">
        <v>1314</v>
      </c>
      <c r="E1211" s="294">
        <v>2047000</v>
      </c>
    </row>
    <row r="1212" spans="1:5" ht="51" x14ac:dyDescent="0.2">
      <c r="A1212" s="292" t="s">
        <v>1501</v>
      </c>
      <c r="B1212" s="293" t="s">
        <v>1966</v>
      </c>
      <c r="C1212" s="293" t="s">
        <v>290</v>
      </c>
      <c r="D1212" s="293" t="s">
        <v>1314</v>
      </c>
      <c r="E1212" s="294">
        <v>1746954</v>
      </c>
    </row>
    <row r="1213" spans="1:5" ht="25.5" x14ac:dyDescent="0.2">
      <c r="A1213" s="292" t="s">
        <v>1345</v>
      </c>
      <c r="B1213" s="293" t="s">
        <v>1966</v>
      </c>
      <c r="C1213" s="293" t="s">
        <v>30</v>
      </c>
      <c r="D1213" s="293" t="s">
        <v>1314</v>
      </c>
      <c r="E1213" s="294">
        <v>1746954</v>
      </c>
    </row>
    <row r="1214" spans="1:5" x14ac:dyDescent="0.2">
      <c r="A1214" s="292" t="s">
        <v>190</v>
      </c>
      <c r="B1214" s="293" t="s">
        <v>1966</v>
      </c>
      <c r="C1214" s="293" t="s">
        <v>30</v>
      </c>
      <c r="D1214" s="293" t="s">
        <v>1218</v>
      </c>
      <c r="E1214" s="294">
        <v>1746954</v>
      </c>
    </row>
    <row r="1215" spans="1:5" x14ac:dyDescent="0.2">
      <c r="A1215" s="292" t="s">
        <v>1963</v>
      </c>
      <c r="B1215" s="293" t="s">
        <v>1966</v>
      </c>
      <c r="C1215" s="293" t="s">
        <v>30</v>
      </c>
      <c r="D1215" s="293" t="s">
        <v>1964</v>
      </c>
      <c r="E1215" s="294">
        <v>1746954</v>
      </c>
    </row>
    <row r="1216" spans="1:5" ht="25.5" x14ac:dyDescent="0.2">
      <c r="A1216" s="292" t="s">
        <v>1502</v>
      </c>
      <c r="B1216" s="293" t="s">
        <v>1966</v>
      </c>
      <c r="C1216" s="293" t="s">
        <v>1503</v>
      </c>
      <c r="D1216" s="293" t="s">
        <v>1314</v>
      </c>
      <c r="E1216" s="294">
        <v>300046</v>
      </c>
    </row>
    <row r="1217" spans="1:5" ht="25.5" x14ac:dyDescent="0.2">
      <c r="A1217" s="292" t="s">
        <v>1338</v>
      </c>
      <c r="B1217" s="293" t="s">
        <v>1966</v>
      </c>
      <c r="C1217" s="293" t="s">
        <v>1339</v>
      </c>
      <c r="D1217" s="293" t="s">
        <v>1314</v>
      </c>
      <c r="E1217" s="294">
        <v>300046</v>
      </c>
    </row>
    <row r="1218" spans="1:5" x14ac:dyDescent="0.2">
      <c r="A1218" s="292" t="s">
        <v>190</v>
      </c>
      <c r="B1218" s="293" t="s">
        <v>1966</v>
      </c>
      <c r="C1218" s="293" t="s">
        <v>1339</v>
      </c>
      <c r="D1218" s="293" t="s">
        <v>1218</v>
      </c>
      <c r="E1218" s="294">
        <v>300046</v>
      </c>
    </row>
    <row r="1219" spans="1:5" x14ac:dyDescent="0.2">
      <c r="A1219" s="292" t="s">
        <v>1963</v>
      </c>
      <c r="B1219" s="293" t="s">
        <v>1966</v>
      </c>
      <c r="C1219" s="293" t="s">
        <v>1339</v>
      </c>
      <c r="D1219" s="293" t="s">
        <v>1964</v>
      </c>
      <c r="E1219" s="294">
        <v>300046</v>
      </c>
    </row>
    <row r="1220" spans="1:5" ht="63.75" x14ac:dyDescent="0.2">
      <c r="A1220" s="292" t="s">
        <v>374</v>
      </c>
      <c r="B1220" s="293" t="s">
        <v>703</v>
      </c>
      <c r="C1220" s="293" t="s">
        <v>1314</v>
      </c>
      <c r="D1220" s="293" t="s">
        <v>1314</v>
      </c>
      <c r="E1220" s="294">
        <v>826100</v>
      </c>
    </row>
    <row r="1221" spans="1:5" ht="51" x14ac:dyDescent="0.2">
      <c r="A1221" s="292" t="s">
        <v>1501</v>
      </c>
      <c r="B1221" s="293" t="s">
        <v>703</v>
      </c>
      <c r="C1221" s="293" t="s">
        <v>290</v>
      </c>
      <c r="D1221" s="293" t="s">
        <v>1314</v>
      </c>
      <c r="E1221" s="294">
        <v>796200</v>
      </c>
    </row>
    <row r="1222" spans="1:5" ht="25.5" x14ac:dyDescent="0.2">
      <c r="A1222" s="292" t="s">
        <v>1345</v>
      </c>
      <c r="B1222" s="293" t="s">
        <v>703</v>
      </c>
      <c r="C1222" s="293" t="s">
        <v>30</v>
      </c>
      <c r="D1222" s="293" t="s">
        <v>1314</v>
      </c>
      <c r="E1222" s="294">
        <v>796200</v>
      </c>
    </row>
    <row r="1223" spans="1:5" x14ac:dyDescent="0.2">
      <c r="A1223" s="292" t="s">
        <v>250</v>
      </c>
      <c r="B1223" s="293" t="s">
        <v>703</v>
      </c>
      <c r="C1223" s="293" t="s">
        <v>30</v>
      </c>
      <c r="D1223" s="293" t="s">
        <v>1212</v>
      </c>
      <c r="E1223" s="294">
        <v>796200</v>
      </c>
    </row>
    <row r="1224" spans="1:5" ht="38.25" x14ac:dyDescent="0.2">
      <c r="A1224" s="292" t="s">
        <v>252</v>
      </c>
      <c r="B1224" s="293" t="s">
        <v>703</v>
      </c>
      <c r="C1224" s="293" t="s">
        <v>30</v>
      </c>
      <c r="D1224" s="293" t="s">
        <v>372</v>
      </c>
      <c r="E1224" s="294">
        <v>796200</v>
      </c>
    </row>
    <row r="1225" spans="1:5" ht="25.5" x14ac:dyDescent="0.2">
      <c r="A1225" s="292" t="s">
        <v>1502</v>
      </c>
      <c r="B1225" s="293" t="s">
        <v>703</v>
      </c>
      <c r="C1225" s="293" t="s">
        <v>1503</v>
      </c>
      <c r="D1225" s="293" t="s">
        <v>1314</v>
      </c>
      <c r="E1225" s="294">
        <v>29900</v>
      </c>
    </row>
    <row r="1226" spans="1:5" ht="25.5" x14ac:dyDescent="0.2">
      <c r="A1226" s="292" t="s">
        <v>1338</v>
      </c>
      <c r="B1226" s="293" t="s">
        <v>703</v>
      </c>
      <c r="C1226" s="293" t="s">
        <v>1339</v>
      </c>
      <c r="D1226" s="293" t="s">
        <v>1314</v>
      </c>
      <c r="E1226" s="294">
        <v>29900</v>
      </c>
    </row>
    <row r="1227" spans="1:5" x14ac:dyDescent="0.2">
      <c r="A1227" s="292" t="s">
        <v>250</v>
      </c>
      <c r="B1227" s="293" t="s">
        <v>703</v>
      </c>
      <c r="C1227" s="293" t="s">
        <v>1339</v>
      </c>
      <c r="D1227" s="293" t="s">
        <v>1212</v>
      </c>
      <c r="E1227" s="294">
        <v>29900</v>
      </c>
    </row>
    <row r="1228" spans="1:5" ht="38.25" x14ac:dyDescent="0.2">
      <c r="A1228" s="292" t="s">
        <v>252</v>
      </c>
      <c r="B1228" s="293" t="s">
        <v>703</v>
      </c>
      <c r="C1228" s="293" t="s">
        <v>1339</v>
      </c>
      <c r="D1228" s="293" t="s">
        <v>372</v>
      </c>
      <c r="E1228" s="294">
        <v>29900</v>
      </c>
    </row>
    <row r="1229" spans="1:5" ht="38.25" x14ac:dyDescent="0.2">
      <c r="A1229" s="292" t="s">
        <v>377</v>
      </c>
      <c r="B1229" s="293" t="s">
        <v>711</v>
      </c>
      <c r="C1229" s="293" t="s">
        <v>1314</v>
      </c>
      <c r="D1229" s="293" t="s">
        <v>1314</v>
      </c>
      <c r="E1229" s="294">
        <v>89100</v>
      </c>
    </row>
    <row r="1230" spans="1:5" ht="51" x14ac:dyDescent="0.2">
      <c r="A1230" s="292" t="s">
        <v>1501</v>
      </c>
      <c r="B1230" s="293" t="s">
        <v>711</v>
      </c>
      <c r="C1230" s="293" t="s">
        <v>290</v>
      </c>
      <c r="D1230" s="293" t="s">
        <v>1314</v>
      </c>
      <c r="E1230" s="294">
        <v>74481</v>
      </c>
    </row>
    <row r="1231" spans="1:5" ht="25.5" x14ac:dyDescent="0.2">
      <c r="A1231" s="292" t="s">
        <v>1345</v>
      </c>
      <c r="B1231" s="293" t="s">
        <v>711</v>
      </c>
      <c r="C1231" s="293" t="s">
        <v>30</v>
      </c>
      <c r="D1231" s="293" t="s">
        <v>1314</v>
      </c>
      <c r="E1231" s="294">
        <v>74481</v>
      </c>
    </row>
    <row r="1232" spans="1:5" x14ac:dyDescent="0.2">
      <c r="A1232" s="292" t="s">
        <v>250</v>
      </c>
      <c r="B1232" s="293" t="s">
        <v>711</v>
      </c>
      <c r="C1232" s="293" t="s">
        <v>30</v>
      </c>
      <c r="D1232" s="293" t="s">
        <v>1212</v>
      </c>
      <c r="E1232" s="294">
        <v>74481</v>
      </c>
    </row>
    <row r="1233" spans="1:5" x14ac:dyDescent="0.2">
      <c r="A1233" s="292" t="s">
        <v>233</v>
      </c>
      <c r="B1233" s="293" t="s">
        <v>711</v>
      </c>
      <c r="C1233" s="293" t="s">
        <v>30</v>
      </c>
      <c r="D1233" s="293" t="s">
        <v>376</v>
      </c>
      <c r="E1233" s="294">
        <v>74481</v>
      </c>
    </row>
    <row r="1234" spans="1:5" ht="25.5" x14ac:dyDescent="0.2">
      <c r="A1234" s="292" t="s">
        <v>1502</v>
      </c>
      <c r="B1234" s="293" t="s">
        <v>711</v>
      </c>
      <c r="C1234" s="293" t="s">
        <v>1503</v>
      </c>
      <c r="D1234" s="293" t="s">
        <v>1314</v>
      </c>
      <c r="E1234" s="294">
        <v>14619</v>
      </c>
    </row>
    <row r="1235" spans="1:5" ht="25.5" x14ac:dyDescent="0.2">
      <c r="A1235" s="292" t="s">
        <v>1338</v>
      </c>
      <c r="B1235" s="293" t="s">
        <v>711</v>
      </c>
      <c r="C1235" s="293" t="s">
        <v>1339</v>
      </c>
      <c r="D1235" s="293" t="s">
        <v>1314</v>
      </c>
      <c r="E1235" s="294">
        <v>14619</v>
      </c>
    </row>
    <row r="1236" spans="1:5" x14ac:dyDescent="0.2">
      <c r="A1236" s="292" t="s">
        <v>250</v>
      </c>
      <c r="B1236" s="293" t="s">
        <v>711</v>
      </c>
      <c r="C1236" s="293" t="s">
        <v>1339</v>
      </c>
      <c r="D1236" s="293" t="s">
        <v>1212</v>
      </c>
      <c r="E1236" s="294">
        <v>14619</v>
      </c>
    </row>
    <row r="1237" spans="1:5" x14ac:dyDescent="0.2">
      <c r="A1237" s="292" t="s">
        <v>233</v>
      </c>
      <c r="B1237" s="293" t="s">
        <v>711</v>
      </c>
      <c r="C1237" s="293" t="s">
        <v>1339</v>
      </c>
      <c r="D1237" s="293" t="s">
        <v>376</v>
      </c>
      <c r="E1237" s="294">
        <v>14619</v>
      </c>
    </row>
    <row r="1238" spans="1:5" ht="51" x14ac:dyDescent="0.2">
      <c r="A1238" s="292" t="s">
        <v>375</v>
      </c>
      <c r="B1238" s="293" t="s">
        <v>704</v>
      </c>
      <c r="C1238" s="293" t="s">
        <v>1314</v>
      </c>
      <c r="D1238" s="293" t="s">
        <v>1314</v>
      </c>
      <c r="E1238" s="294">
        <v>1621700</v>
      </c>
    </row>
    <row r="1239" spans="1:5" ht="51" x14ac:dyDescent="0.2">
      <c r="A1239" s="292" t="s">
        <v>1501</v>
      </c>
      <c r="B1239" s="293" t="s">
        <v>704</v>
      </c>
      <c r="C1239" s="293" t="s">
        <v>290</v>
      </c>
      <c r="D1239" s="293" t="s">
        <v>1314</v>
      </c>
      <c r="E1239" s="294">
        <v>1579310</v>
      </c>
    </row>
    <row r="1240" spans="1:5" ht="25.5" x14ac:dyDescent="0.2">
      <c r="A1240" s="292" t="s">
        <v>1345</v>
      </c>
      <c r="B1240" s="293" t="s">
        <v>704</v>
      </c>
      <c r="C1240" s="293" t="s">
        <v>30</v>
      </c>
      <c r="D1240" s="293" t="s">
        <v>1314</v>
      </c>
      <c r="E1240" s="294">
        <v>1579310</v>
      </c>
    </row>
    <row r="1241" spans="1:5" x14ac:dyDescent="0.2">
      <c r="A1241" s="292" t="s">
        <v>250</v>
      </c>
      <c r="B1241" s="293" t="s">
        <v>704</v>
      </c>
      <c r="C1241" s="293" t="s">
        <v>30</v>
      </c>
      <c r="D1241" s="293" t="s">
        <v>1212</v>
      </c>
      <c r="E1241" s="294">
        <v>1579310</v>
      </c>
    </row>
    <row r="1242" spans="1:5" ht="38.25" x14ac:dyDescent="0.2">
      <c r="A1242" s="292" t="s">
        <v>252</v>
      </c>
      <c r="B1242" s="293" t="s">
        <v>704</v>
      </c>
      <c r="C1242" s="293" t="s">
        <v>30</v>
      </c>
      <c r="D1242" s="293" t="s">
        <v>372</v>
      </c>
      <c r="E1242" s="294">
        <v>1579310</v>
      </c>
    </row>
    <row r="1243" spans="1:5" ht="25.5" x14ac:dyDescent="0.2">
      <c r="A1243" s="292" t="s">
        <v>1502</v>
      </c>
      <c r="B1243" s="293" t="s">
        <v>704</v>
      </c>
      <c r="C1243" s="293" t="s">
        <v>1503</v>
      </c>
      <c r="D1243" s="293" t="s">
        <v>1314</v>
      </c>
      <c r="E1243" s="294">
        <v>42390</v>
      </c>
    </row>
    <row r="1244" spans="1:5" ht="25.5" x14ac:dyDescent="0.2">
      <c r="A1244" s="292" t="s">
        <v>1338</v>
      </c>
      <c r="B1244" s="293" t="s">
        <v>704</v>
      </c>
      <c r="C1244" s="293" t="s">
        <v>1339</v>
      </c>
      <c r="D1244" s="293" t="s">
        <v>1314</v>
      </c>
      <c r="E1244" s="294">
        <v>42390</v>
      </c>
    </row>
    <row r="1245" spans="1:5" x14ac:dyDescent="0.2">
      <c r="A1245" s="292" t="s">
        <v>250</v>
      </c>
      <c r="B1245" s="293" t="s">
        <v>704</v>
      </c>
      <c r="C1245" s="293" t="s">
        <v>1339</v>
      </c>
      <c r="D1245" s="293" t="s">
        <v>1212</v>
      </c>
      <c r="E1245" s="294">
        <v>42390</v>
      </c>
    </row>
    <row r="1246" spans="1:5" ht="38.25" x14ac:dyDescent="0.2">
      <c r="A1246" s="292" t="s">
        <v>252</v>
      </c>
      <c r="B1246" s="293" t="s">
        <v>704</v>
      </c>
      <c r="C1246" s="293" t="s">
        <v>1339</v>
      </c>
      <c r="D1246" s="293" t="s">
        <v>372</v>
      </c>
      <c r="E1246" s="294">
        <v>42390</v>
      </c>
    </row>
    <row r="1247" spans="1:5" ht="178.5" x14ac:dyDescent="0.2">
      <c r="A1247" s="292" t="s">
        <v>540</v>
      </c>
      <c r="B1247" s="293" t="s">
        <v>707</v>
      </c>
      <c r="C1247" s="293" t="s">
        <v>1314</v>
      </c>
      <c r="D1247" s="293" t="s">
        <v>1314</v>
      </c>
      <c r="E1247" s="294">
        <v>777154</v>
      </c>
    </row>
    <row r="1248" spans="1:5" ht="51" x14ac:dyDescent="0.2">
      <c r="A1248" s="292" t="s">
        <v>1501</v>
      </c>
      <c r="B1248" s="293" t="s">
        <v>707</v>
      </c>
      <c r="C1248" s="293" t="s">
        <v>290</v>
      </c>
      <c r="D1248" s="293" t="s">
        <v>1314</v>
      </c>
      <c r="E1248" s="294">
        <v>777154</v>
      </c>
    </row>
    <row r="1249" spans="1:5" ht="25.5" x14ac:dyDescent="0.2">
      <c r="A1249" s="292" t="s">
        <v>1345</v>
      </c>
      <c r="B1249" s="293" t="s">
        <v>707</v>
      </c>
      <c r="C1249" s="293" t="s">
        <v>30</v>
      </c>
      <c r="D1249" s="293" t="s">
        <v>1314</v>
      </c>
      <c r="E1249" s="294">
        <v>777154</v>
      </c>
    </row>
    <row r="1250" spans="1:5" x14ac:dyDescent="0.2">
      <c r="A1250" s="292" t="s">
        <v>250</v>
      </c>
      <c r="B1250" s="293" t="s">
        <v>707</v>
      </c>
      <c r="C1250" s="293" t="s">
        <v>30</v>
      </c>
      <c r="D1250" s="293" t="s">
        <v>1212</v>
      </c>
      <c r="E1250" s="294">
        <v>777154</v>
      </c>
    </row>
    <row r="1251" spans="1:5" ht="38.25" x14ac:dyDescent="0.2">
      <c r="A1251" s="292" t="s">
        <v>252</v>
      </c>
      <c r="B1251" s="293" t="s">
        <v>707</v>
      </c>
      <c r="C1251" s="293" t="s">
        <v>30</v>
      </c>
      <c r="D1251" s="293" t="s">
        <v>372</v>
      </c>
      <c r="E1251" s="294">
        <v>777154</v>
      </c>
    </row>
    <row r="1252" spans="1:5" ht="38.25" x14ac:dyDescent="0.2">
      <c r="A1252" s="292" t="s">
        <v>369</v>
      </c>
      <c r="B1252" s="293" t="s">
        <v>1070</v>
      </c>
      <c r="C1252" s="293" t="s">
        <v>1314</v>
      </c>
      <c r="D1252" s="293" t="s">
        <v>1314</v>
      </c>
      <c r="E1252" s="294">
        <v>3833218</v>
      </c>
    </row>
    <row r="1253" spans="1:5" ht="38.25" x14ac:dyDescent="0.2">
      <c r="A1253" s="292" t="s">
        <v>369</v>
      </c>
      <c r="B1253" s="293" t="s">
        <v>697</v>
      </c>
      <c r="C1253" s="293" t="s">
        <v>1314</v>
      </c>
      <c r="D1253" s="293" t="s">
        <v>1314</v>
      </c>
      <c r="E1253" s="294">
        <v>3781218</v>
      </c>
    </row>
    <row r="1254" spans="1:5" ht="51" x14ac:dyDescent="0.2">
      <c r="A1254" s="292" t="s">
        <v>1501</v>
      </c>
      <c r="B1254" s="293" t="s">
        <v>697</v>
      </c>
      <c r="C1254" s="293" t="s">
        <v>290</v>
      </c>
      <c r="D1254" s="293" t="s">
        <v>1314</v>
      </c>
      <c r="E1254" s="294">
        <v>3781218</v>
      </c>
    </row>
    <row r="1255" spans="1:5" ht="25.5" x14ac:dyDescent="0.2">
      <c r="A1255" s="292" t="s">
        <v>1345</v>
      </c>
      <c r="B1255" s="293" t="s">
        <v>697</v>
      </c>
      <c r="C1255" s="293" t="s">
        <v>30</v>
      </c>
      <c r="D1255" s="293" t="s">
        <v>1314</v>
      </c>
      <c r="E1255" s="294">
        <v>3781218</v>
      </c>
    </row>
    <row r="1256" spans="1:5" x14ac:dyDescent="0.2">
      <c r="A1256" s="292" t="s">
        <v>250</v>
      </c>
      <c r="B1256" s="293" t="s">
        <v>697</v>
      </c>
      <c r="C1256" s="293" t="s">
        <v>30</v>
      </c>
      <c r="D1256" s="293" t="s">
        <v>1212</v>
      </c>
      <c r="E1256" s="294">
        <v>3781218</v>
      </c>
    </row>
    <row r="1257" spans="1:5" ht="38.25" x14ac:dyDescent="0.2">
      <c r="A1257" s="292" t="s">
        <v>71</v>
      </c>
      <c r="B1257" s="293" t="s">
        <v>697</v>
      </c>
      <c r="C1257" s="293" t="s">
        <v>30</v>
      </c>
      <c r="D1257" s="293" t="s">
        <v>366</v>
      </c>
      <c r="E1257" s="294">
        <v>3781218</v>
      </c>
    </row>
    <row r="1258" spans="1:5" ht="51" x14ac:dyDescent="0.2">
      <c r="A1258" s="292" t="s">
        <v>1214</v>
      </c>
      <c r="B1258" s="293" t="s">
        <v>698</v>
      </c>
      <c r="C1258" s="293" t="s">
        <v>1314</v>
      </c>
      <c r="D1258" s="293" t="s">
        <v>1314</v>
      </c>
      <c r="E1258" s="294">
        <v>52000</v>
      </c>
    </row>
    <row r="1259" spans="1:5" ht="51" x14ac:dyDescent="0.2">
      <c r="A1259" s="292" t="s">
        <v>1501</v>
      </c>
      <c r="B1259" s="293" t="s">
        <v>698</v>
      </c>
      <c r="C1259" s="293" t="s">
        <v>290</v>
      </c>
      <c r="D1259" s="293" t="s">
        <v>1314</v>
      </c>
      <c r="E1259" s="294">
        <v>52000</v>
      </c>
    </row>
    <row r="1260" spans="1:5" ht="25.5" x14ac:dyDescent="0.2">
      <c r="A1260" s="292" t="s">
        <v>1345</v>
      </c>
      <c r="B1260" s="293" t="s">
        <v>698</v>
      </c>
      <c r="C1260" s="293" t="s">
        <v>30</v>
      </c>
      <c r="D1260" s="293" t="s">
        <v>1314</v>
      </c>
      <c r="E1260" s="294">
        <v>52000</v>
      </c>
    </row>
    <row r="1261" spans="1:5" x14ac:dyDescent="0.2">
      <c r="A1261" s="292" t="s">
        <v>250</v>
      </c>
      <c r="B1261" s="293" t="s">
        <v>698</v>
      </c>
      <c r="C1261" s="293" t="s">
        <v>30</v>
      </c>
      <c r="D1261" s="293" t="s">
        <v>1212</v>
      </c>
      <c r="E1261" s="294">
        <v>52000</v>
      </c>
    </row>
    <row r="1262" spans="1:5" ht="38.25" x14ac:dyDescent="0.2">
      <c r="A1262" s="292" t="s">
        <v>71</v>
      </c>
      <c r="B1262" s="293" t="s">
        <v>698</v>
      </c>
      <c r="C1262" s="293" t="s">
        <v>30</v>
      </c>
      <c r="D1262" s="293" t="s">
        <v>366</v>
      </c>
      <c r="E1262" s="294">
        <v>52000</v>
      </c>
    </row>
    <row r="1263" spans="1:5" ht="51" x14ac:dyDescent="0.2">
      <c r="A1263" s="292" t="s">
        <v>371</v>
      </c>
      <c r="B1263" s="293" t="s">
        <v>1071</v>
      </c>
      <c r="C1263" s="293" t="s">
        <v>1314</v>
      </c>
      <c r="D1263" s="293" t="s">
        <v>1314</v>
      </c>
      <c r="E1263" s="294">
        <v>1253955</v>
      </c>
    </row>
    <row r="1264" spans="1:5" ht="51" x14ac:dyDescent="0.2">
      <c r="A1264" s="292" t="s">
        <v>371</v>
      </c>
      <c r="B1264" s="293" t="s">
        <v>699</v>
      </c>
      <c r="C1264" s="293" t="s">
        <v>1314</v>
      </c>
      <c r="D1264" s="293" t="s">
        <v>1314</v>
      </c>
      <c r="E1264" s="294">
        <v>1213955</v>
      </c>
    </row>
    <row r="1265" spans="1:5" ht="51" x14ac:dyDescent="0.2">
      <c r="A1265" s="292" t="s">
        <v>1501</v>
      </c>
      <c r="B1265" s="293" t="s">
        <v>699</v>
      </c>
      <c r="C1265" s="293" t="s">
        <v>290</v>
      </c>
      <c r="D1265" s="293" t="s">
        <v>1314</v>
      </c>
      <c r="E1265" s="294">
        <v>1213955</v>
      </c>
    </row>
    <row r="1266" spans="1:5" ht="25.5" x14ac:dyDescent="0.2">
      <c r="A1266" s="292" t="s">
        <v>1345</v>
      </c>
      <c r="B1266" s="293" t="s">
        <v>699</v>
      </c>
      <c r="C1266" s="293" t="s">
        <v>30</v>
      </c>
      <c r="D1266" s="293" t="s">
        <v>1314</v>
      </c>
      <c r="E1266" s="294">
        <v>1213955</v>
      </c>
    </row>
    <row r="1267" spans="1:5" x14ac:dyDescent="0.2">
      <c r="A1267" s="292" t="s">
        <v>250</v>
      </c>
      <c r="B1267" s="293" t="s">
        <v>699</v>
      </c>
      <c r="C1267" s="293" t="s">
        <v>30</v>
      </c>
      <c r="D1267" s="293" t="s">
        <v>1212</v>
      </c>
      <c r="E1267" s="294">
        <v>1213955</v>
      </c>
    </row>
    <row r="1268" spans="1:5" ht="38.25" x14ac:dyDescent="0.2">
      <c r="A1268" s="292" t="s">
        <v>232</v>
      </c>
      <c r="B1268" s="293" t="s">
        <v>699</v>
      </c>
      <c r="C1268" s="293" t="s">
        <v>30</v>
      </c>
      <c r="D1268" s="293" t="s">
        <v>370</v>
      </c>
      <c r="E1268" s="294">
        <v>1213955</v>
      </c>
    </row>
    <row r="1269" spans="1:5" ht="63.75" x14ac:dyDescent="0.2">
      <c r="A1269" s="292" t="s">
        <v>606</v>
      </c>
      <c r="B1269" s="293" t="s">
        <v>700</v>
      </c>
      <c r="C1269" s="293" t="s">
        <v>1314</v>
      </c>
      <c r="D1269" s="293" t="s">
        <v>1314</v>
      </c>
      <c r="E1269" s="294">
        <v>40000</v>
      </c>
    </row>
    <row r="1270" spans="1:5" ht="51" x14ac:dyDescent="0.2">
      <c r="A1270" s="292" t="s">
        <v>1501</v>
      </c>
      <c r="B1270" s="293" t="s">
        <v>700</v>
      </c>
      <c r="C1270" s="293" t="s">
        <v>290</v>
      </c>
      <c r="D1270" s="293" t="s">
        <v>1314</v>
      </c>
      <c r="E1270" s="294">
        <v>40000</v>
      </c>
    </row>
    <row r="1271" spans="1:5" ht="25.5" x14ac:dyDescent="0.2">
      <c r="A1271" s="292" t="s">
        <v>1345</v>
      </c>
      <c r="B1271" s="293" t="s">
        <v>700</v>
      </c>
      <c r="C1271" s="293" t="s">
        <v>30</v>
      </c>
      <c r="D1271" s="293" t="s">
        <v>1314</v>
      </c>
      <c r="E1271" s="294">
        <v>40000</v>
      </c>
    </row>
    <row r="1272" spans="1:5" x14ac:dyDescent="0.2">
      <c r="A1272" s="292" t="s">
        <v>250</v>
      </c>
      <c r="B1272" s="293" t="s">
        <v>700</v>
      </c>
      <c r="C1272" s="293" t="s">
        <v>30</v>
      </c>
      <c r="D1272" s="293" t="s">
        <v>1212</v>
      </c>
      <c r="E1272" s="294">
        <v>40000</v>
      </c>
    </row>
    <row r="1273" spans="1:5" ht="38.25" x14ac:dyDescent="0.2">
      <c r="A1273" s="292" t="s">
        <v>232</v>
      </c>
      <c r="B1273" s="293" t="s">
        <v>700</v>
      </c>
      <c r="C1273" s="293" t="s">
        <v>30</v>
      </c>
      <c r="D1273" s="293" t="s">
        <v>370</v>
      </c>
      <c r="E1273" s="294">
        <v>40000</v>
      </c>
    </row>
    <row r="1274" spans="1:5" ht="25.5" x14ac:dyDescent="0.2">
      <c r="A1274" s="292" t="s">
        <v>648</v>
      </c>
      <c r="B1274" s="293" t="s">
        <v>1072</v>
      </c>
      <c r="C1274" s="293" t="s">
        <v>1314</v>
      </c>
      <c r="D1274" s="293" t="s">
        <v>1314</v>
      </c>
      <c r="E1274" s="294">
        <v>81242983</v>
      </c>
    </row>
    <row r="1275" spans="1:5" ht="25.5" x14ac:dyDescent="0.2">
      <c r="A1275" s="292" t="s">
        <v>467</v>
      </c>
      <c r="B1275" s="293" t="s">
        <v>1073</v>
      </c>
      <c r="C1275" s="293" t="s">
        <v>1314</v>
      </c>
      <c r="D1275" s="293" t="s">
        <v>1314</v>
      </c>
      <c r="E1275" s="294">
        <v>2000000</v>
      </c>
    </row>
    <row r="1276" spans="1:5" ht="25.5" x14ac:dyDescent="0.2">
      <c r="A1276" s="292" t="s">
        <v>467</v>
      </c>
      <c r="B1276" s="293" t="s">
        <v>850</v>
      </c>
      <c r="C1276" s="293" t="s">
        <v>1314</v>
      </c>
      <c r="D1276" s="293" t="s">
        <v>1314</v>
      </c>
      <c r="E1276" s="294">
        <v>2000000</v>
      </c>
    </row>
    <row r="1277" spans="1:5" x14ac:dyDescent="0.2">
      <c r="A1277" s="292" t="s">
        <v>1504</v>
      </c>
      <c r="B1277" s="293" t="s">
        <v>850</v>
      </c>
      <c r="C1277" s="293" t="s">
        <v>1505</v>
      </c>
      <c r="D1277" s="293" t="s">
        <v>1314</v>
      </c>
      <c r="E1277" s="294">
        <v>2000000</v>
      </c>
    </row>
    <row r="1278" spans="1:5" x14ac:dyDescent="0.2">
      <c r="A1278" s="292" t="s">
        <v>468</v>
      </c>
      <c r="B1278" s="293" t="s">
        <v>850</v>
      </c>
      <c r="C1278" s="293" t="s">
        <v>469</v>
      </c>
      <c r="D1278" s="293" t="s">
        <v>1314</v>
      </c>
      <c r="E1278" s="294">
        <v>2000000</v>
      </c>
    </row>
    <row r="1279" spans="1:5" x14ac:dyDescent="0.2">
      <c r="A1279" s="292" t="s">
        <v>250</v>
      </c>
      <c r="B1279" s="293" t="s">
        <v>850</v>
      </c>
      <c r="C1279" s="293" t="s">
        <v>469</v>
      </c>
      <c r="D1279" s="293" t="s">
        <v>1212</v>
      </c>
      <c r="E1279" s="294">
        <v>2000000</v>
      </c>
    </row>
    <row r="1280" spans="1:5" x14ac:dyDescent="0.2">
      <c r="A1280" s="292" t="s">
        <v>62</v>
      </c>
      <c r="B1280" s="293" t="s">
        <v>850</v>
      </c>
      <c r="C1280" s="293" t="s">
        <v>469</v>
      </c>
      <c r="D1280" s="293" t="s">
        <v>466</v>
      </c>
      <c r="E1280" s="294">
        <v>2000000</v>
      </c>
    </row>
    <row r="1281" spans="1:5" ht="51" x14ac:dyDescent="0.2">
      <c r="A1281" s="292" t="s">
        <v>481</v>
      </c>
      <c r="B1281" s="293" t="s">
        <v>1335</v>
      </c>
      <c r="C1281" s="293" t="s">
        <v>1314</v>
      </c>
      <c r="D1281" s="293" t="s">
        <v>1314</v>
      </c>
      <c r="E1281" s="294">
        <v>22100</v>
      </c>
    </row>
    <row r="1282" spans="1:5" ht="51" x14ac:dyDescent="0.2">
      <c r="A1282" s="292" t="s">
        <v>481</v>
      </c>
      <c r="B1282" s="293" t="s">
        <v>708</v>
      </c>
      <c r="C1282" s="293" t="s">
        <v>1314</v>
      </c>
      <c r="D1282" s="293" t="s">
        <v>1314</v>
      </c>
      <c r="E1282" s="294">
        <v>22100</v>
      </c>
    </row>
    <row r="1283" spans="1:5" ht="25.5" x14ac:dyDescent="0.2">
      <c r="A1283" s="292" t="s">
        <v>1502</v>
      </c>
      <c r="B1283" s="293" t="s">
        <v>708</v>
      </c>
      <c r="C1283" s="293" t="s">
        <v>1503</v>
      </c>
      <c r="D1283" s="293" t="s">
        <v>1314</v>
      </c>
      <c r="E1283" s="294">
        <v>22100</v>
      </c>
    </row>
    <row r="1284" spans="1:5" ht="25.5" x14ac:dyDescent="0.2">
      <c r="A1284" s="292" t="s">
        <v>1338</v>
      </c>
      <c r="B1284" s="293" t="s">
        <v>708</v>
      </c>
      <c r="C1284" s="293" t="s">
        <v>1339</v>
      </c>
      <c r="D1284" s="293" t="s">
        <v>1314</v>
      </c>
      <c r="E1284" s="294">
        <v>22100</v>
      </c>
    </row>
    <row r="1285" spans="1:5" x14ac:dyDescent="0.2">
      <c r="A1285" s="292" t="s">
        <v>250</v>
      </c>
      <c r="B1285" s="293" t="s">
        <v>708</v>
      </c>
      <c r="C1285" s="293" t="s">
        <v>1339</v>
      </c>
      <c r="D1285" s="293" t="s">
        <v>1212</v>
      </c>
      <c r="E1285" s="294">
        <v>22100</v>
      </c>
    </row>
    <row r="1286" spans="1:5" x14ac:dyDescent="0.2">
      <c r="A1286" s="292" t="s">
        <v>1333</v>
      </c>
      <c r="B1286" s="293" t="s">
        <v>708</v>
      </c>
      <c r="C1286" s="293" t="s">
        <v>1339</v>
      </c>
      <c r="D1286" s="293" t="s">
        <v>1334</v>
      </c>
      <c r="E1286" s="294">
        <v>22100</v>
      </c>
    </row>
    <row r="1287" spans="1:5" ht="38.25" x14ac:dyDescent="0.2">
      <c r="A1287" s="292" t="s">
        <v>430</v>
      </c>
      <c r="B1287" s="293" t="s">
        <v>1074</v>
      </c>
      <c r="C1287" s="293" t="s">
        <v>1314</v>
      </c>
      <c r="D1287" s="293" t="s">
        <v>1314</v>
      </c>
      <c r="E1287" s="294">
        <v>5626876</v>
      </c>
    </row>
    <row r="1288" spans="1:5" ht="38.25" x14ac:dyDescent="0.2">
      <c r="A1288" s="292" t="s">
        <v>430</v>
      </c>
      <c r="B1288" s="293" t="s">
        <v>751</v>
      </c>
      <c r="C1288" s="293" t="s">
        <v>1314</v>
      </c>
      <c r="D1288" s="293" t="s">
        <v>1314</v>
      </c>
      <c r="E1288" s="294">
        <v>5376876</v>
      </c>
    </row>
    <row r="1289" spans="1:5" ht="51" x14ac:dyDescent="0.2">
      <c r="A1289" s="292" t="s">
        <v>1501</v>
      </c>
      <c r="B1289" s="293" t="s">
        <v>751</v>
      </c>
      <c r="C1289" s="293" t="s">
        <v>290</v>
      </c>
      <c r="D1289" s="293" t="s">
        <v>1314</v>
      </c>
      <c r="E1289" s="294">
        <v>5003677</v>
      </c>
    </row>
    <row r="1290" spans="1:5" x14ac:dyDescent="0.2">
      <c r="A1290" s="292" t="s">
        <v>1331</v>
      </c>
      <c r="B1290" s="293" t="s">
        <v>751</v>
      </c>
      <c r="C1290" s="293" t="s">
        <v>140</v>
      </c>
      <c r="D1290" s="293" t="s">
        <v>1314</v>
      </c>
      <c r="E1290" s="294">
        <v>5003677</v>
      </c>
    </row>
    <row r="1291" spans="1:5" x14ac:dyDescent="0.2">
      <c r="A1291" s="292" t="s">
        <v>255</v>
      </c>
      <c r="B1291" s="293" t="s">
        <v>751</v>
      </c>
      <c r="C1291" s="293" t="s">
        <v>140</v>
      </c>
      <c r="D1291" s="293" t="s">
        <v>1219</v>
      </c>
      <c r="E1291" s="294">
        <v>5003677</v>
      </c>
    </row>
    <row r="1292" spans="1:5" ht="25.5" x14ac:dyDescent="0.2">
      <c r="A1292" s="292" t="s">
        <v>158</v>
      </c>
      <c r="B1292" s="293" t="s">
        <v>751</v>
      </c>
      <c r="C1292" s="293" t="s">
        <v>140</v>
      </c>
      <c r="D1292" s="293" t="s">
        <v>429</v>
      </c>
      <c r="E1292" s="294">
        <v>5003677</v>
      </c>
    </row>
    <row r="1293" spans="1:5" ht="25.5" x14ac:dyDescent="0.2">
      <c r="A1293" s="292" t="s">
        <v>1502</v>
      </c>
      <c r="B1293" s="293" t="s">
        <v>751</v>
      </c>
      <c r="C1293" s="293" t="s">
        <v>1503</v>
      </c>
      <c r="D1293" s="293" t="s">
        <v>1314</v>
      </c>
      <c r="E1293" s="294">
        <v>373199</v>
      </c>
    </row>
    <row r="1294" spans="1:5" ht="25.5" x14ac:dyDescent="0.2">
      <c r="A1294" s="292" t="s">
        <v>1338</v>
      </c>
      <c r="B1294" s="293" t="s">
        <v>751</v>
      </c>
      <c r="C1294" s="293" t="s">
        <v>1339</v>
      </c>
      <c r="D1294" s="293" t="s">
        <v>1314</v>
      </c>
      <c r="E1294" s="294">
        <v>373199</v>
      </c>
    </row>
    <row r="1295" spans="1:5" x14ac:dyDescent="0.2">
      <c r="A1295" s="292" t="s">
        <v>255</v>
      </c>
      <c r="B1295" s="293" t="s">
        <v>751</v>
      </c>
      <c r="C1295" s="293" t="s">
        <v>1339</v>
      </c>
      <c r="D1295" s="293" t="s">
        <v>1219</v>
      </c>
      <c r="E1295" s="294">
        <v>373199</v>
      </c>
    </row>
    <row r="1296" spans="1:5" ht="25.5" x14ac:dyDescent="0.2">
      <c r="A1296" s="292" t="s">
        <v>158</v>
      </c>
      <c r="B1296" s="293" t="s">
        <v>751</v>
      </c>
      <c r="C1296" s="293" t="s">
        <v>1339</v>
      </c>
      <c r="D1296" s="293" t="s">
        <v>429</v>
      </c>
      <c r="E1296" s="294">
        <v>373199</v>
      </c>
    </row>
    <row r="1297" spans="1:5" ht="51" x14ac:dyDescent="0.2">
      <c r="A1297" s="292" t="s">
        <v>610</v>
      </c>
      <c r="B1297" s="293" t="s">
        <v>752</v>
      </c>
      <c r="C1297" s="293" t="s">
        <v>1314</v>
      </c>
      <c r="D1297" s="293" t="s">
        <v>1314</v>
      </c>
      <c r="E1297" s="294">
        <v>250000</v>
      </c>
    </row>
    <row r="1298" spans="1:5" ht="51" x14ac:dyDescent="0.2">
      <c r="A1298" s="292" t="s">
        <v>1501</v>
      </c>
      <c r="B1298" s="293" t="s">
        <v>752</v>
      </c>
      <c r="C1298" s="293" t="s">
        <v>290</v>
      </c>
      <c r="D1298" s="293" t="s">
        <v>1314</v>
      </c>
      <c r="E1298" s="294">
        <v>250000</v>
      </c>
    </row>
    <row r="1299" spans="1:5" x14ac:dyDescent="0.2">
      <c r="A1299" s="292" t="s">
        <v>1331</v>
      </c>
      <c r="B1299" s="293" t="s">
        <v>752</v>
      </c>
      <c r="C1299" s="293" t="s">
        <v>140</v>
      </c>
      <c r="D1299" s="293" t="s">
        <v>1314</v>
      </c>
      <c r="E1299" s="294">
        <v>250000</v>
      </c>
    </row>
    <row r="1300" spans="1:5" x14ac:dyDescent="0.2">
      <c r="A1300" s="292" t="s">
        <v>255</v>
      </c>
      <c r="B1300" s="293" t="s">
        <v>752</v>
      </c>
      <c r="C1300" s="293" t="s">
        <v>140</v>
      </c>
      <c r="D1300" s="293" t="s">
        <v>1219</v>
      </c>
      <c r="E1300" s="294">
        <v>250000</v>
      </c>
    </row>
    <row r="1301" spans="1:5" ht="25.5" x14ac:dyDescent="0.2">
      <c r="A1301" s="292" t="s">
        <v>158</v>
      </c>
      <c r="B1301" s="293" t="s">
        <v>752</v>
      </c>
      <c r="C1301" s="293" t="s">
        <v>140</v>
      </c>
      <c r="D1301" s="293" t="s">
        <v>429</v>
      </c>
      <c r="E1301" s="294">
        <v>250000</v>
      </c>
    </row>
    <row r="1302" spans="1:5" ht="51" x14ac:dyDescent="0.2">
      <c r="A1302" s="292" t="s">
        <v>542</v>
      </c>
      <c r="B1302" s="293" t="s">
        <v>1075</v>
      </c>
      <c r="C1302" s="293" t="s">
        <v>1314</v>
      </c>
      <c r="D1302" s="293" t="s">
        <v>1314</v>
      </c>
      <c r="E1302" s="294">
        <v>60000</v>
      </c>
    </row>
    <row r="1303" spans="1:5" ht="51" x14ac:dyDescent="0.2">
      <c r="A1303" s="292" t="s">
        <v>542</v>
      </c>
      <c r="B1303" s="293" t="s">
        <v>712</v>
      </c>
      <c r="C1303" s="293" t="s">
        <v>1314</v>
      </c>
      <c r="D1303" s="293" t="s">
        <v>1314</v>
      </c>
      <c r="E1303" s="294">
        <v>60000</v>
      </c>
    </row>
    <row r="1304" spans="1:5" x14ac:dyDescent="0.2">
      <c r="A1304" s="292" t="s">
        <v>1506</v>
      </c>
      <c r="B1304" s="293" t="s">
        <v>712</v>
      </c>
      <c r="C1304" s="293" t="s">
        <v>1507</v>
      </c>
      <c r="D1304" s="293" t="s">
        <v>1314</v>
      </c>
      <c r="E1304" s="294">
        <v>60000</v>
      </c>
    </row>
    <row r="1305" spans="1:5" ht="25.5" x14ac:dyDescent="0.2">
      <c r="A1305" s="292" t="s">
        <v>378</v>
      </c>
      <c r="B1305" s="293" t="s">
        <v>712</v>
      </c>
      <c r="C1305" s="293" t="s">
        <v>379</v>
      </c>
      <c r="D1305" s="293" t="s">
        <v>1314</v>
      </c>
      <c r="E1305" s="294">
        <v>60000</v>
      </c>
    </row>
    <row r="1306" spans="1:5" x14ac:dyDescent="0.2">
      <c r="A1306" s="292" t="s">
        <v>250</v>
      </c>
      <c r="B1306" s="293" t="s">
        <v>712</v>
      </c>
      <c r="C1306" s="293" t="s">
        <v>379</v>
      </c>
      <c r="D1306" s="293" t="s">
        <v>1212</v>
      </c>
      <c r="E1306" s="294">
        <v>60000</v>
      </c>
    </row>
    <row r="1307" spans="1:5" x14ac:dyDescent="0.2">
      <c r="A1307" s="292" t="s">
        <v>233</v>
      </c>
      <c r="B1307" s="293" t="s">
        <v>712</v>
      </c>
      <c r="C1307" s="293" t="s">
        <v>379</v>
      </c>
      <c r="D1307" s="293" t="s">
        <v>376</v>
      </c>
      <c r="E1307" s="294">
        <v>60000</v>
      </c>
    </row>
    <row r="1308" spans="1:5" ht="25.5" x14ac:dyDescent="0.2">
      <c r="A1308" s="292" t="s">
        <v>1124</v>
      </c>
      <c r="B1308" s="293" t="s">
        <v>1125</v>
      </c>
      <c r="C1308" s="293" t="s">
        <v>1314</v>
      </c>
      <c r="D1308" s="293" t="s">
        <v>1314</v>
      </c>
      <c r="E1308" s="294">
        <v>8441000</v>
      </c>
    </row>
    <row r="1309" spans="1:5" ht="25.5" x14ac:dyDescent="0.2">
      <c r="A1309" s="292" t="s">
        <v>1124</v>
      </c>
      <c r="B1309" s="293" t="s">
        <v>1146</v>
      </c>
      <c r="C1309" s="293" t="s">
        <v>1314</v>
      </c>
      <c r="D1309" s="293" t="s">
        <v>1314</v>
      </c>
      <c r="E1309" s="294">
        <v>8066647</v>
      </c>
    </row>
    <row r="1310" spans="1:5" ht="51" x14ac:dyDescent="0.2">
      <c r="A1310" s="292" t="s">
        <v>1501</v>
      </c>
      <c r="B1310" s="293" t="s">
        <v>1146</v>
      </c>
      <c r="C1310" s="293" t="s">
        <v>290</v>
      </c>
      <c r="D1310" s="293" t="s">
        <v>1314</v>
      </c>
      <c r="E1310" s="294">
        <v>7673647</v>
      </c>
    </row>
    <row r="1311" spans="1:5" ht="25.5" x14ac:dyDescent="0.2">
      <c r="A1311" s="292" t="s">
        <v>1345</v>
      </c>
      <c r="B1311" s="293" t="s">
        <v>1146</v>
      </c>
      <c r="C1311" s="293" t="s">
        <v>30</v>
      </c>
      <c r="D1311" s="293" t="s">
        <v>1314</v>
      </c>
      <c r="E1311" s="294">
        <v>7673647</v>
      </c>
    </row>
    <row r="1312" spans="1:5" x14ac:dyDescent="0.2">
      <c r="A1312" s="292" t="s">
        <v>250</v>
      </c>
      <c r="B1312" s="293" t="s">
        <v>1146</v>
      </c>
      <c r="C1312" s="293" t="s">
        <v>30</v>
      </c>
      <c r="D1312" s="293" t="s">
        <v>1212</v>
      </c>
      <c r="E1312" s="294">
        <v>7673647</v>
      </c>
    </row>
    <row r="1313" spans="1:5" x14ac:dyDescent="0.2">
      <c r="A1313" s="292" t="s">
        <v>233</v>
      </c>
      <c r="B1313" s="293" t="s">
        <v>1146</v>
      </c>
      <c r="C1313" s="293" t="s">
        <v>30</v>
      </c>
      <c r="D1313" s="293" t="s">
        <v>376</v>
      </c>
      <c r="E1313" s="294">
        <v>7673647</v>
      </c>
    </row>
    <row r="1314" spans="1:5" ht="25.5" x14ac:dyDescent="0.2">
      <c r="A1314" s="292" t="s">
        <v>1502</v>
      </c>
      <c r="B1314" s="293" t="s">
        <v>1146</v>
      </c>
      <c r="C1314" s="293" t="s">
        <v>1503</v>
      </c>
      <c r="D1314" s="293" t="s">
        <v>1314</v>
      </c>
      <c r="E1314" s="294">
        <v>393000</v>
      </c>
    </row>
    <row r="1315" spans="1:5" ht="25.5" x14ac:dyDescent="0.2">
      <c r="A1315" s="292" t="s">
        <v>1338</v>
      </c>
      <c r="B1315" s="293" t="s">
        <v>1146</v>
      </c>
      <c r="C1315" s="293" t="s">
        <v>1339</v>
      </c>
      <c r="D1315" s="293" t="s">
        <v>1314</v>
      </c>
      <c r="E1315" s="294">
        <v>393000</v>
      </c>
    </row>
    <row r="1316" spans="1:5" x14ac:dyDescent="0.2">
      <c r="A1316" s="292" t="s">
        <v>250</v>
      </c>
      <c r="B1316" s="293" t="s">
        <v>1146</v>
      </c>
      <c r="C1316" s="293" t="s">
        <v>1339</v>
      </c>
      <c r="D1316" s="293" t="s">
        <v>1212</v>
      </c>
      <c r="E1316" s="294">
        <v>393000</v>
      </c>
    </row>
    <row r="1317" spans="1:5" x14ac:dyDescent="0.2">
      <c r="A1317" s="292" t="s">
        <v>233</v>
      </c>
      <c r="B1317" s="293" t="s">
        <v>1146</v>
      </c>
      <c r="C1317" s="293" t="s">
        <v>1339</v>
      </c>
      <c r="D1317" s="293" t="s">
        <v>376</v>
      </c>
      <c r="E1317" s="294">
        <v>393000</v>
      </c>
    </row>
    <row r="1318" spans="1:5" ht="38.25" x14ac:dyDescent="0.2">
      <c r="A1318" s="292" t="s">
        <v>1223</v>
      </c>
      <c r="B1318" s="293" t="s">
        <v>1224</v>
      </c>
      <c r="C1318" s="293" t="s">
        <v>1314</v>
      </c>
      <c r="D1318" s="293" t="s">
        <v>1314</v>
      </c>
      <c r="E1318" s="294">
        <v>374353</v>
      </c>
    </row>
    <row r="1319" spans="1:5" ht="51" x14ac:dyDescent="0.2">
      <c r="A1319" s="292" t="s">
        <v>1501</v>
      </c>
      <c r="B1319" s="293" t="s">
        <v>1224</v>
      </c>
      <c r="C1319" s="293" t="s">
        <v>290</v>
      </c>
      <c r="D1319" s="293" t="s">
        <v>1314</v>
      </c>
      <c r="E1319" s="294">
        <v>374353</v>
      </c>
    </row>
    <row r="1320" spans="1:5" ht="25.5" x14ac:dyDescent="0.2">
      <c r="A1320" s="292" t="s">
        <v>1345</v>
      </c>
      <c r="B1320" s="293" t="s">
        <v>1224</v>
      </c>
      <c r="C1320" s="293" t="s">
        <v>30</v>
      </c>
      <c r="D1320" s="293" t="s">
        <v>1314</v>
      </c>
      <c r="E1320" s="294">
        <v>374353</v>
      </c>
    </row>
    <row r="1321" spans="1:5" x14ac:dyDescent="0.2">
      <c r="A1321" s="292" t="s">
        <v>250</v>
      </c>
      <c r="B1321" s="293" t="s">
        <v>1224</v>
      </c>
      <c r="C1321" s="293" t="s">
        <v>30</v>
      </c>
      <c r="D1321" s="293" t="s">
        <v>1212</v>
      </c>
      <c r="E1321" s="294">
        <v>374353</v>
      </c>
    </row>
    <row r="1322" spans="1:5" x14ac:dyDescent="0.2">
      <c r="A1322" s="292" t="s">
        <v>233</v>
      </c>
      <c r="B1322" s="293" t="s">
        <v>1224</v>
      </c>
      <c r="C1322" s="293" t="s">
        <v>30</v>
      </c>
      <c r="D1322" s="293" t="s">
        <v>376</v>
      </c>
      <c r="E1322" s="294">
        <v>374353</v>
      </c>
    </row>
    <row r="1323" spans="1:5" ht="25.5" x14ac:dyDescent="0.2">
      <c r="A1323" s="292" t="s">
        <v>471</v>
      </c>
      <c r="B1323" s="293" t="s">
        <v>1076</v>
      </c>
      <c r="C1323" s="293" t="s">
        <v>1314</v>
      </c>
      <c r="D1323" s="293" t="s">
        <v>1314</v>
      </c>
      <c r="E1323" s="294">
        <v>65093007</v>
      </c>
    </row>
    <row r="1324" spans="1:5" ht="25.5" x14ac:dyDescent="0.2">
      <c r="A1324" s="292" t="s">
        <v>471</v>
      </c>
      <c r="B1324" s="293" t="s">
        <v>852</v>
      </c>
      <c r="C1324" s="293" t="s">
        <v>1314</v>
      </c>
      <c r="D1324" s="293" t="s">
        <v>1314</v>
      </c>
      <c r="E1324" s="294">
        <v>62505107</v>
      </c>
    </row>
    <row r="1325" spans="1:5" x14ac:dyDescent="0.2">
      <c r="A1325" s="292" t="s">
        <v>1506</v>
      </c>
      <c r="B1325" s="293" t="s">
        <v>852</v>
      </c>
      <c r="C1325" s="293" t="s">
        <v>1507</v>
      </c>
      <c r="D1325" s="293" t="s">
        <v>1314</v>
      </c>
      <c r="E1325" s="294">
        <v>2405107</v>
      </c>
    </row>
    <row r="1326" spans="1:5" x14ac:dyDescent="0.2">
      <c r="A1326" s="292" t="s">
        <v>1346</v>
      </c>
      <c r="B1326" s="293" t="s">
        <v>852</v>
      </c>
      <c r="C1326" s="293" t="s">
        <v>1347</v>
      </c>
      <c r="D1326" s="293" t="s">
        <v>1314</v>
      </c>
      <c r="E1326" s="294">
        <v>2405107</v>
      </c>
    </row>
    <row r="1327" spans="1:5" x14ac:dyDescent="0.2">
      <c r="A1327" s="292" t="s">
        <v>148</v>
      </c>
      <c r="B1327" s="293" t="s">
        <v>852</v>
      </c>
      <c r="C1327" s="293" t="s">
        <v>1347</v>
      </c>
      <c r="D1327" s="293" t="s">
        <v>1221</v>
      </c>
      <c r="E1327" s="294">
        <v>2405107</v>
      </c>
    </row>
    <row r="1328" spans="1:5" x14ac:dyDescent="0.2">
      <c r="A1328" s="292" t="s">
        <v>104</v>
      </c>
      <c r="B1328" s="293" t="s">
        <v>852</v>
      </c>
      <c r="C1328" s="293" t="s">
        <v>1347</v>
      </c>
      <c r="D1328" s="293" t="s">
        <v>415</v>
      </c>
      <c r="E1328" s="294">
        <v>2405107</v>
      </c>
    </row>
    <row r="1329" spans="1:5" x14ac:dyDescent="0.2">
      <c r="A1329" s="292" t="s">
        <v>2110</v>
      </c>
      <c r="B1329" s="293" t="s">
        <v>852</v>
      </c>
      <c r="C1329" s="293" t="s">
        <v>2111</v>
      </c>
      <c r="D1329" s="293" t="s">
        <v>1314</v>
      </c>
      <c r="E1329" s="294">
        <v>2740</v>
      </c>
    </row>
    <row r="1330" spans="1:5" x14ac:dyDescent="0.2">
      <c r="A1330" s="292" t="s">
        <v>2112</v>
      </c>
      <c r="B1330" s="293" t="s">
        <v>852</v>
      </c>
      <c r="C1330" s="293" t="s">
        <v>2113</v>
      </c>
      <c r="D1330" s="293" t="s">
        <v>1314</v>
      </c>
      <c r="E1330" s="294">
        <v>2740</v>
      </c>
    </row>
    <row r="1331" spans="1:5" ht="25.5" x14ac:dyDescent="0.2">
      <c r="A1331" s="292" t="s">
        <v>2106</v>
      </c>
      <c r="B1331" s="293" t="s">
        <v>852</v>
      </c>
      <c r="C1331" s="293" t="s">
        <v>2113</v>
      </c>
      <c r="D1331" s="293" t="s">
        <v>2107</v>
      </c>
      <c r="E1331" s="294">
        <v>2740</v>
      </c>
    </row>
    <row r="1332" spans="1:5" ht="25.5" x14ac:dyDescent="0.2">
      <c r="A1332" s="292" t="s">
        <v>2108</v>
      </c>
      <c r="B1332" s="293" t="s">
        <v>852</v>
      </c>
      <c r="C1332" s="293" t="s">
        <v>2113</v>
      </c>
      <c r="D1332" s="293" t="s">
        <v>2109</v>
      </c>
      <c r="E1332" s="294">
        <v>2740</v>
      </c>
    </row>
    <row r="1333" spans="1:5" x14ac:dyDescent="0.2">
      <c r="A1333" s="292" t="s">
        <v>1504</v>
      </c>
      <c r="B1333" s="293" t="s">
        <v>852</v>
      </c>
      <c r="C1333" s="293" t="s">
        <v>1505</v>
      </c>
      <c r="D1333" s="293" t="s">
        <v>1314</v>
      </c>
      <c r="E1333" s="294">
        <v>60097260</v>
      </c>
    </row>
    <row r="1334" spans="1:5" x14ac:dyDescent="0.2">
      <c r="A1334" s="292" t="s">
        <v>1352</v>
      </c>
      <c r="B1334" s="293" t="s">
        <v>852</v>
      </c>
      <c r="C1334" s="293" t="s">
        <v>214</v>
      </c>
      <c r="D1334" s="293" t="s">
        <v>1314</v>
      </c>
      <c r="E1334" s="294">
        <v>100000</v>
      </c>
    </row>
    <row r="1335" spans="1:5" x14ac:dyDescent="0.2">
      <c r="A1335" s="292" t="s">
        <v>250</v>
      </c>
      <c r="B1335" s="293" t="s">
        <v>852</v>
      </c>
      <c r="C1335" s="293" t="s">
        <v>214</v>
      </c>
      <c r="D1335" s="293" t="s">
        <v>1212</v>
      </c>
      <c r="E1335" s="294">
        <v>100000</v>
      </c>
    </row>
    <row r="1336" spans="1:5" x14ac:dyDescent="0.2">
      <c r="A1336" s="292" t="s">
        <v>233</v>
      </c>
      <c r="B1336" s="293" t="s">
        <v>852</v>
      </c>
      <c r="C1336" s="293" t="s">
        <v>214</v>
      </c>
      <c r="D1336" s="293" t="s">
        <v>376</v>
      </c>
      <c r="E1336" s="294">
        <v>100000</v>
      </c>
    </row>
    <row r="1337" spans="1:5" x14ac:dyDescent="0.2">
      <c r="A1337" s="292" t="s">
        <v>468</v>
      </c>
      <c r="B1337" s="293" t="s">
        <v>852</v>
      </c>
      <c r="C1337" s="293" t="s">
        <v>469</v>
      </c>
      <c r="D1337" s="293" t="s">
        <v>1314</v>
      </c>
      <c r="E1337" s="294">
        <v>59997260</v>
      </c>
    </row>
    <row r="1338" spans="1:5" x14ac:dyDescent="0.2">
      <c r="A1338" s="292" t="s">
        <v>250</v>
      </c>
      <c r="B1338" s="293" t="s">
        <v>852</v>
      </c>
      <c r="C1338" s="293" t="s">
        <v>469</v>
      </c>
      <c r="D1338" s="293" t="s">
        <v>1212</v>
      </c>
      <c r="E1338" s="294">
        <v>59997260</v>
      </c>
    </row>
    <row r="1339" spans="1:5" x14ac:dyDescent="0.2">
      <c r="A1339" s="292" t="s">
        <v>233</v>
      </c>
      <c r="B1339" s="293" t="s">
        <v>852</v>
      </c>
      <c r="C1339" s="293" t="s">
        <v>469</v>
      </c>
      <c r="D1339" s="293" t="s">
        <v>376</v>
      </c>
      <c r="E1339" s="294">
        <v>59997260</v>
      </c>
    </row>
    <row r="1340" spans="1:5" ht="38.25" x14ac:dyDescent="0.2">
      <c r="A1340" s="292" t="s">
        <v>569</v>
      </c>
      <c r="B1340" s="293" t="s">
        <v>791</v>
      </c>
      <c r="C1340" s="293" t="s">
        <v>1314</v>
      </c>
      <c r="D1340" s="293" t="s">
        <v>1314</v>
      </c>
      <c r="E1340" s="294">
        <v>1650000</v>
      </c>
    </row>
    <row r="1341" spans="1:5" ht="25.5" x14ac:dyDescent="0.2">
      <c r="A1341" s="292" t="s">
        <v>1502</v>
      </c>
      <c r="B1341" s="293" t="s">
        <v>791</v>
      </c>
      <c r="C1341" s="293" t="s">
        <v>1503</v>
      </c>
      <c r="D1341" s="293" t="s">
        <v>1314</v>
      </c>
      <c r="E1341" s="294">
        <v>1650000</v>
      </c>
    </row>
    <row r="1342" spans="1:5" ht="25.5" x14ac:dyDescent="0.2">
      <c r="A1342" s="292" t="s">
        <v>1338</v>
      </c>
      <c r="B1342" s="293" t="s">
        <v>791</v>
      </c>
      <c r="C1342" s="293" t="s">
        <v>1339</v>
      </c>
      <c r="D1342" s="293" t="s">
        <v>1314</v>
      </c>
      <c r="E1342" s="294">
        <v>1650000</v>
      </c>
    </row>
    <row r="1343" spans="1:5" x14ac:dyDescent="0.2">
      <c r="A1343" s="292" t="s">
        <v>250</v>
      </c>
      <c r="B1343" s="293" t="s">
        <v>791</v>
      </c>
      <c r="C1343" s="293" t="s">
        <v>1339</v>
      </c>
      <c r="D1343" s="293" t="s">
        <v>1212</v>
      </c>
      <c r="E1343" s="294">
        <v>1650000</v>
      </c>
    </row>
    <row r="1344" spans="1:5" x14ac:dyDescent="0.2">
      <c r="A1344" s="292" t="s">
        <v>233</v>
      </c>
      <c r="B1344" s="293" t="s">
        <v>791</v>
      </c>
      <c r="C1344" s="293" t="s">
        <v>1339</v>
      </c>
      <c r="D1344" s="293" t="s">
        <v>376</v>
      </c>
      <c r="E1344" s="294">
        <v>1650000</v>
      </c>
    </row>
    <row r="1345" spans="1:5" ht="38.25" x14ac:dyDescent="0.2">
      <c r="A1345" s="292" t="s">
        <v>443</v>
      </c>
      <c r="B1345" s="293" t="s">
        <v>792</v>
      </c>
      <c r="C1345" s="293" t="s">
        <v>1314</v>
      </c>
      <c r="D1345" s="293" t="s">
        <v>1314</v>
      </c>
      <c r="E1345" s="294">
        <v>900000</v>
      </c>
    </row>
    <row r="1346" spans="1:5" ht="25.5" x14ac:dyDescent="0.2">
      <c r="A1346" s="292" t="s">
        <v>1502</v>
      </c>
      <c r="B1346" s="293" t="s">
        <v>792</v>
      </c>
      <c r="C1346" s="293" t="s">
        <v>1503</v>
      </c>
      <c r="D1346" s="293" t="s">
        <v>1314</v>
      </c>
      <c r="E1346" s="294">
        <v>900000</v>
      </c>
    </row>
    <row r="1347" spans="1:5" ht="25.5" x14ac:dyDescent="0.2">
      <c r="A1347" s="292" t="s">
        <v>1338</v>
      </c>
      <c r="B1347" s="293" t="s">
        <v>792</v>
      </c>
      <c r="C1347" s="293" t="s">
        <v>1339</v>
      </c>
      <c r="D1347" s="293" t="s">
        <v>1314</v>
      </c>
      <c r="E1347" s="294">
        <v>900000</v>
      </c>
    </row>
    <row r="1348" spans="1:5" x14ac:dyDescent="0.2">
      <c r="A1348" s="292" t="s">
        <v>190</v>
      </c>
      <c r="B1348" s="293" t="s">
        <v>792</v>
      </c>
      <c r="C1348" s="293" t="s">
        <v>1339</v>
      </c>
      <c r="D1348" s="293" t="s">
        <v>1218</v>
      </c>
      <c r="E1348" s="294">
        <v>900000</v>
      </c>
    </row>
    <row r="1349" spans="1:5" x14ac:dyDescent="0.2">
      <c r="A1349" s="292" t="s">
        <v>152</v>
      </c>
      <c r="B1349" s="293" t="s">
        <v>792</v>
      </c>
      <c r="C1349" s="293" t="s">
        <v>1339</v>
      </c>
      <c r="D1349" s="293" t="s">
        <v>400</v>
      </c>
      <c r="E1349" s="294">
        <v>900000</v>
      </c>
    </row>
    <row r="1350" spans="1:5" ht="38.25" x14ac:dyDescent="0.2">
      <c r="A1350" s="52" t="s">
        <v>737</v>
      </c>
      <c r="B1350" s="434" t="s">
        <v>738</v>
      </c>
      <c r="C1350" s="5" t="s">
        <v>1314</v>
      </c>
      <c r="D1350" s="5" t="s">
        <v>1314</v>
      </c>
      <c r="E1350" s="291">
        <v>37900</v>
      </c>
    </row>
    <row r="1351" spans="1:5" ht="25.5" x14ac:dyDescent="0.2">
      <c r="A1351" s="52" t="s">
        <v>1502</v>
      </c>
      <c r="B1351" s="434" t="s">
        <v>738</v>
      </c>
      <c r="C1351" s="5" t="s">
        <v>1503</v>
      </c>
      <c r="D1351" s="5" t="s">
        <v>1314</v>
      </c>
      <c r="E1351" s="291">
        <v>37900</v>
      </c>
    </row>
    <row r="1352" spans="1:5" ht="25.5" x14ac:dyDescent="0.2">
      <c r="A1352" s="52" t="s">
        <v>1338</v>
      </c>
      <c r="B1352" s="434" t="s">
        <v>738</v>
      </c>
      <c r="C1352" s="5" t="s">
        <v>1339</v>
      </c>
      <c r="D1352" s="5" t="s">
        <v>1314</v>
      </c>
      <c r="E1352" s="291">
        <v>37900</v>
      </c>
    </row>
    <row r="1353" spans="1:5" x14ac:dyDescent="0.2">
      <c r="A1353" s="52" t="s">
        <v>255</v>
      </c>
      <c r="B1353" s="434" t="s">
        <v>738</v>
      </c>
      <c r="C1353" s="5" t="s">
        <v>1339</v>
      </c>
      <c r="D1353" s="5" t="s">
        <v>1219</v>
      </c>
      <c r="E1353" s="291">
        <v>37900</v>
      </c>
    </row>
    <row r="1354" spans="1:5" x14ac:dyDescent="0.2">
      <c r="A1354" s="52" t="s">
        <v>153</v>
      </c>
      <c r="B1354" s="434" t="s">
        <v>738</v>
      </c>
      <c r="C1354" s="5" t="s">
        <v>1339</v>
      </c>
      <c r="D1354" s="5" t="s">
        <v>404</v>
      </c>
      <c r="E1354" s="291">
        <v>37900</v>
      </c>
    </row>
  </sheetData>
  <autoFilter ref="A6:E1349"/>
  <mergeCells count="6">
    <mergeCell ref="A1:E1"/>
    <mergeCell ref="A2:E2"/>
    <mergeCell ref="A3:E3"/>
    <mergeCell ref="A5:A6"/>
    <mergeCell ref="B5:D5"/>
    <mergeCell ref="E5:E6"/>
  </mergeCells>
  <pageMargins left="0.51181102362204722" right="0.11811023622047245" top="0.19685039370078741" bottom="0.19685039370078741" header="0.15748031496062992" footer="0.15748031496062992"/>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295"/>
  <sheetViews>
    <sheetView topLeftCell="A2" workbookViewId="0">
      <selection activeCell="I1290" sqref="I1290"/>
    </sheetView>
  </sheetViews>
  <sheetFormatPr defaultRowHeight="12.75" x14ac:dyDescent="0.2"/>
  <cols>
    <col min="1" max="1" width="38.28515625" style="3" customWidth="1"/>
    <col min="2" max="2" width="11.5703125" style="149" customWidth="1"/>
    <col min="3" max="3" width="5.140625" style="3" customWidth="1"/>
    <col min="4" max="4" width="6.85546875" style="3" customWidth="1"/>
    <col min="5" max="5" width="15.28515625" style="3" customWidth="1"/>
    <col min="6" max="6" width="15.7109375" style="19" customWidth="1"/>
    <col min="7" max="16384" width="9.140625" style="3"/>
  </cols>
  <sheetData>
    <row r="1" spans="1:6" ht="50.25" hidden="1" customHeight="1" x14ac:dyDescent="0.2">
      <c r="A1" s="444" t="str">
        <f>"Приложение №"&amp;Н2цср1&amp;"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c r="C1" s="444"/>
      <c r="D1" s="444"/>
      <c r="E1" s="444"/>
      <c r="F1" s="444"/>
    </row>
    <row r="2" spans="1:6" ht="47.25" customHeight="1" x14ac:dyDescent="0.2">
      <c r="A2" s="444" t="str">
        <f>"Приложение "&amp;Н1цср1&amp;" к решению
Богучанского районного Совета депутатов
от "&amp;Р1дата&amp;" года №"&amp;Р1номер</f>
        <v>Приложение 10 к решению
Богучанского районного Совета депутатов
от  04.12.2020 года №5/1-16</v>
      </c>
      <c r="B2" s="444"/>
      <c r="C2" s="444"/>
      <c r="D2" s="444"/>
      <c r="E2" s="444"/>
      <c r="F2" s="444"/>
    </row>
    <row r="3" spans="1:6" ht="124.5" customHeight="1" x14ac:dyDescent="0.3">
      <c r="A3" s="459" t="s">
        <v>2083</v>
      </c>
      <c r="B3" s="459"/>
      <c r="C3" s="459"/>
      <c r="D3" s="459"/>
      <c r="E3" s="459"/>
      <c r="F3" s="459"/>
    </row>
    <row r="4" spans="1:6" x14ac:dyDescent="0.2">
      <c r="F4" s="8" t="s">
        <v>73</v>
      </c>
    </row>
    <row r="5" spans="1:6" ht="12.75" customHeight="1" x14ac:dyDescent="0.2">
      <c r="A5" s="472" t="s">
        <v>1518</v>
      </c>
      <c r="B5" s="480" t="s">
        <v>184</v>
      </c>
      <c r="C5" s="483"/>
      <c r="D5" s="481"/>
      <c r="E5" s="479" t="s">
        <v>1523</v>
      </c>
      <c r="F5" s="479" t="s">
        <v>2082</v>
      </c>
    </row>
    <row r="6" spans="1:6" ht="51" x14ac:dyDescent="0.2">
      <c r="A6" s="473"/>
      <c r="B6" s="142" t="s">
        <v>1516</v>
      </c>
      <c r="C6" s="310" t="s">
        <v>1517</v>
      </c>
      <c r="D6" s="310" t="s">
        <v>1520</v>
      </c>
      <c r="E6" s="479"/>
      <c r="F6" s="479"/>
    </row>
    <row r="7" spans="1:6" s="11" customFormat="1" x14ac:dyDescent="0.2">
      <c r="A7" s="417" t="s">
        <v>694</v>
      </c>
      <c r="B7" s="418" t="s">
        <v>1314</v>
      </c>
      <c r="C7" s="418" t="s">
        <v>1314</v>
      </c>
      <c r="D7" s="419" t="s">
        <v>1314</v>
      </c>
      <c r="E7" s="431">
        <f>2197637720+28000000</f>
        <v>2225637720</v>
      </c>
      <c r="F7" s="431">
        <f>2216506420+58500000</f>
        <v>2275006420</v>
      </c>
    </row>
    <row r="8" spans="1:6" ht="25.5" x14ac:dyDescent="0.2">
      <c r="A8" s="52" t="s">
        <v>483</v>
      </c>
      <c r="B8" s="136" t="s">
        <v>1031</v>
      </c>
      <c r="C8" s="135" t="s">
        <v>1314</v>
      </c>
      <c r="D8" s="135" t="s">
        <v>1314</v>
      </c>
      <c r="E8" s="194">
        <v>1341460338</v>
      </c>
      <c r="F8" s="134">
        <v>1316368338</v>
      </c>
    </row>
    <row r="9" spans="1:6" ht="38.25" x14ac:dyDescent="0.2">
      <c r="A9" s="52" t="s">
        <v>484</v>
      </c>
      <c r="B9" s="136" t="s">
        <v>1032</v>
      </c>
      <c r="C9" s="135" t="s">
        <v>1314</v>
      </c>
      <c r="D9" s="135" t="s">
        <v>1314</v>
      </c>
      <c r="E9" s="194">
        <v>1256541934</v>
      </c>
      <c r="F9" s="134">
        <v>1229111734</v>
      </c>
    </row>
    <row r="10" spans="1:6" ht="153" x14ac:dyDescent="0.2">
      <c r="A10" s="52" t="s">
        <v>450</v>
      </c>
      <c r="B10" s="150" t="s">
        <v>799</v>
      </c>
      <c r="C10" s="135" t="s">
        <v>1314</v>
      </c>
      <c r="D10" s="135" t="s">
        <v>1314</v>
      </c>
      <c r="E10" s="194">
        <v>58303817</v>
      </c>
      <c r="F10" s="134">
        <v>58328417</v>
      </c>
    </row>
    <row r="11" spans="1:6" ht="76.5" x14ac:dyDescent="0.2">
      <c r="A11" s="52" t="s">
        <v>1501</v>
      </c>
      <c r="B11" s="150" t="s">
        <v>799</v>
      </c>
      <c r="C11" s="135" t="s">
        <v>290</v>
      </c>
      <c r="D11" s="136" t="s">
        <v>1314</v>
      </c>
      <c r="E11" s="194">
        <v>28698517</v>
      </c>
      <c r="F11" s="134">
        <v>28698517</v>
      </c>
    </row>
    <row r="12" spans="1:6" ht="25.5" x14ac:dyDescent="0.2">
      <c r="A12" s="52" t="s">
        <v>1331</v>
      </c>
      <c r="B12" s="150" t="s">
        <v>799</v>
      </c>
      <c r="C12" s="135" t="s">
        <v>140</v>
      </c>
      <c r="D12" s="135" t="s">
        <v>1314</v>
      </c>
      <c r="E12" s="194">
        <v>28698517</v>
      </c>
      <c r="F12" s="134">
        <v>28698517</v>
      </c>
    </row>
    <row r="13" spans="1:6" x14ac:dyDescent="0.2">
      <c r="A13" s="52" t="s">
        <v>147</v>
      </c>
      <c r="B13" s="150" t="s">
        <v>799</v>
      </c>
      <c r="C13" s="135" t="s">
        <v>140</v>
      </c>
      <c r="D13" s="135" t="s">
        <v>1220</v>
      </c>
      <c r="E13" s="194">
        <v>28698517</v>
      </c>
      <c r="F13" s="134">
        <v>28698517</v>
      </c>
    </row>
    <row r="14" spans="1:6" x14ac:dyDescent="0.2">
      <c r="A14" s="52" t="s">
        <v>159</v>
      </c>
      <c r="B14" s="150" t="s">
        <v>799</v>
      </c>
      <c r="C14" s="135" t="s">
        <v>140</v>
      </c>
      <c r="D14" s="135" t="s">
        <v>448</v>
      </c>
      <c r="E14" s="194">
        <v>28698517</v>
      </c>
      <c r="F14" s="134">
        <v>28698517</v>
      </c>
    </row>
    <row r="15" spans="1:6" ht="38.25" x14ac:dyDescent="0.2">
      <c r="A15" s="52" t="s">
        <v>1502</v>
      </c>
      <c r="B15" s="150" t="s">
        <v>799</v>
      </c>
      <c r="C15" s="135" t="s">
        <v>1503</v>
      </c>
      <c r="D15" s="135" t="s">
        <v>1314</v>
      </c>
      <c r="E15" s="194">
        <v>29545300</v>
      </c>
      <c r="F15" s="134">
        <v>29569900</v>
      </c>
    </row>
    <row r="16" spans="1:6" ht="38.25" x14ac:dyDescent="0.2">
      <c r="A16" s="52" t="s">
        <v>1338</v>
      </c>
      <c r="B16" s="150" t="s">
        <v>799</v>
      </c>
      <c r="C16" s="135" t="s">
        <v>1339</v>
      </c>
      <c r="D16" s="135" t="s">
        <v>1314</v>
      </c>
      <c r="E16" s="194">
        <v>29545300</v>
      </c>
      <c r="F16" s="134">
        <v>29569900</v>
      </c>
    </row>
    <row r="17" spans="1:6" x14ac:dyDescent="0.2">
      <c r="A17" s="52" t="s">
        <v>147</v>
      </c>
      <c r="B17" s="150" t="s">
        <v>799</v>
      </c>
      <c r="C17" s="135" t="s">
        <v>1339</v>
      </c>
      <c r="D17" s="136" t="s">
        <v>1220</v>
      </c>
      <c r="E17" s="194">
        <v>29545300</v>
      </c>
      <c r="F17" s="134">
        <v>29569900</v>
      </c>
    </row>
    <row r="18" spans="1:6" x14ac:dyDescent="0.2">
      <c r="A18" s="52" t="s">
        <v>159</v>
      </c>
      <c r="B18" s="150" t="s">
        <v>799</v>
      </c>
      <c r="C18" s="135" t="s">
        <v>1339</v>
      </c>
      <c r="D18" s="135" t="s">
        <v>448</v>
      </c>
      <c r="E18" s="194">
        <v>29545300</v>
      </c>
      <c r="F18" s="134">
        <v>29569900</v>
      </c>
    </row>
    <row r="19" spans="1:6" x14ac:dyDescent="0.2">
      <c r="A19" s="52" t="s">
        <v>1504</v>
      </c>
      <c r="B19" s="150" t="s">
        <v>799</v>
      </c>
      <c r="C19" s="135" t="s">
        <v>1505</v>
      </c>
      <c r="D19" s="135" t="s">
        <v>1314</v>
      </c>
      <c r="E19" s="194">
        <v>60000</v>
      </c>
      <c r="F19" s="134">
        <v>60000</v>
      </c>
    </row>
    <row r="20" spans="1:6" x14ac:dyDescent="0.2">
      <c r="A20" s="52" t="s">
        <v>1343</v>
      </c>
      <c r="B20" s="150" t="s">
        <v>799</v>
      </c>
      <c r="C20" s="135" t="s">
        <v>1344</v>
      </c>
      <c r="D20" s="135" t="s">
        <v>1314</v>
      </c>
      <c r="E20" s="194">
        <v>60000</v>
      </c>
      <c r="F20" s="134">
        <v>60000</v>
      </c>
    </row>
    <row r="21" spans="1:6" x14ac:dyDescent="0.2">
      <c r="A21" s="52" t="s">
        <v>147</v>
      </c>
      <c r="B21" s="150" t="s">
        <v>799</v>
      </c>
      <c r="C21" s="135" t="s">
        <v>1344</v>
      </c>
      <c r="D21" s="135" t="s">
        <v>1220</v>
      </c>
      <c r="E21" s="194">
        <v>60000</v>
      </c>
      <c r="F21" s="134">
        <v>60000</v>
      </c>
    </row>
    <row r="22" spans="1:6" x14ac:dyDescent="0.2">
      <c r="A22" s="52" t="s">
        <v>159</v>
      </c>
      <c r="B22" s="150" t="s">
        <v>799</v>
      </c>
      <c r="C22" s="135" t="s">
        <v>1344</v>
      </c>
      <c r="D22" s="135" t="s">
        <v>448</v>
      </c>
      <c r="E22" s="194">
        <v>60000</v>
      </c>
      <c r="F22" s="134">
        <v>60000</v>
      </c>
    </row>
    <row r="23" spans="1:6" ht="165.75" x14ac:dyDescent="0.2">
      <c r="A23" s="52" t="s">
        <v>453</v>
      </c>
      <c r="B23" s="150" t="s">
        <v>807</v>
      </c>
      <c r="C23" s="135" t="s">
        <v>1314</v>
      </c>
      <c r="D23" s="135" t="s">
        <v>1314</v>
      </c>
      <c r="E23" s="194">
        <v>57636838</v>
      </c>
      <c r="F23" s="134">
        <v>57636838</v>
      </c>
    </row>
    <row r="24" spans="1:6" ht="76.5" x14ac:dyDescent="0.2">
      <c r="A24" s="52" t="s">
        <v>1501</v>
      </c>
      <c r="B24" s="150" t="s">
        <v>807</v>
      </c>
      <c r="C24" s="135" t="s">
        <v>290</v>
      </c>
      <c r="D24" s="135" t="s">
        <v>1314</v>
      </c>
      <c r="E24" s="194">
        <v>45403738</v>
      </c>
      <c r="F24" s="134">
        <v>45403738</v>
      </c>
    </row>
    <row r="25" spans="1:6" ht="25.5" x14ac:dyDescent="0.2">
      <c r="A25" s="52" t="s">
        <v>1331</v>
      </c>
      <c r="B25" s="150" t="s">
        <v>807</v>
      </c>
      <c r="C25" s="135" t="s">
        <v>140</v>
      </c>
      <c r="D25" s="135" t="s">
        <v>1314</v>
      </c>
      <c r="E25" s="194">
        <v>45403738</v>
      </c>
      <c r="F25" s="134">
        <v>45403738</v>
      </c>
    </row>
    <row r="26" spans="1:6" x14ac:dyDescent="0.2">
      <c r="A26" s="52" t="s">
        <v>147</v>
      </c>
      <c r="B26" s="150" t="s">
        <v>807</v>
      </c>
      <c r="C26" s="135" t="s">
        <v>140</v>
      </c>
      <c r="D26" s="135" t="s">
        <v>1220</v>
      </c>
      <c r="E26" s="194">
        <v>45403738</v>
      </c>
      <c r="F26" s="134">
        <v>45403738</v>
      </c>
    </row>
    <row r="27" spans="1:6" x14ac:dyDescent="0.2">
      <c r="A27" s="52" t="s">
        <v>160</v>
      </c>
      <c r="B27" s="150" t="s">
        <v>807</v>
      </c>
      <c r="C27" s="135" t="s">
        <v>140</v>
      </c>
      <c r="D27" s="135" t="s">
        <v>435</v>
      </c>
      <c r="E27" s="194">
        <v>45403738</v>
      </c>
      <c r="F27" s="134">
        <v>45403738</v>
      </c>
    </row>
    <row r="28" spans="1:6" ht="38.25" x14ac:dyDescent="0.2">
      <c r="A28" s="52" t="s">
        <v>1502</v>
      </c>
      <c r="B28" s="150" t="s">
        <v>807</v>
      </c>
      <c r="C28" s="135" t="s">
        <v>1503</v>
      </c>
      <c r="D28" s="135" t="s">
        <v>1314</v>
      </c>
      <c r="E28" s="194">
        <v>12183100</v>
      </c>
      <c r="F28" s="134">
        <v>12183100</v>
      </c>
    </row>
    <row r="29" spans="1:6" ht="38.25" x14ac:dyDescent="0.2">
      <c r="A29" s="52" t="s">
        <v>1338</v>
      </c>
      <c r="B29" s="150" t="s">
        <v>807</v>
      </c>
      <c r="C29" s="135" t="s">
        <v>1339</v>
      </c>
      <c r="D29" s="135" t="s">
        <v>1314</v>
      </c>
      <c r="E29" s="194">
        <v>12183100</v>
      </c>
      <c r="F29" s="134">
        <v>12183100</v>
      </c>
    </row>
    <row r="30" spans="1:6" x14ac:dyDescent="0.2">
      <c r="A30" s="52" t="s">
        <v>147</v>
      </c>
      <c r="B30" s="150" t="s">
        <v>807</v>
      </c>
      <c r="C30" s="135" t="s">
        <v>1339</v>
      </c>
      <c r="D30" s="135" t="s">
        <v>1220</v>
      </c>
      <c r="E30" s="194">
        <v>12183100</v>
      </c>
      <c r="F30" s="134">
        <v>12183100</v>
      </c>
    </row>
    <row r="31" spans="1:6" x14ac:dyDescent="0.2">
      <c r="A31" s="52" t="s">
        <v>160</v>
      </c>
      <c r="B31" s="150" t="s">
        <v>807</v>
      </c>
      <c r="C31" s="135" t="s">
        <v>1339</v>
      </c>
      <c r="D31" s="135" t="s">
        <v>435</v>
      </c>
      <c r="E31" s="194">
        <v>12183100</v>
      </c>
      <c r="F31" s="134">
        <v>12183100</v>
      </c>
    </row>
    <row r="32" spans="1:6" x14ac:dyDescent="0.2">
      <c r="A32" s="52" t="s">
        <v>1504</v>
      </c>
      <c r="B32" s="150" t="s">
        <v>807</v>
      </c>
      <c r="C32" s="135" t="s">
        <v>1505</v>
      </c>
      <c r="D32" s="135" t="s">
        <v>1314</v>
      </c>
      <c r="E32" s="194">
        <v>50000</v>
      </c>
      <c r="F32" s="134">
        <v>50000</v>
      </c>
    </row>
    <row r="33" spans="1:6" x14ac:dyDescent="0.2">
      <c r="A33" s="52" t="s">
        <v>1343</v>
      </c>
      <c r="B33" s="150" t="s">
        <v>807</v>
      </c>
      <c r="C33" s="135" t="s">
        <v>1344</v>
      </c>
      <c r="D33" s="135" t="s">
        <v>1314</v>
      </c>
      <c r="E33" s="194">
        <v>50000</v>
      </c>
      <c r="F33" s="134">
        <v>50000</v>
      </c>
    </row>
    <row r="34" spans="1:6" x14ac:dyDescent="0.2">
      <c r="A34" s="52" t="s">
        <v>147</v>
      </c>
      <c r="B34" s="150" t="s">
        <v>807</v>
      </c>
      <c r="C34" s="135" t="s">
        <v>1344</v>
      </c>
      <c r="D34" s="135" t="s">
        <v>1220</v>
      </c>
      <c r="E34" s="194">
        <v>50000</v>
      </c>
      <c r="F34" s="134">
        <v>50000</v>
      </c>
    </row>
    <row r="35" spans="1:6" x14ac:dyDescent="0.2">
      <c r="A35" s="52" t="s">
        <v>160</v>
      </c>
      <c r="B35" s="150" t="s">
        <v>807</v>
      </c>
      <c r="C35" s="135" t="s">
        <v>1344</v>
      </c>
      <c r="D35" s="135" t="s">
        <v>435</v>
      </c>
      <c r="E35" s="194">
        <v>50000</v>
      </c>
      <c r="F35" s="134">
        <v>50000</v>
      </c>
    </row>
    <row r="36" spans="1:6" ht="153" x14ac:dyDescent="0.2">
      <c r="A36" s="52" t="s">
        <v>454</v>
      </c>
      <c r="B36" s="150" t="s">
        <v>811</v>
      </c>
      <c r="C36" s="135" t="s">
        <v>1314</v>
      </c>
      <c r="D36" s="135" t="s">
        <v>1314</v>
      </c>
      <c r="E36" s="194">
        <v>32484500</v>
      </c>
      <c r="F36" s="134">
        <v>32484500</v>
      </c>
    </row>
    <row r="37" spans="1:6" ht="76.5" x14ac:dyDescent="0.2">
      <c r="A37" s="52" t="s">
        <v>1501</v>
      </c>
      <c r="B37" s="150" t="s">
        <v>811</v>
      </c>
      <c r="C37" s="135" t="s">
        <v>290</v>
      </c>
      <c r="D37" s="135" t="s">
        <v>1314</v>
      </c>
      <c r="E37" s="194">
        <v>16445000</v>
      </c>
      <c r="F37" s="134">
        <v>16445000</v>
      </c>
    </row>
    <row r="38" spans="1:6" ht="25.5" x14ac:dyDescent="0.2">
      <c r="A38" s="52" t="s">
        <v>1331</v>
      </c>
      <c r="B38" s="150" t="s">
        <v>811</v>
      </c>
      <c r="C38" s="135" t="s">
        <v>140</v>
      </c>
      <c r="D38" s="135" t="s">
        <v>1314</v>
      </c>
      <c r="E38" s="194">
        <v>16445000</v>
      </c>
      <c r="F38" s="134">
        <v>16445000</v>
      </c>
    </row>
    <row r="39" spans="1:6" x14ac:dyDescent="0.2">
      <c r="A39" s="52" t="s">
        <v>147</v>
      </c>
      <c r="B39" s="150" t="s">
        <v>811</v>
      </c>
      <c r="C39" s="135" t="s">
        <v>140</v>
      </c>
      <c r="D39" s="135" t="s">
        <v>1220</v>
      </c>
      <c r="E39" s="194">
        <v>16445000</v>
      </c>
      <c r="F39" s="134">
        <v>16445000</v>
      </c>
    </row>
    <row r="40" spans="1:6" x14ac:dyDescent="0.2">
      <c r="A40" s="52" t="s">
        <v>1147</v>
      </c>
      <c r="B40" s="150" t="s">
        <v>811</v>
      </c>
      <c r="C40" s="135" t="s">
        <v>140</v>
      </c>
      <c r="D40" s="135" t="s">
        <v>1148</v>
      </c>
      <c r="E40" s="194">
        <v>16445000</v>
      </c>
      <c r="F40" s="134">
        <v>16445000</v>
      </c>
    </row>
    <row r="41" spans="1:6" ht="38.25" x14ac:dyDescent="0.2">
      <c r="A41" s="52" t="s">
        <v>1502</v>
      </c>
      <c r="B41" s="150" t="s">
        <v>811</v>
      </c>
      <c r="C41" s="136" t="s">
        <v>1503</v>
      </c>
      <c r="D41" s="136" t="s">
        <v>1314</v>
      </c>
      <c r="E41" s="194">
        <v>742500</v>
      </c>
      <c r="F41" s="134">
        <v>742500</v>
      </c>
    </row>
    <row r="42" spans="1:6" ht="38.25" x14ac:dyDescent="0.2">
      <c r="A42" s="52" t="s">
        <v>1338</v>
      </c>
      <c r="B42" s="150" t="s">
        <v>811</v>
      </c>
      <c r="C42" s="135" t="s">
        <v>1339</v>
      </c>
      <c r="D42" s="135" t="s">
        <v>1314</v>
      </c>
      <c r="E42" s="194">
        <v>742500</v>
      </c>
      <c r="F42" s="137">
        <v>742500</v>
      </c>
    </row>
    <row r="43" spans="1:6" x14ac:dyDescent="0.2">
      <c r="A43" s="52" t="s">
        <v>147</v>
      </c>
      <c r="B43" s="150" t="s">
        <v>811</v>
      </c>
      <c r="C43" s="135" t="s">
        <v>1339</v>
      </c>
      <c r="D43" s="135" t="s">
        <v>1220</v>
      </c>
      <c r="E43" s="194">
        <v>742500</v>
      </c>
      <c r="F43" s="137">
        <v>742500</v>
      </c>
    </row>
    <row r="44" spans="1:6" x14ac:dyDescent="0.2">
      <c r="A44" s="52" t="s">
        <v>1147</v>
      </c>
      <c r="B44" s="150" t="s">
        <v>811</v>
      </c>
      <c r="C44" s="135" t="s">
        <v>1339</v>
      </c>
      <c r="D44" s="135" t="s">
        <v>1148</v>
      </c>
      <c r="E44" s="194">
        <v>742500</v>
      </c>
      <c r="F44" s="137">
        <v>742500</v>
      </c>
    </row>
    <row r="45" spans="1:6" ht="38.25" x14ac:dyDescent="0.2">
      <c r="A45" s="52" t="s">
        <v>1510</v>
      </c>
      <c r="B45" s="150" t="s">
        <v>811</v>
      </c>
      <c r="C45" s="135" t="s">
        <v>1511</v>
      </c>
      <c r="D45" s="135" t="s">
        <v>1314</v>
      </c>
      <c r="E45" s="194">
        <v>15295000</v>
      </c>
      <c r="F45" s="137">
        <v>15295000</v>
      </c>
    </row>
    <row r="46" spans="1:6" x14ac:dyDescent="0.2">
      <c r="A46" s="52" t="s">
        <v>1340</v>
      </c>
      <c r="B46" s="150" t="s">
        <v>811</v>
      </c>
      <c r="C46" s="135" t="s">
        <v>1341</v>
      </c>
      <c r="D46" s="135" t="s">
        <v>1314</v>
      </c>
      <c r="E46" s="194">
        <v>15295000</v>
      </c>
      <c r="F46" s="137">
        <v>15295000</v>
      </c>
    </row>
    <row r="47" spans="1:6" x14ac:dyDescent="0.2">
      <c r="A47" s="52" t="s">
        <v>147</v>
      </c>
      <c r="B47" s="150" t="s">
        <v>811</v>
      </c>
      <c r="C47" s="135" t="s">
        <v>1341</v>
      </c>
      <c r="D47" s="135" t="s">
        <v>1220</v>
      </c>
      <c r="E47" s="194">
        <v>13926900</v>
      </c>
      <c r="F47" s="137">
        <v>13926900</v>
      </c>
    </row>
    <row r="48" spans="1:6" x14ac:dyDescent="0.2">
      <c r="A48" s="52" t="s">
        <v>1147</v>
      </c>
      <c r="B48" s="150" t="s">
        <v>811</v>
      </c>
      <c r="C48" s="135" t="s">
        <v>1341</v>
      </c>
      <c r="D48" s="135" t="s">
        <v>1148</v>
      </c>
      <c r="E48" s="194">
        <v>13926900</v>
      </c>
      <c r="F48" s="137">
        <v>13926900</v>
      </c>
    </row>
    <row r="49" spans="1:6" x14ac:dyDescent="0.2">
      <c r="A49" s="52" t="s">
        <v>265</v>
      </c>
      <c r="B49" s="150" t="s">
        <v>811</v>
      </c>
      <c r="C49" s="135" t="s">
        <v>1341</v>
      </c>
      <c r="D49" s="135" t="s">
        <v>1222</v>
      </c>
      <c r="E49" s="194">
        <v>1368100</v>
      </c>
      <c r="F49" s="137">
        <v>1368100</v>
      </c>
    </row>
    <row r="50" spans="1:6" x14ac:dyDescent="0.2">
      <c r="A50" s="52" t="s">
        <v>1384</v>
      </c>
      <c r="B50" s="150" t="s">
        <v>811</v>
      </c>
      <c r="C50" s="135" t="s">
        <v>1341</v>
      </c>
      <c r="D50" s="135" t="s">
        <v>1385</v>
      </c>
      <c r="E50" s="194">
        <v>1368100</v>
      </c>
      <c r="F50" s="137">
        <v>1368100</v>
      </c>
    </row>
    <row r="51" spans="1:6" x14ac:dyDescent="0.2">
      <c r="A51" s="52" t="s">
        <v>1504</v>
      </c>
      <c r="B51" s="150" t="s">
        <v>811</v>
      </c>
      <c r="C51" s="135" t="s">
        <v>1505</v>
      </c>
      <c r="D51" s="135" t="s">
        <v>1314</v>
      </c>
      <c r="E51" s="194">
        <v>2000</v>
      </c>
      <c r="F51" s="137">
        <v>2000</v>
      </c>
    </row>
    <row r="52" spans="1:6" x14ac:dyDescent="0.2">
      <c r="A52" s="52" t="s">
        <v>1343</v>
      </c>
      <c r="B52" s="150" t="s">
        <v>811</v>
      </c>
      <c r="C52" s="135" t="s">
        <v>1344</v>
      </c>
      <c r="D52" s="135" t="s">
        <v>1314</v>
      </c>
      <c r="E52" s="194">
        <v>2000</v>
      </c>
      <c r="F52" s="137">
        <v>2000</v>
      </c>
    </row>
    <row r="53" spans="1:6" x14ac:dyDescent="0.2">
      <c r="A53" s="52" t="s">
        <v>147</v>
      </c>
      <c r="B53" s="150" t="s">
        <v>811</v>
      </c>
      <c r="C53" s="135" t="s">
        <v>1344</v>
      </c>
      <c r="D53" s="135" t="s">
        <v>1220</v>
      </c>
      <c r="E53" s="194">
        <v>2000</v>
      </c>
      <c r="F53" s="137">
        <v>2000</v>
      </c>
    </row>
    <row r="54" spans="1:6" x14ac:dyDescent="0.2">
      <c r="A54" s="52" t="s">
        <v>1147</v>
      </c>
      <c r="B54" s="150" t="s">
        <v>811</v>
      </c>
      <c r="C54" s="135" t="s">
        <v>1344</v>
      </c>
      <c r="D54" s="135" t="s">
        <v>1148</v>
      </c>
      <c r="E54" s="194">
        <v>2000</v>
      </c>
      <c r="F54" s="137">
        <v>2000</v>
      </c>
    </row>
    <row r="55" spans="1:6" ht="204" x14ac:dyDescent="0.2">
      <c r="A55" s="52" t="s">
        <v>1689</v>
      </c>
      <c r="B55" s="150" t="s">
        <v>1690</v>
      </c>
      <c r="C55" s="135" t="s">
        <v>1314</v>
      </c>
      <c r="D55" s="135" t="s">
        <v>1314</v>
      </c>
      <c r="E55" s="194">
        <v>651000</v>
      </c>
      <c r="F55" s="137">
        <v>651000</v>
      </c>
    </row>
    <row r="56" spans="1:6" ht="76.5" x14ac:dyDescent="0.2">
      <c r="A56" s="52" t="s">
        <v>1501</v>
      </c>
      <c r="B56" s="150" t="s">
        <v>1690</v>
      </c>
      <c r="C56" s="135" t="s">
        <v>290</v>
      </c>
      <c r="D56" s="135" t="s">
        <v>1314</v>
      </c>
      <c r="E56" s="194">
        <v>651000</v>
      </c>
      <c r="F56" s="137">
        <v>651000</v>
      </c>
    </row>
    <row r="57" spans="1:6" ht="25.5" x14ac:dyDescent="0.2">
      <c r="A57" s="52" t="s">
        <v>1331</v>
      </c>
      <c r="B57" s="150" t="s">
        <v>1690</v>
      </c>
      <c r="C57" s="135" t="s">
        <v>140</v>
      </c>
      <c r="D57" s="135" t="s">
        <v>1314</v>
      </c>
      <c r="E57" s="194">
        <v>651000</v>
      </c>
      <c r="F57" s="137">
        <v>651000</v>
      </c>
    </row>
    <row r="58" spans="1:6" x14ac:dyDescent="0.2">
      <c r="A58" s="52" t="s">
        <v>147</v>
      </c>
      <c r="B58" s="150" t="s">
        <v>1690</v>
      </c>
      <c r="C58" s="135" t="s">
        <v>140</v>
      </c>
      <c r="D58" s="135" t="s">
        <v>1220</v>
      </c>
      <c r="E58" s="194">
        <v>651000</v>
      </c>
      <c r="F58" s="137">
        <v>651000</v>
      </c>
    </row>
    <row r="59" spans="1:6" x14ac:dyDescent="0.2">
      <c r="A59" s="52" t="s">
        <v>1147</v>
      </c>
      <c r="B59" s="150" t="s">
        <v>1690</v>
      </c>
      <c r="C59" s="135" t="s">
        <v>140</v>
      </c>
      <c r="D59" s="135" t="s">
        <v>1148</v>
      </c>
      <c r="E59" s="194">
        <v>651000</v>
      </c>
      <c r="F59" s="137">
        <v>651000</v>
      </c>
    </row>
    <row r="60" spans="1:6" ht="229.5" x14ac:dyDescent="0.2">
      <c r="A60" s="52" t="s">
        <v>1691</v>
      </c>
      <c r="B60" s="150" t="s">
        <v>1692</v>
      </c>
      <c r="C60" s="135" t="s">
        <v>1314</v>
      </c>
      <c r="D60" s="135" t="s">
        <v>1314</v>
      </c>
      <c r="E60" s="194">
        <v>1411400</v>
      </c>
      <c r="F60" s="137">
        <v>1411400</v>
      </c>
    </row>
    <row r="61" spans="1:6" ht="76.5" x14ac:dyDescent="0.2">
      <c r="A61" s="52" t="s">
        <v>1501</v>
      </c>
      <c r="B61" s="150" t="s">
        <v>1692</v>
      </c>
      <c r="C61" s="135" t="s">
        <v>290</v>
      </c>
      <c r="D61" s="135" t="s">
        <v>1314</v>
      </c>
      <c r="E61" s="194">
        <v>911400</v>
      </c>
      <c r="F61" s="137">
        <v>911400</v>
      </c>
    </row>
    <row r="62" spans="1:6" ht="25.5" x14ac:dyDescent="0.2">
      <c r="A62" s="52" t="s">
        <v>1331</v>
      </c>
      <c r="B62" s="150" t="s">
        <v>1692</v>
      </c>
      <c r="C62" s="135" t="s">
        <v>140</v>
      </c>
      <c r="D62" s="135" t="s">
        <v>1314</v>
      </c>
      <c r="E62" s="194">
        <v>911400</v>
      </c>
      <c r="F62" s="137">
        <v>911400</v>
      </c>
    </row>
    <row r="63" spans="1:6" x14ac:dyDescent="0.2">
      <c r="A63" s="52" t="s">
        <v>147</v>
      </c>
      <c r="B63" s="150" t="s">
        <v>1692</v>
      </c>
      <c r="C63" s="135" t="s">
        <v>140</v>
      </c>
      <c r="D63" s="135" t="s">
        <v>1220</v>
      </c>
      <c r="E63" s="194">
        <v>911400</v>
      </c>
      <c r="F63" s="137">
        <v>911400</v>
      </c>
    </row>
    <row r="64" spans="1:6" x14ac:dyDescent="0.2">
      <c r="A64" s="52" t="s">
        <v>1147</v>
      </c>
      <c r="B64" s="150" t="s">
        <v>1692</v>
      </c>
      <c r="C64" s="135" t="s">
        <v>140</v>
      </c>
      <c r="D64" s="135" t="s">
        <v>1148</v>
      </c>
      <c r="E64" s="194">
        <v>911400</v>
      </c>
      <c r="F64" s="137">
        <v>911400</v>
      </c>
    </row>
    <row r="65" spans="1:6" ht="38.25" x14ac:dyDescent="0.2">
      <c r="A65" s="52" t="s">
        <v>1510</v>
      </c>
      <c r="B65" s="150" t="s">
        <v>1692</v>
      </c>
      <c r="C65" s="135" t="s">
        <v>1511</v>
      </c>
      <c r="D65" s="135" t="s">
        <v>1314</v>
      </c>
      <c r="E65" s="194">
        <v>500000</v>
      </c>
      <c r="F65" s="137">
        <v>500000</v>
      </c>
    </row>
    <row r="66" spans="1:6" x14ac:dyDescent="0.2">
      <c r="A66" s="52" t="s">
        <v>1340</v>
      </c>
      <c r="B66" s="150" t="s">
        <v>1692</v>
      </c>
      <c r="C66" s="135" t="s">
        <v>1341</v>
      </c>
      <c r="D66" s="135" t="s">
        <v>1314</v>
      </c>
      <c r="E66" s="194">
        <v>500000</v>
      </c>
      <c r="F66" s="137">
        <v>500000</v>
      </c>
    </row>
    <row r="67" spans="1:6" x14ac:dyDescent="0.2">
      <c r="A67" s="52" t="s">
        <v>147</v>
      </c>
      <c r="B67" s="150" t="s">
        <v>1692</v>
      </c>
      <c r="C67" s="135" t="s">
        <v>1341</v>
      </c>
      <c r="D67" s="135" t="s">
        <v>1220</v>
      </c>
      <c r="E67" s="194">
        <v>500000</v>
      </c>
      <c r="F67" s="137">
        <v>500000</v>
      </c>
    </row>
    <row r="68" spans="1:6" x14ac:dyDescent="0.2">
      <c r="A68" s="52" t="s">
        <v>1147</v>
      </c>
      <c r="B68" s="150" t="s">
        <v>1692</v>
      </c>
      <c r="C68" s="135" t="s">
        <v>1341</v>
      </c>
      <c r="D68" s="135" t="s">
        <v>1148</v>
      </c>
      <c r="E68" s="194">
        <v>500000</v>
      </c>
      <c r="F68" s="137">
        <v>500000</v>
      </c>
    </row>
    <row r="69" spans="1:6" ht="153" x14ac:dyDescent="0.2">
      <c r="A69" s="52" t="s">
        <v>457</v>
      </c>
      <c r="B69" s="150" t="s">
        <v>824</v>
      </c>
      <c r="C69" s="135" t="s">
        <v>1314</v>
      </c>
      <c r="D69" s="135" t="s">
        <v>1314</v>
      </c>
      <c r="E69" s="194">
        <v>1008000</v>
      </c>
      <c r="F69" s="137">
        <v>1008000</v>
      </c>
    </row>
    <row r="70" spans="1:6" ht="38.25" x14ac:dyDescent="0.2">
      <c r="A70" s="52" t="s">
        <v>1510</v>
      </c>
      <c r="B70" s="150" t="s">
        <v>824</v>
      </c>
      <c r="C70" s="135" t="s">
        <v>1511</v>
      </c>
      <c r="D70" s="135" t="s">
        <v>1314</v>
      </c>
      <c r="E70" s="194">
        <v>1008000</v>
      </c>
      <c r="F70" s="137">
        <v>1008000</v>
      </c>
    </row>
    <row r="71" spans="1:6" x14ac:dyDescent="0.2">
      <c r="A71" s="52" t="s">
        <v>1340</v>
      </c>
      <c r="B71" s="150" t="s">
        <v>824</v>
      </c>
      <c r="C71" s="135" t="s">
        <v>1341</v>
      </c>
      <c r="D71" s="135" t="s">
        <v>1314</v>
      </c>
      <c r="E71" s="194">
        <v>1008000</v>
      </c>
      <c r="F71" s="137">
        <v>1008000</v>
      </c>
    </row>
    <row r="72" spans="1:6" x14ac:dyDescent="0.2">
      <c r="A72" s="52" t="s">
        <v>147</v>
      </c>
      <c r="B72" s="150" t="s">
        <v>824</v>
      </c>
      <c r="C72" s="135" t="s">
        <v>1341</v>
      </c>
      <c r="D72" s="135" t="s">
        <v>1220</v>
      </c>
      <c r="E72" s="194">
        <v>1008000</v>
      </c>
      <c r="F72" s="137">
        <v>1008000</v>
      </c>
    </row>
    <row r="73" spans="1:6" x14ac:dyDescent="0.2">
      <c r="A73" s="52" t="s">
        <v>1145</v>
      </c>
      <c r="B73" s="150" t="s">
        <v>824</v>
      </c>
      <c r="C73" s="135" t="s">
        <v>1341</v>
      </c>
      <c r="D73" s="135" t="s">
        <v>405</v>
      </c>
      <c r="E73" s="194">
        <v>1008000</v>
      </c>
      <c r="F73" s="137">
        <v>1008000</v>
      </c>
    </row>
    <row r="74" spans="1:6" ht="204" x14ac:dyDescent="0.2">
      <c r="A74" s="52" t="s">
        <v>619</v>
      </c>
      <c r="B74" s="150" t="s">
        <v>800</v>
      </c>
      <c r="C74" s="135" t="s">
        <v>1314</v>
      </c>
      <c r="D74" s="135" t="s">
        <v>1314</v>
      </c>
      <c r="E74" s="194">
        <v>43083180</v>
      </c>
      <c r="F74" s="137">
        <v>43083180</v>
      </c>
    </row>
    <row r="75" spans="1:6" ht="76.5" x14ac:dyDescent="0.2">
      <c r="A75" s="52" t="s">
        <v>1501</v>
      </c>
      <c r="B75" s="150" t="s">
        <v>800</v>
      </c>
      <c r="C75" s="135" t="s">
        <v>290</v>
      </c>
      <c r="D75" s="135" t="s">
        <v>1314</v>
      </c>
      <c r="E75" s="194">
        <v>43083180</v>
      </c>
      <c r="F75" s="137">
        <v>43083180</v>
      </c>
    </row>
    <row r="76" spans="1:6" ht="25.5" x14ac:dyDescent="0.2">
      <c r="A76" s="52" t="s">
        <v>1331</v>
      </c>
      <c r="B76" s="150" t="s">
        <v>800</v>
      </c>
      <c r="C76" s="135" t="s">
        <v>140</v>
      </c>
      <c r="D76" s="135" t="s">
        <v>1314</v>
      </c>
      <c r="E76" s="194">
        <v>43083180</v>
      </c>
      <c r="F76" s="137">
        <v>43083180</v>
      </c>
    </row>
    <row r="77" spans="1:6" x14ac:dyDescent="0.2">
      <c r="A77" s="52" t="s">
        <v>147</v>
      </c>
      <c r="B77" s="150" t="s">
        <v>800</v>
      </c>
      <c r="C77" s="135" t="s">
        <v>140</v>
      </c>
      <c r="D77" s="135" t="s">
        <v>1220</v>
      </c>
      <c r="E77" s="194">
        <v>43083180</v>
      </c>
      <c r="F77" s="137">
        <v>43083180</v>
      </c>
    </row>
    <row r="78" spans="1:6" x14ac:dyDescent="0.2">
      <c r="A78" s="52" t="s">
        <v>159</v>
      </c>
      <c r="B78" s="150" t="s">
        <v>800</v>
      </c>
      <c r="C78" s="135" t="s">
        <v>140</v>
      </c>
      <c r="D78" s="135" t="s">
        <v>448</v>
      </c>
      <c r="E78" s="194">
        <v>43083180</v>
      </c>
      <c r="F78" s="137">
        <v>43083180</v>
      </c>
    </row>
    <row r="79" spans="1:6" ht="216.75" x14ac:dyDescent="0.2">
      <c r="A79" s="52" t="s">
        <v>455</v>
      </c>
      <c r="B79" s="150" t="s">
        <v>808</v>
      </c>
      <c r="C79" s="135" t="s">
        <v>1314</v>
      </c>
      <c r="D79" s="135" t="s">
        <v>1314</v>
      </c>
      <c r="E79" s="194">
        <v>56398100</v>
      </c>
      <c r="F79" s="137">
        <v>56398100</v>
      </c>
    </row>
    <row r="80" spans="1:6" ht="76.5" x14ac:dyDescent="0.2">
      <c r="A80" s="52" t="s">
        <v>1501</v>
      </c>
      <c r="B80" s="150" t="s">
        <v>808</v>
      </c>
      <c r="C80" s="135" t="s">
        <v>290</v>
      </c>
      <c r="D80" s="135" t="s">
        <v>1314</v>
      </c>
      <c r="E80" s="194">
        <v>56398100</v>
      </c>
      <c r="F80" s="137">
        <v>56398100</v>
      </c>
    </row>
    <row r="81" spans="1:6" ht="25.5" x14ac:dyDescent="0.2">
      <c r="A81" s="52" t="s">
        <v>1331</v>
      </c>
      <c r="B81" s="150" t="s">
        <v>808</v>
      </c>
      <c r="C81" s="135" t="s">
        <v>140</v>
      </c>
      <c r="D81" s="135" t="s">
        <v>1314</v>
      </c>
      <c r="E81" s="194">
        <v>56398100</v>
      </c>
      <c r="F81" s="137">
        <v>56398100</v>
      </c>
    </row>
    <row r="82" spans="1:6" x14ac:dyDescent="0.2">
      <c r="A82" s="52" t="s">
        <v>147</v>
      </c>
      <c r="B82" s="150" t="s">
        <v>808</v>
      </c>
      <c r="C82" s="135" t="s">
        <v>140</v>
      </c>
      <c r="D82" s="135" t="s">
        <v>1220</v>
      </c>
      <c r="E82" s="194">
        <v>56398100</v>
      </c>
      <c r="F82" s="137">
        <v>56398100</v>
      </c>
    </row>
    <row r="83" spans="1:6" x14ac:dyDescent="0.2">
      <c r="A83" s="52" t="s">
        <v>160</v>
      </c>
      <c r="B83" s="150" t="s">
        <v>808</v>
      </c>
      <c r="C83" s="135" t="s">
        <v>140</v>
      </c>
      <c r="D83" s="135" t="s">
        <v>435</v>
      </c>
      <c r="E83" s="194">
        <v>56398100</v>
      </c>
      <c r="F83" s="137">
        <v>56398100</v>
      </c>
    </row>
    <row r="84" spans="1:6" ht="204" x14ac:dyDescent="0.2">
      <c r="A84" s="52" t="s">
        <v>623</v>
      </c>
      <c r="B84" s="150" t="s">
        <v>812</v>
      </c>
      <c r="C84" s="135" t="s">
        <v>1314</v>
      </c>
      <c r="D84" s="135" t="s">
        <v>1314</v>
      </c>
      <c r="E84" s="194">
        <v>3653000</v>
      </c>
      <c r="F84" s="137">
        <v>3653000</v>
      </c>
    </row>
    <row r="85" spans="1:6" ht="76.5" x14ac:dyDescent="0.2">
      <c r="A85" s="52" t="s">
        <v>1501</v>
      </c>
      <c r="B85" s="150" t="s">
        <v>812</v>
      </c>
      <c r="C85" s="135" t="s">
        <v>290</v>
      </c>
      <c r="D85" s="135" t="s">
        <v>1314</v>
      </c>
      <c r="E85" s="194">
        <v>1953000</v>
      </c>
      <c r="F85" s="137">
        <v>1953000</v>
      </c>
    </row>
    <row r="86" spans="1:6" ht="25.5" x14ac:dyDescent="0.2">
      <c r="A86" s="52" t="s">
        <v>1331</v>
      </c>
      <c r="B86" s="150" t="s">
        <v>812</v>
      </c>
      <c r="C86" s="135" t="s">
        <v>140</v>
      </c>
      <c r="D86" s="135" t="s">
        <v>1314</v>
      </c>
      <c r="E86" s="194">
        <v>1953000</v>
      </c>
      <c r="F86" s="137">
        <v>1953000</v>
      </c>
    </row>
    <row r="87" spans="1:6" x14ac:dyDescent="0.2">
      <c r="A87" s="52" t="s">
        <v>147</v>
      </c>
      <c r="B87" s="150" t="s">
        <v>812</v>
      </c>
      <c r="C87" s="135" t="s">
        <v>140</v>
      </c>
      <c r="D87" s="135" t="s">
        <v>1220</v>
      </c>
      <c r="E87" s="194">
        <v>1953000</v>
      </c>
      <c r="F87" s="137">
        <v>1953000</v>
      </c>
    </row>
    <row r="88" spans="1:6" x14ac:dyDescent="0.2">
      <c r="A88" s="52" t="s">
        <v>1147</v>
      </c>
      <c r="B88" s="150" t="s">
        <v>812</v>
      </c>
      <c r="C88" s="135" t="s">
        <v>140</v>
      </c>
      <c r="D88" s="135" t="s">
        <v>1148</v>
      </c>
      <c r="E88" s="194">
        <v>1953000</v>
      </c>
      <c r="F88" s="137">
        <v>1953000</v>
      </c>
    </row>
    <row r="89" spans="1:6" ht="38.25" x14ac:dyDescent="0.2">
      <c r="A89" s="52" t="s">
        <v>1510</v>
      </c>
      <c r="B89" s="150" t="s">
        <v>812</v>
      </c>
      <c r="C89" s="135" t="s">
        <v>1511</v>
      </c>
      <c r="D89" s="135" t="s">
        <v>1314</v>
      </c>
      <c r="E89" s="194">
        <v>1700000</v>
      </c>
      <c r="F89" s="137">
        <v>1700000</v>
      </c>
    </row>
    <row r="90" spans="1:6" x14ac:dyDescent="0.2">
      <c r="A90" s="52" t="s">
        <v>1340</v>
      </c>
      <c r="B90" s="150" t="s">
        <v>812</v>
      </c>
      <c r="C90" s="135" t="s">
        <v>1341</v>
      </c>
      <c r="D90" s="135" t="s">
        <v>1314</v>
      </c>
      <c r="E90" s="194">
        <v>1700000</v>
      </c>
      <c r="F90" s="137">
        <v>1700000</v>
      </c>
    </row>
    <row r="91" spans="1:6" x14ac:dyDescent="0.2">
      <c r="A91" s="52" t="s">
        <v>147</v>
      </c>
      <c r="B91" s="150" t="s">
        <v>812</v>
      </c>
      <c r="C91" s="135" t="s">
        <v>1341</v>
      </c>
      <c r="D91" s="135" t="s">
        <v>1220</v>
      </c>
      <c r="E91" s="194">
        <v>1700000</v>
      </c>
      <c r="F91" s="137">
        <v>1700000</v>
      </c>
    </row>
    <row r="92" spans="1:6" x14ac:dyDescent="0.2">
      <c r="A92" s="51" t="s">
        <v>1147</v>
      </c>
      <c r="B92" s="136" t="s">
        <v>812</v>
      </c>
      <c r="C92" s="136" t="s">
        <v>1341</v>
      </c>
      <c r="D92" s="136" t="s">
        <v>1148</v>
      </c>
      <c r="E92" s="194">
        <v>1700000</v>
      </c>
      <c r="F92" s="137">
        <v>1700000</v>
      </c>
    </row>
    <row r="93" spans="1:6" ht="204" x14ac:dyDescent="0.2">
      <c r="A93" s="51" t="s">
        <v>458</v>
      </c>
      <c r="B93" s="136" t="s">
        <v>825</v>
      </c>
      <c r="C93" s="136" t="s">
        <v>1314</v>
      </c>
      <c r="D93" s="136" t="s">
        <v>1314</v>
      </c>
      <c r="E93" s="194">
        <v>850000</v>
      </c>
      <c r="F93" s="137">
        <v>850000</v>
      </c>
    </row>
    <row r="94" spans="1:6" ht="38.25" x14ac:dyDescent="0.2">
      <c r="A94" s="52" t="s">
        <v>1510</v>
      </c>
      <c r="B94" s="136" t="s">
        <v>825</v>
      </c>
      <c r="C94" s="136" t="s">
        <v>1511</v>
      </c>
      <c r="D94" s="136" t="s">
        <v>1314</v>
      </c>
      <c r="E94" s="194">
        <v>850000</v>
      </c>
      <c r="F94" s="137">
        <v>850000</v>
      </c>
    </row>
    <row r="95" spans="1:6" x14ac:dyDescent="0.2">
      <c r="A95" s="52" t="s">
        <v>1340</v>
      </c>
      <c r="B95" s="150" t="s">
        <v>825</v>
      </c>
      <c r="C95" s="135" t="s">
        <v>1341</v>
      </c>
      <c r="D95" s="135" t="s">
        <v>1314</v>
      </c>
      <c r="E95" s="194">
        <v>850000</v>
      </c>
      <c r="F95" s="137">
        <v>850000</v>
      </c>
    </row>
    <row r="96" spans="1:6" x14ac:dyDescent="0.2">
      <c r="A96" s="52" t="s">
        <v>147</v>
      </c>
      <c r="B96" s="150" t="s">
        <v>825</v>
      </c>
      <c r="C96" s="135" t="s">
        <v>1341</v>
      </c>
      <c r="D96" s="135" t="s">
        <v>1220</v>
      </c>
      <c r="E96" s="194">
        <v>850000</v>
      </c>
      <c r="F96" s="137">
        <v>850000</v>
      </c>
    </row>
    <row r="97" spans="1:6" x14ac:dyDescent="0.2">
      <c r="A97" s="52" t="s">
        <v>1145</v>
      </c>
      <c r="B97" s="150" t="s">
        <v>825</v>
      </c>
      <c r="C97" s="135" t="s">
        <v>1341</v>
      </c>
      <c r="D97" s="135" t="s">
        <v>405</v>
      </c>
      <c r="E97" s="194">
        <v>850000</v>
      </c>
      <c r="F97" s="137">
        <v>850000</v>
      </c>
    </row>
    <row r="98" spans="1:6" ht="191.25" x14ac:dyDescent="0.2">
      <c r="A98" s="52" t="s">
        <v>572</v>
      </c>
      <c r="B98" s="150" t="s">
        <v>814</v>
      </c>
      <c r="C98" s="135" t="s">
        <v>1314</v>
      </c>
      <c r="D98" s="135" t="s">
        <v>1314</v>
      </c>
      <c r="E98" s="194">
        <v>2608000</v>
      </c>
      <c r="F98" s="137">
        <v>2608000</v>
      </c>
    </row>
    <row r="99" spans="1:6" ht="76.5" x14ac:dyDescent="0.2">
      <c r="A99" s="52" t="s">
        <v>1501</v>
      </c>
      <c r="B99" s="150" t="s">
        <v>814</v>
      </c>
      <c r="C99" s="135" t="s">
        <v>290</v>
      </c>
      <c r="D99" s="135" t="s">
        <v>1314</v>
      </c>
      <c r="E99" s="194">
        <v>798000</v>
      </c>
      <c r="F99" s="137">
        <v>798000</v>
      </c>
    </row>
    <row r="100" spans="1:6" ht="25.5" x14ac:dyDescent="0.2">
      <c r="A100" s="52" t="s">
        <v>1331</v>
      </c>
      <c r="B100" s="150" t="s">
        <v>814</v>
      </c>
      <c r="C100" s="135" t="s">
        <v>140</v>
      </c>
      <c r="D100" s="135" t="s">
        <v>1314</v>
      </c>
      <c r="E100" s="194">
        <v>798000</v>
      </c>
      <c r="F100" s="137">
        <v>798000</v>
      </c>
    </row>
    <row r="101" spans="1:6" x14ac:dyDescent="0.2">
      <c r="A101" s="52" t="s">
        <v>147</v>
      </c>
      <c r="B101" s="150" t="s">
        <v>814</v>
      </c>
      <c r="C101" s="135" t="s">
        <v>140</v>
      </c>
      <c r="D101" s="135" t="s">
        <v>1220</v>
      </c>
      <c r="E101" s="194">
        <v>798000</v>
      </c>
      <c r="F101" s="137">
        <v>798000</v>
      </c>
    </row>
    <row r="102" spans="1:6" x14ac:dyDescent="0.2">
      <c r="A102" s="52" t="s">
        <v>160</v>
      </c>
      <c r="B102" s="150" t="s">
        <v>814</v>
      </c>
      <c r="C102" s="135" t="s">
        <v>140</v>
      </c>
      <c r="D102" s="135" t="s">
        <v>435</v>
      </c>
      <c r="E102" s="194">
        <v>798000</v>
      </c>
      <c r="F102" s="137">
        <v>798000</v>
      </c>
    </row>
    <row r="103" spans="1:6" ht="38.25" x14ac:dyDescent="0.2">
      <c r="A103" s="52" t="s">
        <v>1502</v>
      </c>
      <c r="B103" s="150" t="s">
        <v>814</v>
      </c>
      <c r="C103" s="135" t="s">
        <v>1503</v>
      </c>
      <c r="D103" s="135" t="s">
        <v>1314</v>
      </c>
      <c r="E103" s="194">
        <v>1810000</v>
      </c>
      <c r="F103" s="137">
        <v>1810000</v>
      </c>
    </row>
    <row r="104" spans="1:6" ht="38.25" x14ac:dyDescent="0.2">
      <c r="A104" s="52" t="s">
        <v>1338</v>
      </c>
      <c r="B104" s="150" t="s">
        <v>814</v>
      </c>
      <c r="C104" s="135" t="s">
        <v>1339</v>
      </c>
      <c r="D104" s="135" t="s">
        <v>1314</v>
      </c>
      <c r="E104" s="194">
        <v>1810000</v>
      </c>
      <c r="F104" s="137">
        <v>1810000</v>
      </c>
    </row>
    <row r="105" spans="1:6" x14ac:dyDescent="0.2">
      <c r="A105" s="52" t="s">
        <v>147</v>
      </c>
      <c r="B105" s="150" t="s">
        <v>814</v>
      </c>
      <c r="C105" s="135" t="s">
        <v>1339</v>
      </c>
      <c r="D105" s="135" t="s">
        <v>1220</v>
      </c>
      <c r="E105" s="194">
        <v>1810000</v>
      </c>
      <c r="F105" s="137">
        <v>1810000</v>
      </c>
    </row>
    <row r="106" spans="1:6" x14ac:dyDescent="0.2">
      <c r="A106" s="190" t="s">
        <v>160</v>
      </c>
      <c r="B106" s="150" t="s">
        <v>814</v>
      </c>
      <c r="C106" s="135" t="s">
        <v>1339</v>
      </c>
      <c r="D106" s="135" t="s">
        <v>435</v>
      </c>
      <c r="E106" s="194">
        <v>1810000</v>
      </c>
      <c r="F106" s="137">
        <v>1810000</v>
      </c>
    </row>
    <row r="107" spans="1:6" ht="178.5" x14ac:dyDescent="0.2">
      <c r="A107" s="52" t="s">
        <v>624</v>
      </c>
      <c r="B107" s="150" t="s">
        <v>813</v>
      </c>
      <c r="C107" s="135" t="s">
        <v>1314</v>
      </c>
      <c r="D107" s="135" t="s">
        <v>1314</v>
      </c>
      <c r="E107" s="194">
        <v>78700</v>
      </c>
      <c r="F107" s="137">
        <v>78700</v>
      </c>
    </row>
    <row r="108" spans="1:6" ht="76.5" x14ac:dyDescent="0.2">
      <c r="A108" s="52" t="s">
        <v>1501</v>
      </c>
      <c r="B108" s="150" t="s">
        <v>813</v>
      </c>
      <c r="C108" s="135" t="s">
        <v>290</v>
      </c>
      <c r="D108" s="135" t="s">
        <v>1314</v>
      </c>
      <c r="E108" s="194">
        <v>23500</v>
      </c>
      <c r="F108" s="137">
        <v>23500</v>
      </c>
    </row>
    <row r="109" spans="1:6" ht="25.5" x14ac:dyDescent="0.2">
      <c r="A109" s="52" t="s">
        <v>1331</v>
      </c>
      <c r="B109" s="150" t="s">
        <v>813</v>
      </c>
      <c r="C109" s="135" t="s">
        <v>140</v>
      </c>
      <c r="D109" s="135" t="s">
        <v>1314</v>
      </c>
      <c r="E109" s="194">
        <v>23500</v>
      </c>
      <c r="F109" s="137">
        <v>23500</v>
      </c>
    </row>
    <row r="110" spans="1:6" x14ac:dyDescent="0.2">
      <c r="A110" s="52" t="s">
        <v>147</v>
      </c>
      <c r="B110" s="150" t="s">
        <v>813</v>
      </c>
      <c r="C110" s="135" t="s">
        <v>140</v>
      </c>
      <c r="D110" s="135" t="s">
        <v>1220</v>
      </c>
      <c r="E110" s="194">
        <v>23500</v>
      </c>
      <c r="F110" s="137">
        <v>23500</v>
      </c>
    </row>
    <row r="111" spans="1:6" x14ac:dyDescent="0.2">
      <c r="A111" s="52" t="s">
        <v>1147</v>
      </c>
      <c r="B111" s="150" t="s">
        <v>813</v>
      </c>
      <c r="C111" s="135" t="s">
        <v>140</v>
      </c>
      <c r="D111" s="135" t="s">
        <v>1148</v>
      </c>
      <c r="E111" s="194">
        <v>23500</v>
      </c>
      <c r="F111" s="137">
        <v>23500</v>
      </c>
    </row>
    <row r="112" spans="1:6" ht="38.25" x14ac:dyDescent="0.2">
      <c r="A112" s="52" t="s">
        <v>1510</v>
      </c>
      <c r="B112" s="150" t="s">
        <v>813</v>
      </c>
      <c r="C112" s="135" t="s">
        <v>1511</v>
      </c>
      <c r="D112" s="135" t="s">
        <v>1314</v>
      </c>
      <c r="E112" s="194">
        <v>55200</v>
      </c>
      <c r="F112" s="137">
        <v>55200</v>
      </c>
    </row>
    <row r="113" spans="1:6" x14ac:dyDescent="0.2">
      <c r="A113" s="52" t="s">
        <v>1340</v>
      </c>
      <c r="B113" s="150" t="s">
        <v>813</v>
      </c>
      <c r="C113" s="135" t="s">
        <v>1341</v>
      </c>
      <c r="D113" s="135" t="s">
        <v>1314</v>
      </c>
      <c r="E113" s="194">
        <v>55200</v>
      </c>
      <c r="F113" s="137">
        <v>55200</v>
      </c>
    </row>
    <row r="114" spans="1:6" x14ac:dyDescent="0.2">
      <c r="A114" s="52" t="s">
        <v>147</v>
      </c>
      <c r="B114" s="150" t="s">
        <v>813</v>
      </c>
      <c r="C114" s="135" t="s">
        <v>1341</v>
      </c>
      <c r="D114" s="135" t="s">
        <v>1220</v>
      </c>
      <c r="E114" s="194">
        <v>55200</v>
      </c>
      <c r="F114" s="137">
        <v>55200</v>
      </c>
    </row>
    <row r="115" spans="1:6" x14ac:dyDescent="0.2">
      <c r="A115" s="52" t="s">
        <v>1147</v>
      </c>
      <c r="B115" s="150" t="s">
        <v>813</v>
      </c>
      <c r="C115" s="135" t="s">
        <v>1341</v>
      </c>
      <c r="D115" s="135" t="s">
        <v>1148</v>
      </c>
      <c r="E115" s="194">
        <v>55200</v>
      </c>
      <c r="F115" s="137">
        <v>55200</v>
      </c>
    </row>
    <row r="116" spans="1:6" ht="140.25" x14ac:dyDescent="0.2">
      <c r="A116" s="52" t="s">
        <v>620</v>
      </c>
      <c r="B116" s="150" t="s">
        <v>801</v>
      </c>
      <c r="C116" s="135" t="s">
        <v>1314</v>
      </c>
      <c r="D116" s="135" t="s">
        <v>1314</v>
      </c>
      <c r="E116" s="194">
        <v>869000</v>
      </c>
      <c r="F116" s="137">
        <v>869000</v>
      </c>
    </row>
    <row r="117" spans="1:6" ht="76.5" x14ac:dyDescent="0.2">
      <c r="A117" s="52" t="s">
        <v>1501</v>
      </c>
      <c r="B117" s="150" t="s">
        <v>801</v>
      </c>
      <c r="C117" s="135" t="s">
        <v>290</v>
      </c>
      <c r="D117" s="135" t="s">
        <v>1314</v>
      </c>
      <c r="E117" s="194">
        <v>869000</v>
      </c>
      <c r="F117" s="137">
        <v>869000</v>
      </c>
    </row>
    <row r="118" spans="1:6" ht="25.5" x14ac:dyDescent="0.2">
      <c r="A118" s="190" t="s">
        <v>1331</v>
      </c>
      <c r="B118" s="150" t="s">
        <v>801</v>
      </c>
      <c r="C118" s="135" t="s">
        <v>140</v>
      </c>
      <c r="D118" s="135" t="s">
        <v>1314</v>
      </c>
      <c r="E118" s="194">
        <v>869000</v>
      </c>
      <c r="F118" s="137">
        <v>869000</v>
      </c>
    </row>
    <row r="119" spans="1:6" x14ac:dyDescent="0.2">
      <c r="A119" s="52" t="s">
        <v>147</v>
      </c>
      <c r="B119" s="150" t="s">
        <v>801</v>
      </c>
      <c r="C119" s="135" t="s">
        <v>140</v>
      </c>
      <c r="D119" s="135" t="s">
        <v>1220</v>
      </c>
      <c r="E119" s="194">
        <v>869000</v>
      </c>
      <c r="F119" s="137">
        <v>869000</v>
      </c>
    </row>
    <row r="120" spans="1:6" x14ac:dyDescent="0.2">
      <c r="A120" s="52" t="s">
        <v>159</v>
      </c>
      <c r="B120" s="150" t="s">
        <v>801</v>
      </c>
      <c r="C120" s="135" t="s">
        <v>140</v>
      </c>
      <c r="D120" s="135" t="s">
        <v>448</v>
      </c>
      <c r="E120" s="194">
        <v>869000</v>
      </c>
      <c r="F120" s="137">
        <v>869000</v>
      </c>
    </row>
    <row r="121" spans="1:6" ht="165.75" x14ac:dyDescent="0.2">
      <c r="A121" s="52" t="s">
        <v>625</v>
      </c>
      <c r="B121" s="150" t="s">
        <v>809</v>
      </c>
      <c r="C121" s="135" t="s">
        <v>1314</v>
      </c>
      <c r="D121" s="135" t="s">
        <v>1314</v>
      </c>
      <c r="E121" s="194">
        <v>1020000</v>
      </c>
      <c r="F121" s="137">
        <v>1020000</v>
      </c>
    </row>
    <row r="122" spans="1:6" ht="76.5" x14ac:dyDescent="0.2">
      <c r="A122" s="52" t="s">
        <v>1501</v>
      </c>
      <c r="B122" s="150" t="s">
        <v>809</v>
      </c>
      <c r="C122" s="135" t="s">
        <v>290</v>
      </c>
      <c r="D122" s="135" t="s">
        <v>1314</v>
      </c>
      <c r="E122" s="194">
        <v>1020000</v>
      </c>
      <c r="F122" s="137">
        <v>1020000</v>
      </c>
    </row>
    <row r="123" spans="1:6" ht="25.5" x14ac:dyDescent="0.2">
      <c r="A123" s="52" t="s">
        <v>1331</v>
      </c>
      <c r="B123" s="150" t="s">
        <v>809</v>
      </c>
      <c r="C123" s="135" t="s">
        <v>140</v>
      </c>
      <c r="D123" s="135" t="s">
        <v>1314</v>
      </c>
      <c r="E123" s="194">
        <v>1020000</v>
      </c>
      <c r="F123" s="137">
        <v>1020000</v>
      </c>
    </row>
    <row r="124" spans="1:6" x14ac:dyDescent="0.2">
      <c r="A124" s="52" t="s">
        <v>147</v>
      </c>
      <c r="B124" s="150" t="s">
        <v>809</v>
      </c>
      <c r="C124" s="135" t="s">
        <v>140</v>
      </c>
      <c r="D124" s="135" t="s">
        <v>1220</v>
      </c>
      <c r="E124" s="194">
        <v>1020000</v>
      </c>
      <c r="F124" s="137">
        <v>1020000</v>
      </c>
    </row>
    <row r="125" spans="1:6" x14ac:dyDescent="0.2">
      <c r="A125" s="52" t="s">
        <v>160</v>
      </c>
      <c r="B125" s="150" t="s">
        <v>809</v>
      </c>
      <c r="C125" s="135" t="s">
        <v>140</v>
      </c>
      <c r="D125" s="135" t="s">
        <v>435</v>
      </c>
      <c r="E125" s="194">
        <v>1020000</v>
      </c>
      <c r="F125" s="137">
        <v>1020000</v>
      </c>
    </row>
    <row r="126" spans="1:6" ht="153" x14ac:dyDescent="0.2">
      <c r="A126" s="52" t="s">
        <v>626</v>
      </c>
      <c r="B126" s="150" t="s">
        <v>816</v>
      </c>
      <c r="C126" s="135" t="s">
        <v>1314</v>
      </c>
      <c r="D126" s="135" t="s">
        <v>1314</v>
      </c>
      <c r="E126" s="194">
        <v>310000</v>
      </c>
      <c r="F126" s="137">
        <v>310000</v>
      </c>
    </row>
    <row r="127" spans="1:6" ht="76.5" x14ac:dyDescent="0.2">
      <c r="A127" s="52" t="s">
        <v>1501</v>
      </c>
      <c r="B127" s="150" t="s">
        <v>816</v>
      </c>
      <c r="C127" s="135" t="s">
        <v>290</v>
      </c>
      <c r="D127" s="135" t="s">
        <v>1314</v>
      </c>
      <c r="E127" s="194">
        <v>150000</v>
      </c>
      <c r="F127" s="137">
        <v>150000</v>
      </c>
    </row>
    <row r="128" spans="1:6" ht="25.5" x14ac:dyDescent="0.2">
      <c r="A128" s="52" t="s">
        <v>1331</v>
      </c>
      <c r="B128" s="150" t="s">
        <v>816</v>
      </c>
      <c r="C128" s="135" t="s">
        <v>140</v>
      </c>
      <c r="D128" s="135" t="s">
        <v>1314</v>
      </c>
      <c r="E128" s="194">
        <v>150000</v>
      </c>
      <c r="F128" s="137">
        <v>150000</v>
      </c>
    </row>
    <row r="129" spans="1:6" x14ac:dyDescent="0.2">
      <c r="A129" s="52" t="s">
        <v>147</v>
      </c>
      <c r="B129" s="150" t="s">
        <v>816</v>
      </c>
      <c r="C129" s="135" t="s">
        <v>140</v>
      </c>
      <c r="D129" s="135" t="s">
        <v>1220</v>
      </c>
      <c r="E129" s="194">
        <v>150000</v>
      </c>
      <c r="F129" s="137">
        <v>150000</v>
      </c>
    </row>
    <row r="130" spans="1:6" x14ac:dyDescent="0.2">
      <c r="A130" s="190" t="s">
        <v>1147</v>
      </c>
      <c r="B130" s="150" t="s">
        <v>816</v>
      </c>
      <c r="C130" s="135" t="s">
        <v>140</v>
      </c>
      <c r="D130" s="135" t="s">
        <v>1148</v>
      </c>
      <c r="E130" s="194">
        <v>150000</v>
      </c>
      <c r="F130" s="137">
        <v>150000</v>
      </c>
    </row>
    <row r="131" spans="1:6" ht="38.25" x14ac:dyDescent="0.2">
      <c r="A131" s="52" t="s">
        <v>1510</v>
      </c>
      <c r="B131" s="150" t="s">
        <v>816</v>
      </c>
      <c r="C131" s="135" t="s">
        <v>1511</v>
      </c>
      <c r="D131" s="135" t="s">
        <v>1314</v>
      </c>
      <c r="E131" s="194">
        <v>160000</v>
      </c>
      <c r="F131" s="137">
        <v>160000</v>
      </c>
    </row>
    <row r="132" spans="1:6" x14ac:dyDescent="0.2">
      <c r="A132" s="52" t="s">
        <v>1340</v>
      </c>
      <c r="B132" s="150" t="s">
        <v>816</v>
      </c>
      <c r="C132" s="135" t="s">
        <v>1341</v>
      </c>
      <c r="D132" s="135" t="s">
        <v>1314</v>
      </c>
      <c r="E132" s="194">
        <v>160000</v>
      </c>
      <c r="F132" s="137">
        <v>160000</v>
      </c>
    </row>
    <row r="133" spans="1:6" x14ac:dyDescent="0.2">
      <c r="A133" s="52" t="s">
        <v>147</v>
      </c>
      <c r="B133" s="150" t="s">
        <v>816</v>
      </c>
      <c r="C133" s="135" t="s">
        <v>1341</v>
      </c>
      <c r="D133" s="135" t="s">
        <v>1220</v>
      </c>
      <c r="E133" s="194">
        <v>160000</v>
      </c>
      <c r="F133" s="137">
        <v>160000</v>
      </c>
    </row>
    <row r="134" spans="1:6" x14ac:dyDescent="0.2">
      <c r="A134" s="52" t="s">
        <v>1147</v>
      </c>
      <c r="B134" s="150" t="s">
        <v>816</v>
      </c>
      <c r="C134" s="135" t="s">
        <v>1341</v>
      </c>
      <c r="D134" s="135" t="s">
        <v>1148</v>
      </c>
      <c r="E134" s="194">
        <v>160000</v>
      </c>
      <c r="F134" s="137">
        <v>160000</v>
      </c>
    </row>
    <row r="135" spans="1:6" ht="153" x14ac:dyDescent="0.2">
      <c r="A135" s="52" t="s">
        <v>826</v>
      </c>
      <c r="B135" s="150" t="s">
        <v>827</v>
      </c>
      <c r="C135" s="135" t="s">
        <v>1314</v>
      </c>
      <c r="D135" s="135" t="s">
        <v>1314</v>
      </c>
      <c r="E135" s="194">
        <v>93000</v>
      </c>
      <c r="F135" s="137">
        <v>93000</v>
      </c>
    </row>
    <row r="136" spans="1:6" ht="38.25" x14ac:dyDescent="0.2">
      <c r="A136" s="52" t="s">
        <v>1510</v>
      </c>
      <c r="B136" s="150" t="s">
        <v>827</v>
      </c>
      <c r="C136" s="135" t="s">
        <v>1511</v>
      </c>
      <c r="D136" s="135" t="s">
        <v>1314</v>
      </c>
      <c r="E136" s="194">
        <v>93000</v>
      </c>
      <c r="F136" s="137">
        <v>93000</v>
      </c>
    </row>
    <row r="137" spans="1:6" x14ac:dyDescent="0.2">
      <c r="A137" s="52" t="s">
        <v>1340</v>
      </c>
      <c r="B137" s="150" t="s">
        <v>827</v>
      </c>
      <c r="C137" s="135" t="s">
        <v>1341</v>
      </c>
      <c r="D137" s="135" t="s">
        <v>1314</v>
      </c>
      <c r="E137" s="194">
        <v>93000</v>
      </c>
      <c r="F137" s="137">
        <v>93000</v>
      </c>
    </row>
    <row r="138" spans="1:6" x14ac:dyDescent="0.2">
      <c r="A138" s="52" t="s">
        <v>147</v>
      </c>
      <c r="B138" s="150" t="s">
        <v>827</v>
      </c>
      <c r="C138" s="135" t="s">
        <v>1341</v>
      </c>
      <c r="D138" s="135" t="s">
        <v>1220</v>
      </c>
      <c r="E138" s="194">
        <v>93000</v>
      </c>
      <c r="F138" s="137">
        <v>93000</v>
      </c>
    </row>
    <row r="139" spans="1:6" x14ac:dyDescent="0.2">
      <c r="A139" s="52" t="s">
        <v>1145</v>
      </c>
      <c r="B139" s="150" t="s">
        <v>827</v>
      </c>
      <c r="C139" s="135" t="s">
        <v>1341</v>
      </c>
      <c r="D139" s="135" t="s">
        <v>405</v>
      </c>
      <c r="E139" s="194">
        <v>93000</v>
      </c>
      <c r="F139" s="137">
        <v>93000</v>
      </c>
    </row>
    <row r="140" spans="1:6" ht="153" x14ac:dyDescent="0.2">
      <c r="A140" s="52" t="s">
        <v>621</v>
      </c>
      <c r="B140" s="150" t="s">
        <v>802</v>
      </c>
      <c r="C140" s="135" t="s">
        <v>1314</v>
      </c>
      <c r="D140" s="135" t="s">
        <v>1314</v>
      </c>
      <c r="E140" s="194">
        <v>38244161</v>
      </c>
      <c r="F140" s="137">
        <v>38244161</v>
      </c>
    </row>
    <row r="141" spans="1:6" ht="38.25" x14ac:dyDescent="0.2">
      <c r="A141" s="52" t="s">
        <v>1502</v>
      </c>
      <c r="B141" s="150" t="s">
        <v>802</v>
      </c>
      <c r="C141" s="135" t="s">
        <v>1503</v>
      </c>
      <c r="D141" s="135" t="s">
        <v>1314</v>
      </c>
      <c r="E141" s="194">
        <v>38244161</v>
      </c>
      <c r="F141" s="137">
        <v>38244161</v>
      </c>
    </row>
    <row r="142" spans="1:6" ht="38.25" x14ac:dyDescent="0.2">
      <c r="A142" s="52" t="s">
        <v>1338</v>
      </c>
      <c r="B142" s="150" t="s">
        <v>802</v>
      </c>
      <c r="C142" s="135" t="s">
        <v>1339</v>
      </c>
      <c r="D142" s="135" t="s">
        <v>1314</v>
      </c>
      <c r="E142" s="194">
        <v>38244161</v>
      </c>
      <c r="F142" s="137">
        <v>38244161</v>
      </c>
    </row>
    <row r="143" spans="1:6" x14ac:dyDescent="0.2">
      <c r="A143" s="52" t="s">
        <v>147</v>
      </c>
      <c r="B143" s="150" t="s">
        <v>802</v>
      </c>
      <c r="C143" s="135" t="s">
        <v>1339</v>
      </c>
      <c r="D143" s="135" t="s">
        <v>1220</v>
      </c>
      <c r="E143" s="194">
        <v>38244161</v>
      </c>
      <c r="F143" s="137">
        <v>38244161</v>
      </c>
    </row>
    <row r="144" spans="1:6" x14ac:dyDescent="0.2">
      <c r="A144" s="52" t="s">
        <v>159</v>
      </c>
      <c r="B144" s="150" t="s">
        <v>802</v>
      </c>
      <c r="C144" s="135" t="s">
        <v>1339</v>
      </c>
      <c r="D144" s="135" t="s">
        <v>448</v>
      </c>
      <c r="E144" s="194">
        <v>38244161</v>
      </c>
      <c r="F144" s="137">
        <v>38244161</v>
      </c>
    </row>
    <row r="145" spans="1:6" ht="178.5" x14ac:dyDescent="0.2">
      <c r="A145" s="52" t="s">
        <v>627</v>
      </c>
      <c r="B145" s="150" t="s">
        <v>810</v>
      </c>
      <c r="C145" s="135" t="s">
        <v>1314</v>
      </c>
      <c r="D145" s="135" t="s">
        <v>1314</v>
      </c>
      <c r="E145" s="194">
        <v>87977000</v>
      </c>
      <c r="F145" s="137">
        <v>87977000</v>
      </c>
    </row>
    <row r="146" spans="1:6" ht="38.25" x14ac:dyDescent="0.2">
      <c r="A146" s="190" t="s">
        <v>1502</v>
      </c>
      <c r="B146" s="150" t="s">
        <v>810</v>
      </c>
      <c r="C146" s="135" t="s">
        <v>1503</v>
      </c>
      <c r="D146" s="135" t="s">
        <v>1314</v>
      </c>
      <c r="E146" s="194">
        <v>87977000</v>
      </c>
      <c r="F146" s="137">
        <v>87977000</v>
      </c>
    </row>
    <row r="147" spans="1:6" ht="38.25" x14ac:dyDescent="0.2">
      <c r="A147" s="52" t="s">
        <v>1338</v>
      </c>
      <c r="B147" s="150" t="s">
        <v>810</v>
      </c>
      <c r="C147" s="135" t="s">
        <v>1339</v>
      </c>
      <c r="D147" s="135" t="s">
        <v>1314</v>
      </c>
      <c r="E147" s="194">
        <v>87977000</v>
      </c>
      <c r="F147" s="137">
        <v>87977000</v>
      </c>
    </row>
    <row r="148" spans="1:6" x14ac:dyDescent="0.2">
      <c r="A148" s="52" t="s">
        <v>147</v>
      </c>
      <c r="B148" s="150" t="s">
        <v>810</v>
      </c>
      <c r="C148" s="135" t="s">
        <v>1339</v>
      </c>
      <c r="D148" s="135" t="s">
        <v>1220</v>
      </c>
      <c r="E148" s="194">
        <v>87977000</v>
      </c>
      <c r="F148" s="137">
        <v>87977000</v>
      </c>
    </row>
    <row r="149" spans="1:6" x14ac:dyDescent="0.2">
      <c r="A149" s="190" t="s">
        <v>160</v>
      </c>
      <c r="B149" s="150" t="s">
        <v>810</v>
      </c>
      <c r="C149" s="135" t="s">
        <v>1339</v>
      </c>
      <c r="D149" s="135" t="s">
        <v>435</v>
      </c>
      <c r="E149" s="194">
        <v>87977000</v>
      </c>
      <c r="F149" s="137">
        <v>87977000</v>
      </c>
    </row>
    <row r="150" spans="1:6" ht="165.75" x14ac:dyDescent="0.2">
      <c r="A150" s="52" t="s">
        <v>628</v>
      </c>
      <c r="B150" s="150" t="s">
        <v>817</v>
      </c>
      <c r="C150" s="135" t="s">
        <v>1314</v>
      </c>
      <c r="D150" s="135" t="s">
        <v>1314</v>
      </c>
      <c r="E150" s="194">
        <v>2608300</v>
      </c>
      <c r="F150" s="137">
        <v>2608300</v>
      </c>
    </row>
    <row r="151" spans="1:6" ht="38.25" x14ac:dyDescent="0.2">
      <c r="A151" s="52" t="s">
        <v>1502</v>
      </c>
      <c r="B151" s="150" t="s">
        <v>817</v>
      </c>
      <c r="C151" s="135" t="s">
        <v>1503</v>
      </c>
      <c r="D151" s="135" t="s">
        <v>1314</v>
      </c>
      <c r="E151" s="194">
        <v>1232000</v>
      </c>
      <c r="F151" s="137">
        <v>1232000</v>
      </c>
    </row>
    <row r="152" spans="1:6" ht="38.25" x14ac:dyDescent="0.2">
      <c r="A152" s="52" t="s">
        <v>1338</v>
      </c>
      <c r="B152" s="150" t="s">
        <v>817</v>
      </c>
      <c r="C152" s="135" t="s">
        <v>1339</v>
      </c>
      <c r="D152" s="135" t="s">
        <v>1314</v>
      </c>
      <c r="E152" s="194">
        <v>1232000</v>
      </c>
      <c r="F152" s="137">
        <v>1232000</v>
      </c>
    </row>
    <row r="153" spans="1:6" x14ac:dyDescent="0.2">
      <c r="A153" s="52" t="s">
        <v>147</v>
      </c>
      <c r="B153" s="150" t="s">
        <v>817</v>
      </c>
      <c r="C153" s="135" t="s">
        <v>1339</v>
      </c>
      <c r="D153" s="135" t="s">
        <v>1220</v>
      </c>
      <c r="E153" s="194">
        <v>1232000</v>
      </c>
      <c r="F153" s="137">
        <v>1232000</v>
      </c>
    </row>
    <row r="154" spans="1:6" x14ac:dyDescent="0.2">
      <c r="A154" s="52" t="s">
        <v>1147</v>
      </c>
      <c r="B154" s="150" t="s">
        <v>817</v>
      </c>
      <c r="C154" s="135" t="s">
        <v>1339</v>
      </c>
      <c r="D154" s="135" t="s">
        <v>1148</v>
      </c>
      <c r="E154" s="194">
        <v>1232000</v>
      </c>
      <c r="F154" s="137">
        <v>1232000</v>
      </c>
    </row>
    <row r="155" spans="1:6" ht="38.25" x14ac:dyDescent="0.2">
      <c r="A155" s="52" t="s">
        <v>1510</v>
      </c>
      <c r="B155" s="150" t="s">
        <v>817</v>
      </c>
      <c r="C155" s="135" t="s">
        <v>1511</v>
      </c>
      <c r="D155" s="135" t="s">
        <v>1314</v>
      </c>
      <c r="E155" s="194">
        <v>1376300</v>
      </c>
      <c r="F155" s="137">
        <v>1376300</v>
      </c>
    </row>
    <row r="156" spans="1:6" x14ac:dyDescent="0.2">
      <c r="A156" s="52" t="s">
        <v>1340</v>
      </c>
      <c r="B156" s="150" t="s">
        <v>817</v>
      </c>
      <c r="C156" s="135" t="s">
        <v>1341</v>
      </c>
      <c r="D156" s="135" t="s">
        <v>1314</v>
      </c>
      <c r="E156" s="194">
        <v>1376300</v>
      </c>
      <c r="F156" s="137">
        <v>1376300</v>
      </c>
    </row>
    <row r="157" spans="1:6" x14ac:dyDescent="0.2">
      <c r="A157" s="52" t="s">
        <v>147</v>
      </c>
      <c r="B157" s="150" t="s">
        <v>817</v>
      </c>
      <c r="C157" s="135" t="s">
        <v>1341</v>
      </c>
      <c r="D157" s="135" t="s">
        <v>1220</v>
      </c>
      <c r="E157" s="194">
        <v>871400</v>
      </c>
      <c r="F157" s="137">
        <v>871400</v>
      </c>
    </row>
    <row r="158" spans="1:6" x14ac:dyDescent="0.2">
      <c r="A158" s="52" t="s">
        <v>1147</v>
      </c>
      <c r="B158" s="150" t="s">
        <v>817</v>
      </c>
      <c r="C158" s="135" t="s">
        <v>1341</v>
      </c>
      <c r="D158" s="135" t="s">
        <v>1148</v>
      </c>
      <c r="E158" s="194">
        <v>871400</v>
      </c>
      <c r="F158" s="137">
        <v>871400</v>
      </c>
    </row>
    <row r="159" spans="1:6" x14ac:dyDescent="0.2">
      <c r="A159" s="52" t="s">
        <v>265</v>
      </c>
      <c r="B159" s="150" t="s">
        <v>817</v>
      </c>
      <c r="C159" s="135" t="s">
        <v>1341</v>
      </c>
      <c r="D159" s="135" t="s">
        <v>1222</v>
      </c>
      <c r="E159" s="194">
        <v>504900</v>
      </c>
      <c r="F159" s="137">
        <v>504900</v>
      </c>
    </row>
    <row r="160" spans="1:6" x14ac:dyDescent="0.2">
      <c r="A160" s="52" t="s">
        <v>1384</v>
      </c>
      <c r="B160" s="150" t="s">
        <v>817</v>
      </c>
      <c r="C160" s="135" t="s">
        <v>1341</v>
      </c>
      <c r="D160" s="135" t="s">
        <v>1385</v>
      </c>
      <c r="E160" s="194">
        <v>504900</v>
      </c>
      <c r="F160" s="137">
        <v>504900</v>
      </c>
    </row>
    <row r="161" spans="1:6" ht="165.75" x14ac:dyDescent="0.2">
      <c r="A161" s="52" t="s">
        <v>1228</v>
      </c>
      <c r="B161" s="136" t="s">
        <v>1229</v>
      </c>
      <c r="C161" s="135" t="s">
        <v>1314</v>
      </c>
      <c r="D161" s="135" t="s">
        <v>1314</v>
      </c>
      <c r="E161" s="194">
        <v>102700</v>
      </c>
      <c r="F161" s="137">
        <v>102700</v>
      </c>
    </row>
    <row r="162" spans="1:6" ht="38.25" x14ac:dyDescent="0.2">
      <c r="A162" s="52" t="s">
        <v>1510</v>
      </c>
      <c r="B162" s="150" t="s">
        <v>1229</v>
      </c>
      <c r="C162" s="135" t="s">
        <v>1511</v>
      </c>
      <c r="D162" s="135" t="s">
        <v>1314</v>
      </c>
      <c r="E162" s="194">
        <v>102700</v>
      </c>
      <c r="F162" s="137">
        <v>102700</v>
      </c>
    </row>
    <row r="163" spans="1:6" x14ac:dyDescent="0.2">
      <c r="A163" s="52" t="s">
        <v>1340</v>
      </c>
      <c r="B163" s="150" t="s">
        <v>1229</v>
      </c>
      <c r="C163" s="135" t="s">
        <v>1341</v>
      </c>
      <c r="D163" s="135" t="s">
        <v>1314</v>
      </c>
      <c r="E163" s="194">
        <v>102700</v>
      </c>
      <c r="F163" s="137">
        <v>102700</v>
      </c>
    </row>
    <row r="164" spans="1:6" x14ac:dyDescent="0.2">
      <c r="A164" s="52" t="s">
        <v>147</v>
      </c>
      <c r="B164" s="150" t="s">
        <v>1229</v>
      </c>
      <c r="C164" s="135" t="s">
        <v>1341</v>
      </c>
      <c r="D164" s="135" t="s">
        <v>1220</v>
      </c>
      <c r="E164" s="194">
        <v>102700</v>
      </c>
      <c r="F164" s="137">
        <v>102700</v>
      </c>
    </row>
    <row r="165" spans="1:6" x14ac:dyDescent="0.2">
      <c r="A165" s="52" t="s">
        <v>1145</v>
      </c>
      <c r="B165" s="150" t="s">
        <v>1229</v>
      </c>
      <c r="C165" s="135" t="s">
        <v>1341</v>
      </c>
      <c r="D165" s="135" t="s">
        <v>405</v>
      </c>
      <c r="E165" s="194">
        <v>102700</v>
      </c>
      <c r="F165" s="137">
        <v>102700</v>
      </c>
    </row>
    <row r="166" spans="1:6" ht="140.25" x14ac:dyDescent="0.2">
      <c r="A166" s="52" t="s">
        <v>622</v>
      </c>
      <c r="B166" s="150" t="s">
        <v>803</v>
      </c>
      <c r="C166" s="135" t="s">
        <v>1314</v>
      </c>
      <c r="D166" s="135" t="s">
        <v>1314</v>
      </c>
      <c r="E166" s="194">
        <v>38590000</v>
      </c>
      <c r="F166" s="137">
        <v>38590000</v>
      </c>
    </row>
    <row r="167" spans="1:6" ht="38.25" x14ac:dyDescent="0.2">
      <c r="A167" s="52" t="s">
        <v>1502</v>
      </c>
      <c r="B167" s="150" t="s">
        <v>803</v>
      </c>
      <c r="C167" s="135" t="s">
        <v>1503</v>
      </c>
      <c r="D167" s="135" t="s">
        <v>1314</v>
      </c>
      <c r="E167" s="194">
        <v>38590000</v>
      </c>
      <c r="F167" s="137">
        <v>38590000</v>
      </c>
    </row>
    <row r="168" spans="1:6" ht="38.25" x14ac:dyDescent="0.2">
      <c r="A168" s="52" t="s">
        <v>1338</v>
      </c>
      <c r="B168" s="150" t="s">
        <v>803</v>
      </c>
      <c r="C168" s="135" t="s">
        <v>1339</v>
      </c>
      <c r="D168" s="135" t="s">
        <v>1314</v>
      </c>
      <c r="E168" s="194">
        <v>38590000</v>
      </c>
      <c r="F168" s="137">
        <v>38590000</v>
      </c>
    </row>
    <row r="169" spans="1:6" x14ac:dyDescent="0.2">
      <c r="A169" s="52" t="s">
        <v>147</v>
      </c>
      <c r="B169" s="136" t="s">
        <v>803</v>
      </c>
      <c r="C169" s="135" t="s">
        <v>1339</v>
      </c>
      <c r="D169" s="135" t="s">
        <v>1220</v>
      </c>
      <c r="E169" s="194">
        <v>38590000</v>
      </c>
      <c r="F169" s="137">
        <v>38590000</v>
      </c>
    </row>
    <row r="170" spans="1:6" x14ac:dyDescent="0.2">
      <c r="A170" s="52" t="s">
        <v>159</v>
      </c>
      <c r="B170" s="150" t="s">
        <v>803</v>
      </c>
      <c r="C170" s="135" t="s">
        <v>1339</v>
      </c>
      <c r="D170" s="135" t="s">
        <v>448</v>
      </c>
      <c r="E170" s="194">
        <v>38590000</v>
      </c>
      <c r="F170" s="137">
        <v>38590000</v>
      </c>
    </row>
    <row r="171" spans="1:6" ht="153" x14ac:dyDescent="0.2">
      <c r="A171" s="52" t="s">
        <v>629</v>
      </c>
      <c r="B171" s="150" t="s">
        <v>815</v>
      </c>
      <c r="C171" s="135" t="s">
        <v>1314</v>
      </c>
      <c r="D171" s="135" t="s">
        <v>1314</v>
      </c>
      <c r="E171" s="194">
        <v>5400000</v>
      </c>
      <c r="F171" s="137">
        <v>5400000</v>
      </c>
    </row>
    <row r="172" spans="1:6" ht="38.25" x14ac:dyDescent="0.2">
      <c r="A172" s="52" t="s">
        <v>1502</v>
      </c>
      <c r="B172" s="150" t="s">
        <v>815</v>
      </c>
      <c r="C172" s="135" t="s">
        <v>1503</v>
      </c>
      <c r="D172" s="135" t="s">
        <v>1314</v>
      </c>
      <c r="E172" s="194">
        <v>5400000</v>
      </c>
      <c r="F172" s="137">
        <v>5400000</v>
      </c>
    </row>
    <row r="173" spans="1:6" ht="38.25" x14ac:dyDescent="0.2">
      <c r="A173" s="52" t="s">
        <v>1338</v>
      </c>
      <c r="B173" s="150" t="s">
        <v>815</v>
      </c>
      <c r="C173" s="135" t="s">
        <v>1339</v>
      </c>
      <c r="D173" s="135" t="s">
        <v>1314</v>
      </c>
      <c r="E173" s="194">
        <v>5400000</v>
      </c>
      <c r="F173" s="137">
        <v>5400000</v>
      </c>
    </row>
    <row r="174" spans="1:6" x14ac:dyDescent="0.2">
      <c r="A174" s="52" t="s">
        <v>147</v>
      </c>
      <c r="B174" s="150" t="s">
        <v>815</v>
      </c>
      <c r="C174" s="135" t="s">
        <v>1339</v>
      </c>
      <c r="D174" s="135" t="s">
        <v>1220</v>
      </c>
      <c r="E174" s="194">
        <v>5400000</v>
      </c>
      <c r="F174" s="137">
        <v>5400000</v>
      </c>
    </row>
    <row r="175" spans="1:6" x14ac:dyDescent="0.2">
      <c r="A175" s="52" t="s">
        <v>160</v>
      </c>
      <c r="B175" s="150" t="s">
        <v>815</v>
      </c>
      <c r="C175" s="135" t="s">
        <v>1339</v>
      </c>
      <c r="D175" s="135" t="s">
        <v>435</v>
      </c>
      <c r="E175" s="194">
        <v>5400000</v>
      </c>
      <c r="F175" s="137">
        <v>5400000</v>
      </c>
    </row>
    <row r="176" spans="1:6" ht="140.25" x14ac:dyDescent="0.2">
      <c r="A176" s="52" t="s">
        <v>1022</v>
      </c>
      <c r="B176" s="150" t="s">
        <v>1023</v>
      </c>
      <c r="C176" s="135" t="s">
        <v>1314</v>
      </c>
      <c r="D176" s="135" t="s">
        <v>1314</v>
      </c>
      <c r="E176" s="194">
        <v>10067000</v>
      </c>
      <c r="F176" s="137">
        <v>10067000</v>
      </c>
    </row>
    <row r="177" spans="1:6" ht="38.25" x14ac:dyDescent="0.2">
      <c r="A177" s="52" t="s">
        <v>1502</v>
      </c>
      <c r="B177" s="150" t="s">
        <v>1023</v>
      </c>
      <c r="C177" s="135" t="s">
        <v>1503</v>
      </c>
      <c r="D177" s="135" t="s">
        <v>1314</v>
      </c>
      <c r="E177" s="194">
        <v>10067000</v>
      </c>
      <c r="F177" s="137">
        <v>10067000</v>
      </c>
    </row>
    <row r="178" spans="1:6" ht="38.25" x14ac:dyDescent="0.2">
      <c r="A178" s="52" t="s">
        <v>1338</v>
      </c>
      <c r="B178" s="150" t="s">
        <v>1023</v>
      </c>
      <c r="C178" s="135" t="s">
        <v>1339</v>
      </c>
      <c r="D178" s="135" t="s">
        <v>1314</v>
      </c>
      <c r="E178" s="194">
        <v>10067000</v>
      </c>
      <c r="F178" s="137">
        <v>10067000</v>
      </c>
    </row>
    <row r="179" spans="1:6" x14ac:dyDescent="0.2">
      <c r="A179" s="52" t="s">
        <v>147</v>
      </c>
      <c r="B179" s="150" t="s">
        <v>1023</v>
      </c>
      <c r="C179" s="135" t="s">
        <v>1339</v>
      </c>
      <c r="D179" s="135" t="s">
        <v>1220</v>
      </c>
      <c r="E179" s="194">
        <v>10067000</v>
      </c>
      <c r="F179" s="137">
        <v>10067000</v>
      </c>
    </row>
    <row r="180" spans="1:6" x14ac:dyDescent="0.2">
      <c r="A180" s="52" t="s">
        <v>159</v>
      </c>
      <c r="B180" s="150" t="s">
        <v>1023</v>
      </c>
      <c r="C180" s="135" t="s">
        <v>1339</v>
      </c>
      <c r="D180" s="135" t="s">
        <v>448</v>
      </c>
      <c r="E180" s="194">
        <v>10067000</v>
      </c>
      <c r="F180" s="137">
        <v>10067000</v>
      </c>
    </row>
    <row r="181" spans="1:6" ht="165.75" x14ac:dyDescent="0.2">
      <c r="A181" s="52" t="s">
        <v>1024</v>
      </c>
      <c r="B181" s="150" t="s">
        <v>1025</v>
      </c>
      <c r="C181" s="135" t="s">
        <v>1314</v>
      </c>
      <c r="D181" s="135" t="s">
        <v>1314</v>
      </c>
      <c r="E181" s="194">
        <v>10340000</v>
      </c>
      <c r="F181" s="137">
        <v>10340000</v>
      </c>
    </row>
    <row r="182" spans="1:6" ht="38.25" x14ac:dyDescent="0.2">
      <c r="A182" s="190" t="s">
        <v>1502</v>
      </c>
      <c r="B182" s="150" t="s">
        <v>1025</v>
      </c>
      <c r="C182" s="135" t="s">
        <v>1503</v>
      </c>
      <c r="D182" s="135" t="s">
        <v>1314</v>
      </c>
      <c r="E182" s="194">
        <v>10340000</v>
      </c>
      <c r="F182" s="137">
        <v>10340000</v>
      </c>
    </row>
    <row r="183" spans="1:6" ht="38.25" x14ac:dyDescent="0.2">
      <c r="A183" s="52" t="s">
        <v>1338</v>
      </c>
      <c r="B183" s="150" t="s">
        <v>1025</v>
      </c>
      <c r="C183" s="135" t="s">
        <v>1339</v>
      </c>
      <c r="D183" s="135" t="s">
        <v>1314</v>
      </c>
      <c r="E183" s="194">
        <v>10340000</v>
      </c>
      <c r="F183" s="137">
        <v>10340000</v>
      </c>
    </row>
    <row r="184" spans="1:6" x14ac:dyDescent="0.2">
      <c r="A184" s="52" t="s">
        <v>147</v>
      </c>
      <c r="B184" s="150" t="s">
        <v>1025</v>
      </c>
      <c r="C184" s="135" t="s">
        <v>1339</v>
      </c>
      <c r="D184" s="135" t="s">
        <v>1220</v>
      </c>
      <c r="E184" s="194">
        <v>10340000</v>
      </c>
      <c r="F184" s="137">
        <v>10340000</v>
      </c>
    </row>
    <row r="185" spans="1:6" x14ac:dyDescent="0.2">
      <c r="A185" s="52" t="s">
        <v>160</v>
      </c>
      <c r="B185" s="150" t="s">
        <v>1025</v>
      </c>
      <c r="C185" s="135" t="s">
        <v>1339</v>
      </c>
      <c r="D185" s="135" t="s">
        <v>435</v>
      </c>
      <c r="E185" s="194">
        <v>10340000</v>
      </c>
      <c r="F185" s="137">
        <v>10340000</v>
      </c>
    </row>
    <row r="186" spans="1:6" ht="153" x14ac:dyDescent="0.2">
      <c r="A186" s="52" t="s">
        <v>1026</v>
      </c>
      <c r="B186" s="150" t="s">
        <v>1027</v>
      </c>
      <c r="C186" s="135" t="s">
        <v>1314</v>
      </c>
      <c r="D186" s="135" t="s">
        <v>1314</v>
      </c>
      <c r="E186" s="194">
        <v>371500</v>
      </c>
      <c r="F186" s="137">
        <v>371500</v>
      </c>
    </row>
    <row r="187" spans="1:6" ht="38.25" x14ac:dyDescent="0.2">
      <c r="A187" s="52" t="s">
        <v>1502</v>
      </c>
      <c r="B187" s="150" t="s">
        <v>1027</v>
      </c>
      <c r="C187" s="135" t="s">
        <v>1503</v>
      </c>
      <c r="D187" s="135" t="s">
        <v>1314</v>
      </c>
      <c r="E187" s="194">
        <v>270000</v>
      </c>
      <c r="F187" s="137">
        <v>270000</v>
      </c>
    </row>
    <row r="188" spans="1:6" ht="38.25" x14ac:dyDescent="0.2">
      <c r="A188" s="52" t="s">
        <v>1338</v>
      </c>
      <c r="B188" s="150" t="s">
        <v>1027</v>
      </c>
      <c r="C188" s="135" t="s">
        <v>1339</v>
      </c>
      <c r="D188" s="135" t="s">
        <v>1314</v>
      </c>
      <c r="E188" s="194">
        <v>270000</v>
      </c>
      <c r="F188" s="137">
        <v>270000</v>
      </c>
    </row>
    <row r="189" spans="1:6" x14ac:dyDescent="0.2">
      <c r="A189" s="190" t="s">
        <v>147</v>
      </c>
      <c r="B189" s="150" t="s">
        <v>1027</v>
      </c>
      <c r="C189" s="135" t="s">
        <v>1339</v>
      </c>
      <c r="D189" s="135" t="s">
        <v>1220</v>
      </c>
      <c r="E189" s="194">
        <v>270000</v>
      </c>
      <c r="F189" s="137">
        <v>270000</v>
      </c>
    </row>
    <row r="190" spans="1:6" x14ac:dyDescent="0.2">
      <c r="A190" s="52" t="s">
        <v>1147</v>
      </c>
      <c r="B190" s="150" t="s">
        <v>1027</v>
      </c>
      <c r="C190" s="135" t="s">
        <v>1339</v>
      </c>
      <c r="D190" s="135" t="s">
        <v>1148</v>
      </c>
      <c r="E190" s="194">
        <v>270000</v>
      </c>
      <c r="F190" s="137">
        <v>270000</v>
      </c>
    </row>
    <row r="191" spans="1:6" ht="38.25" x14ac:dyDescent="0.2">
      <c r="A191" s="52" t="s">
        <v>1510</v>
      </c>
      <c r="B191" s="150" t="s">
        <v>1027</v>
      </c>
      <c r="C191" s="135" t="s">
        <v>1511</v>
      </c>
      <c r="D191" s="135" t="s">
        <v>1314</v>
      </c>
      <c r="E191" s="194">
        <v>101500</v>
      </c>
      <c r="F191" s="137">
        <v>101500</v>
      </c>
    </row>
    <row r="192" spans="1:6" x14ac:dyDescent="0.2">
      <c r="A192" s="52" t="s">
        <v>1340</v>
      </c>
      <c r="B192" s="150" t="s">
        <v>1027</v>
      </c>
      <c r="C192" s="135" t="s">
        <v>1341</v>
      </c>
      <c r="D192" s="135" t="s">
        <v>1314</v>
      </c>
      <c r="E192" s="194">
        <v>101500</v>
      </c>
      <c r="F192" s="137">
        <v>101500</v>
      </c>
    </row>
    <row r="193" spans="1:6" x14ac:dyDescent="0.2">
      <c r="A193" s="52" t="s">
        <v>147</v>
      </c>
      <c r="B193" s="150" t="s">
        <v>1027</v>
      </c>
      <c r="C193" s="135" t="s">
        <v>1341</v>
      </c>
      <c r="D193" s="135" t="s">
        <v>1220</v>
      </c>
      <c r="E193" s="194">
        <v>57500</v>
      </c>
      <c r="F193" s="137">
        <v>57500</v>
      </c>
    </row>
    <row r="194" spans="1:6" x14ac:dyDescent="0.2">
      <c r="A194" s="52" t="s">
        <v>1147</v>
      </c>
      <c r="B194" s="136" t="s">
        <v>1027</v>
      </c>
      <c r="C194" s="135" t="s">
        <v>1341</v>
      </c>
      <c r="D194" s="135" t="s">
        <v>1148</v>
      </c>
      <c r="E194" s="194">
        <v>57500</v>
      </c>
      <c r="F194" s="137">
        <v>57500</v>
      </c>
    </row>
    <row r="195" spans="1:6" x14ac:dyDescent="0.2">
      <c r="A195" s="52" t="s">
        <v>265</v>
      </c>
      <c r="B195" s="136" t="s">
        <v>1027</v>
      </c>
      <c r="C195" s="135" t="s">
        <v>1341</v>
      </c>
      <c r="D195" s="135" t="s">
        <v>1222</v>
      </c>
      <c r="E195" s="194">
        <v>44000</v>
      </c>
      <c r="F195" s="137">
        <v>44000</v>
      </c>
    </row>
    <row r="196" spans="1:6" x14ac:dyDescent="0.2">
      <c r="A196" s="52" t="s">
        <v>1384</v>
      </c>
      <c r="B196" s="136" t="s">
        <v>1027</v>
      </c>
      <c r="C196" s="135" t="s">
        <v>1341</v>
      </c>
      <c r="D196" s="135" t="s">
        <v>1385</v>
      </c>
      <c r="E196" s="194">
        <v>44000</v>
      </c>
      <c r="F196" s="137">
        <v>44000</v>
      </c>
    </row>
    <row r="197" spans="1:6" ht="153" x14ac:dyDescent="0.2">
      <c r="A197" s="190" t="s">
        <v>1230</v>
      </c>
      <c r="B197" s="136" t="s">
        <v>1231</v>
      </c>
      <c r="C197" s="135" t="s">
        <v>1314</v>
      </c>
      <c r="D197" s="135" t="s">
        <v>1314</v>
      </c>
      <c r="E197" s="194">
        <v>308700</v>
      </c>
      <c r="F197" s="137">
        <v>308700</v>
      </c>
    </row>
    <row r="198" spans="1:6" ht="38.25" x14ac:dyDescent="0.2">
      <c r="A198" s="52" t="s">
        <v>1510</v>
      </c>
      <c r="B198" s="136" t="s">
        <v>1231</v>
      </c>
      <c r="C198" s="135" t="s">
        <v>1511</v>
      </c>
      <c r="D198" s="135" t="s">
        <v>1314</v>
      </c>
      <c r="E198" s="194">
        <v>308700</v>
      </c>
      <c r="F198" s="137">
        <v>308700</v>
      </c>
    </row>
    <row r="199" spans="1:6" x14ac:dyDescent="0.2">
      <c r="A199" s="52" t="s">
        <v>1340</v>
      </c>
      <c r="B199" s="136" t="s">
        <v>1231</v>
      </c>
      <c r="C199" s="135" t="s">
        <v>1341</v>
      </c>
      <c r="D199" s="135" t="s">
        <v>1314</v>
      </c>
      <c r="E199" s="194">
        <v>308700</v>
      </c>
      <c r="F199" s="137">
        <v>308700</v>
      </c>
    </row>
    <row r="200" spans="1:6" x14ac:dyDescent="0.2">
      <c r="A200" s="190" t="s">
        <v>147</v>
      </c>
      <c r="B200" s="136" t="s">
        <v>1231</v>
      </c>
      <c r="C200" s="135" t="s">
        <v>1341</v>
      </c>
      <c r="D200" s="135" t="s">
        <v>1220</v>
      </c>
      <c r="E200" s="194">
        <v>308700</v>
      </c>
      <c r="F200" s="137">
        <v>308700</v>
      </c>
    </row>
    <row r="201" spans="1:6" x14ac:dyDescent="0.2">
      <c r="A201" s="52" t="s">
        <v>1145</v>
      </c>
      <c r="B201" s="136" t="s">
        <v>1231</v>
      </c>
      <c r="C201" s="135" t="s">
        <v>1341</v>
      </c>
      <c r="D201" s="135" t="s">
        <v>405</v>
      </c>
      <c r="E201" s="194">
        <v>308700</v>
      </c>
      <c r="F201" s="137">
        <v>308700</v>
      </c>
    </row>
    <row r="202" spans="1:6" ht="344.25" x14ac:dyDescent="0.2">
      <c r="A202" s="52" t="s">
        <v>1546</v>
      </c>
      <c r="B202" s="136" t="s">
        <v>798</v>
      </c>
      <c r="C202" s="135" t="s">
        <v>1314</v>
      </c>
      <c r="D202" s="135" t="s">
        <v>1314</v>
      </c>
      <c r="E202" s="194">
        <v>90281800</v>
      </c>
      <c r="F202" s="137">
        <v>90281800</v>
      </c>
    </row>
    <row r="203" spans="1:6" ht="76.5" x14ac:dyDescent="0.2">
      <c r="A203" s="52" t="s">
        <v>1501</v>
      </c>
      <c r="B203" s="136" t="s">
        <v>798</v>
      </c>
      <c r="C203" s="135" t="s">
        <v>290</v>
      </c>
      <c r="D203" s="135" t="s">
        <v>1314</v>
      </c>
      <c r="E203" s="194">
        <v>80930950</v>
      </c>
      <c r="F203" s="137">
        <v>80930950</v>
      </c>
    </row>
    <row r="204" spans="1:6" ht="25.5" x14ac:dyDescent="0.2">
      <c r="A204" s="190" t="s">
        <v>1331</v>
      </c>
      <c r="B204" s="136" t="s">
        <v>798</v>
      </c>
      <c r="C204" s="135" t="s">
        <v>140</v>
      </c>
      <c r="D204" s="135" t="s">
        <v>1314</v>
      </c>
      <c r="E204" s="194">
        <v>80930950</v>
      </c>
      <c r="F204" s="137">
        <v>80930950</v>
      </c>
    </row>
    <row r="205" spans="1:6" x14ac:dyDescent="0.2">
      <c r="A205" s="190" t="s">
        <v>147</v>
      </c>
      <c r="B205" s="136" t="s">
        <v>798</v>
      </c>
      <c r="C205" s="135" t="s">
        <v>140</v>
      </c>
      <c r="D205" s="135" t="s">
        <v>1220</v>
      </c>
      <c r="E205" s="194">
        <v>80930950</v>
      </c>
      <c r="F205" s="137">
        <v>80930950</v>
      </c>
    </row>
    <row r="206" spans="1:6" x14ac:dyDescent="0.2">
      <c r="A206" s="52" t="s">
        <v>159</v>
      </c>
      <c r="B206" s="136" t="s">
        <v>798</v>
      </c>
      <c r="C206" s="135" t="s">
        <v>140</v>
      </c>
      <c r="D206" s="135" t="s">
        <v>448</v>
      </c>
      <c r="E206" s="194">
        <v>80930950</v>
      </c>
      <c r="F206" s="137">
        <v>80930950</v>
      </c>
    </row>
    <row r="207" spans="1:6" ht="38.25" x14ac:dyDescent="0.2">
      <c r="A207" s="52" t="s">
        <v>1502</v>
      </c>
      <c r="B207" s="136" t="s">
        <v>798</v>
      </c>
      <c r="C207" s="135" t="s">
        <v>1503</v>
      </c>
      <c r="D207" s="135" t="s">
        <v>1314</v>
      </c>
      <c r="E207" s="194">
        <v>9350850</v>
      </c>
      <c r="F207" s="137">
        <v>9350850</v>
      </c>
    </row>
    <row r="208" spans="1:6" ht="38.25" x14ac:dyDescent="0.2">
      <c r="A208" s="52" t="s">
        <v>1338</v>
      </c>
      <c r="B208" s="136" t="s">
        <v>798</v>
      </c>
      <c r="C208" s="135" t="s">
        <v>1339</v>
      </c>
      <c r="D208" s="135" t="s">
        <v>1314</v>
      </c>
      <c r="E208" s="194">
        <v>9350850</v>
      </c>
      <c r="F208" s="137">
        <v>9350850</v>
      </c>
    </row>
    <row r="209" spans="1:6" x14ac:dyDescent="0.2">
      <c r="A209" s="52" t="s">
        <v>147</v>
      </c>
      <c r="B209" s="136" t="s">
        <v>798</v>
      </c>
      <c r="C209" s="135" t="s">
        <v>1339</v>
      </c>
      <c r="D209" s="135" t="s">
        <v>1220</v>
      </c>
      <c r="E209" s="194">
        <v>9350850</v>
      </c>
      <c r="F209" s="137">
        <v>9350850</v>
      </c>
    </row>
    <row r="210" spans="1:6" x14ac:dyDescent="0.2">
      <c r="A210" s="52" t="s">
        <v>159</v>
      </c>
      <c r="B210" s="136" t="s">
        <v>798</v>
      </c>
      <c r="C210" s="135" t="s">
        <v>1339</v>
      </c>
      <c r="D210" s="135" t="s">
        <v>448</v>
      </c>
      <c r="E210" s="194">
        <v>9350850</v>
      </c>
      <c r="F210" s="137">
        <v>9350850</v>
      </c>
    </row>
    <row r="211" spans="1:6" ht="344.25" x14ac:dyDescent="0.2">
      <c r="A211" s="52" t="s">
        <v>1548</v>
      </c>
      <c r="B211" s="136" t="s">
        <v>806</v>
      </c>
      <c r="C211" s="135" t="s">
        <v>1314</v>
      </c>
      <c r="D211" s="135" t="s">
        <v>1314</v>
      </c>
      <c r="E211" s="194">
        <v>91381800</v>
      </c>
      <c r="F211" s="137">
        <v>91381800</v>
      </c>
    </row>
    <row r="212" spans="1:6" ht="76.5" x14ac:dyDescent="0.2">
      <c r="A212" s="190" t="s">
        <v>1501</v>
      </c>
      <c r="B212" s="136" t="s">
        <v>806</v>
      </c>
      <c r="C212" s="135" t="s">
        <v>290</v>
      </c>
      <c r="D212" s="135" t="s">
        <v>1314</v>
      </c>
      <c r="E212" s="194">
        <v>81585176</v>
      </c>
      <c r="F212" s="137">
        <v>81585176</v>
      </c>
    </row>
    <row r="213" spans="1:6" ht="25.5" x14ac:dyDescent="0.2">
      <c r="A213" s="190" t="s">
        <v>1331</v>
      </c>
      <c r="B213" s="136" t="s">
        <v>806</v>
      </c>
      <c r="C213" s="135" t="s">
        <v>140</v>
      </c>
      <c r="D213" s="135" t="s">
        <v>1314</v>
      </c>
      <c r="E213" s="194">
        <v>81585176</v>
      </c>
      <c r="F213" s="137">
        <v>81585176</v>
      </c>
    </row>
    <row r="214" spans="1:6" x14ac:dyDescent="0.2">
      <c r="A214" s="52" t="s">
        <v>147</v>
      </c>
      <c r="B214" s="136" t="s">
        <v>806</v>
      </c>
      <c r="C214" s="135" t="s">
        <v>140</v>
      </c>
      <c r="D214" s="135" t="s">
        <v>1220</v>
      </c>
      <c r="E214" s="194">
        <v>81585176</v>
      </c>
      <c r="F214" s="137">
        <v>81585176</v>
      </c>
    </row>
    <row r="215" spans="1:6" x14ac:dyDescent="0.2">
      <c r="A215" s="52" t="s">
        <v>160</v>
      </c>
      <c r="B215" s="136" t="s">
        <v>806</v>
      </c>
      <c r="C215" s="135" t="s">
        <v>140</v>
      </c>
      <c r="D215" s="135" t="s">
        <v>435</v>
      </c>
      <c r="E215" s="194">
        <v>81585176</v>
      </c>
      <c r="F215" s="137">
        <v>81585176</v>
      </c>
    </row>
    <row r="216" spans="1:6" ht="38.25" x14ac:dyDescent="0.2">
      <c r="A216" s="52" t="s">
        <v>1502</v>
      </c>
      <c r="B216" s="136" t="s">
        <v>806</v>
      </c>
      <c r="C216" s="135" t="s">
        <v>1503</v>
      </c>
      <c r="D216" s="135" t="s">
        <v>1314</v>
      </c>
      <c r="E216" s="194">
        <v>9796624</v>
      </c>
      <c r="F216" s="137">
        <v>9796624</v>
      </c>
    </row>
    <row r="217" spans="1:6" ht="38.25" x14ac:dyDescent="0.2">
      <c r="A217" s="52" t="s">
        <v>1338</v>
      </c>
      <c r="B217" s="136" t="s">
        <v>806</v>
      </c>
      <c r="C217" s="135" t="s">
        <v>1339</v>
      </c>
      <c r="D217" s="135" t="s">
        <v>1314</v>
      </c>
      <c r="E217" s="194">
        <v>9796624</v>
      </c>
      <c r="F217" s="137">
        <v>9796624</v>
      </c>
    </row>
    <row r="218" spans="1:6" x14ac:dyDescent="0.2">
      <c r="A218" s="52" t="s">
        <v>147</v>
      </c>
      <c r="B218" s="136" t="s">
        <v>806</v>
      </c>
      <c r="C218" s="135" t="s">
        <v>1339</v>
      </c>
      <c r="D218" s="135" t="s">
        <v>1220</v>
      </c>
      <c r="E218" s="194">
        <v>9796624</v>
      </c>
      <c r="F218" s="137">
        <v>9796624</v>
      </c>
    </row>
    <row r="219" spans="1:6" x14ac:dyDescent="0.2">
      <c r="A219" s="52" t="s">
        <v>160</v>
      </c>
      <c r="B219" s="136" t="s">
        <v>806</v>
      </c>
      <c r="C219" s="135" t="s">
        <v>1339</v>
      </c>
      <c r="D219" s="135" t="s">
        <v>435</v>
      </c>
      <c r="E219" s="194">
        <v>9796624</v>
      </c>
      <c r="F219" s="137">
        <v>9796624</v>
      </c>
    </row>
    <row r="220" spans="1:6" ht="216.75" x14ac:dyDescent="0.2">
      <c r="A220" s="52" t="s">
        <v>1552</v>
      </c>
      <c r="B220" s="136" t="s">
        <v>842</v>
      </c>
      <c r="C220" s="135" t="s">
        <v>1314</v>
      </c>
      <c r="D220" s="135" t="s">
        <v>1314</v>
      </c>
      <c r="E220" s="194">
        <v>800300</v>
      </c>
      <c r="F220" s="137">
        <v>800300</v>
      </c>
    </row>
    <row r="221" spans="1:6" ht="38.25" x14ac:dyDescent="0.2">
      <c r="A221" s="52" t="s">
        <v>1502</v>
      </c>
      <c r="B221" s="136" t="s">
        <v>842</v>
      </c>
      <c r="C221" s="135" t="s">
        <v>1503</v>
      </c>
      <c r="D221" s="135" t="s">
        <v>1314</v>
      </c>
      <c r="E221" s="194">
        <v>800300</v>
      </c>
      <c r="F221" s="137">
        <v>800300</v>
      </c>
    </row>
    <row r="222" spans="1:6" ht="38.25" x14ac:dyDescent="0.2">
      <c r="A222" s="52" t="s">
        <v>1338</v>
      </c>
      <c r="B222" s="136" t="s">
        <v>842</v>
      </c>
      <c r="C222" s="135" t="s">
        <v>1339</v>
      </c>
      <c r="D222" s="135" t="s">
        <v>1314</v>
      </c>
      <c r="E222" s="194">
        <v>800300</v>
      </c>
      <c r="F222" s="137">
        <v>800300</v>
      </c>
    </row>
    <row r="223" spans="1:6" x14ac:dyDescent="0.2">
      <c r="A223" s="52" t="s">
        <v>148</v>
      </c>
      <c r="B223" s="136" t="s">
        <v>842</v>
      </c>
      <c r="C223" s="135" t="s">
        <v>1339</v>
      </c>
      <c r="D223" s="135" t="s">
        <v>1221</v>
      </c>
      <c r="E223" s="194">
        <v>800300</v>
      </c>
      <c r="F223" s="137">
        <v>800300</v>
      </c>
    </row>
    <row r="224" spans="1:6" x14ac:dyDescent="0.2">
      <c r="A224" s="52" t="s">
        <v>105</v>
      </c>
      <c r="B224" s="136" t="s">
        <v>842</v>
      </c>
      <c r="C224" s="135" t="s">
        <v>1339</v>
      </c>
      <c r="D224" s="135" t="s">
        <v>418</v>
      </c>
      <c r="E224" s="194">
        <v>800300</v>
      </c>
      <c r="F224" s="137">
        <v>800300</v>
      </c>
    </row>
    <row r="225" spans="1:6" ht="153" x14ac:dyDescent="0.2">
      <c r="A225" s="52" t="s">
        <v>1554</v>
      </c>
      <c r="B225" s="136" t="s">
        <v>844</v>
      </c>
      <c r="C225" s="135" t="s">
        <v>1314</v>
      </c>
      <c r="D225" s="135" t="s">
        <v>1314</v>
      </c>
      <c r="E225" s="194">
        <v>2956600</v>
      </c>
      <c r="F225" s="137">
        <v>2956600</v>
      </c>
    </row>
    <row r="226" spans="1:6" ht="38.25" x14ac:dyDescent="0.2">
      <c r="A226" s="52" t="s">
        <v>1502</v>
      </c>
      <c r="B226" s="136" t="s">
        <v>844</v>
      </c>
      <c r="C226" s="135" t="s">
        <v>1503</v>
      </c>
      <c r="D226" s="135" t="s">
        <v>1314</v>
      </c>
      <c r="E226" s="194">
        <v>50000</v>
      </c>
      <c r="F226" s="137">
        <v>50000</v>
      </c>
    </row>
    <row r="227" spans="1:6" ht="38.25" x14ac:dyDescent="0.2">
      <c r="A227" s="52" t="s">
        <v>1338</v>
      </c>
      <c r="B227" s="136" t="s">
        <v>844</v>
      </c>
      <c r="C227" s="135" t="s">
        <v>1339</v>
      </c>
      <c r="D227" s="135" t="s">
        <v>1314</v>
      </c>
      <c r="E227" s="194">
        <v>50000</v>
      </c>
      <c r="F227" s="137">
        <v>50000</v>
      </c>
    </row>
    <row r="228" spans="1:6" x14ac:dyDescent="0.2">
      <c r="A228" s="52" t="s">
        <v>148</v>
      </c>
      <c r="B228" s="136" t="s">
        <v>844</v>
      </c>
      <c r="C228" s="135" t="s">
        <v>1339</v>
      </c>
      <c r="D228" s="135" t="s">
        <v>1221</v>
      </c>
      <c r="E228" s="194">
        <v>50000</v>
      </c>
      <c r="F228" s="137">
        <v>50000</v>
      </c>
    </row>
    <row r="229" spans="1:6" x14ac:dyDescent="0.2">
      <c r="A229" s="52" t="s">
        <v>19</v>
      </c>
      <c r="B229" s="136" t="s">
        <v>844</v>
      </c>
      <c r="C229" s="135" t="s">
        <v>1339</v>
      </c>
      <c r="D229" s="135" t="s">
        <v>463</v>
      </c>
      <c r="E229" s="194">
        <v>50000</v>
      </c>
      <c r="F229" s="137">
        <v>50000</v>
      </c>
    </row>
    <row r="230" spans="1:6" ht="25.5" x14ac:dyDescent="0.2">
      <c r="A230" s="52" t="s">
        <v>1506</v>
      </c>
      <c r="B230" s="136" t="s">
        <v>844</v>
      </c>
      <c r="C230" s="135" t="s">
        <v>1507</v>
      </c>
      <c r="D230" s="135" t="s">
        <v>1314</v>
      </c>
      <c r="E230" s="194">
        <v>2906600</v>
      </c>
      <c r="F230" s="137">
        <v>2906600</v>
      </c>
    </row>
    <row r="231" spans="1:6" ht="38.25" x14ac:dyDescent="0.2">
      <c r="A231" s="52" t="s">
        <v>1342</v>
      </c>
      <c r="B231" s="136" t="s">
        <v>844</v>
      </c>
      <c r="C231" s="135" t="s">
        <v>604</v>
      </c>
      <c r="D231" s="135" t="s">
        <v>1314</v>
      </c>
      <c r="E231" s="194">
        <v>2906600</v>
      </c>
      <c r="F231" s="137">
        <v>2906600</v>
      </c>
    </row>
    <row r="232" spans="1:6" x14ac:dyDescent="0.2">
      <c r="A232" s="52" t="s">
        <v>148</v>
      </c>
      <c r="B232" s="136" t="s">
        <v>844</v>
      </c>
      <c r="C232" s="135" t="s">
        <v>604</v>
      </c>
      <c r="D232" s="135" t="s">
        <v>1221</v>
      </c>
      <c r="E232" s="194">
        <v>2906600</v>
      </c>
      <c r="F232" s="137">
        <v>2906600</v>
      </c>
    </row>
    <row r="233" spans="1:6" x14ac:dyDescent="0.2">
      <c r="A233" s="52" t="s">
        <v>19</v>
      </c>
      <c r="B233" s="136" t="s">
        <v>844</v>
      </c>
      <c r="C233" s="135" t="s">
        <v>604</v>
      </c>
      <c r="D233" s="135" t="s">
        <v>463</v>
      </c>
      <c r="E233" s="194">
        <v>2906600</v>
      </c>
      <c r="F233" s="137">
        <v>2906600</v>
      </c>
    </row>
    <row r="234" spans="1:6" ht="331.5" x14ac:dyDescent="0.2">
      <c r="A234" s="52" t="s">
        <v>1549</v>
      </c>
      <c r="B234" s="136" t="s">
        <v>804</v>
      </c>
      <c r="C234" s="135" t="s">
        <v>1314</v>
      </c>
      <c r="D234" s="135" t="s">
        <v>1314</v>
      </c>
      <c r="E234" s="194">
        <v>377883700</v>
      </c>
      <c r="F234" s="137">
        <v>377883700</v>
      </c>
    </row>
    <row r="235" spans="1:6" ht="76.5" x14ac:dyDescent="0.2">
      <c r="A235" s="52" t="s">
        <v>1501</v>
      </c>
      <c r="B235" s="136" t="s">
        <v>804</v>
      </c>
      <c r="C235" s="135" t="s">
        <v>290</v>
      </c>
      <c r="D235" s="135" t="s">
        <v>1314</v>
      </c>
      <c r="E235" s="194">
        <v>338063097</v>
      </c>
      <c r="F235" s="137">
        <v>338063097</v>
      </c>
    </row>
    <row r="236" spans="1:6" ht="25.5" x14ac:dyDescent="0.2">
      <c r="A236" s="52" t="s">
        <v>1331</v>
      </c>
      <c r="B236" s="136" t="s">
        <v>804</v>
      </c>
      <c r="C236" s="135" t="s">
        <v>140</v>
      </c>
      <c r="D236" s="135" t="s">
        <v>1314</v>
      </c>
      <c r="E236" s="194">
        <v>338063097</v>
      </c>
      <c r="F236" s="137">
        <v>338063097</v>
      </c>
    </row>
    <row r="237" spans="1:6" x14ac:dyDescent="0.2">
      <c r="A237" s="52" t="s">
        <v>147</v>
      </c>
      <c r="B237" s="136" t="s">
        <v>804</v>
      </c>
      <c r="C237" s="135" t="s">
        <v>140</v>
      </c>
      <c r="D237" s="135" t="s">
        <v>1220</v>
      </c>
      <c r="E237" s="194">
        <v>338063097</v>
      </c>
      <c r="F237" s="137">
        <v>338063097</v>
      </c>
    </row>
    <row r="238" spans="1:6" x14ac:dyDescent="0.2">
      <c r="A238" s="52" t="s">
        <v>160</v>
      </c>
      <c r="B238" s="136" t="s">
        <v>804</v>
      </c>
      <c r="C238" s="135" t="s">
        <v>140</v>
      </c>
      <c r="D238" s="135" t="s">
        <v>435</v>
      </c>
      <c r="E238" s="194">
        <v>333355065</v>
      </c>
      <c r="F238" s="137">
        <v>333355065</v>
      </c>
    </row>
    <row r="239" spans="1:6" x14ac:dyDescent="0.2">
      <c r="A239" s="52" t="s">
        <v>1147</v>
      </c>
      <c r="B239" s="136" t="s">
        <v>804</v>
      </c>
      <c r="C239" s="135" t="s">
        <v>140</v>
      </c>
      <c r="D239" s="135" t="s">
        <v>1148</v>
      </c>
      <c r="E239" s="194">
        <v>4708032</v>
      </c>
      <c r="F239" s="137">
        <v>4708032</v>
      </c>
    </row>
    <row r="240" spans="1:6" ht="38.25" x14ac:dyDescent="0.2">
      <c r="A240" s="52" t="s">
        <v>1502</v>
      </c>
      <c r="B240" s="136" t="s">
        <v>804</v>
      </c>
      <c r="C240" s="135" t="s">
        <v>1503</v>
      </c>
      <c r="D240" s="135" t="s">
        <v>1314</v>
      </c>
      <c r="E240" s="194">
        <v>39820603</v>
      </c>
      <c r="F240" s="137">
        <v>39820603</v>
      </c>
    </row>
    <row r="241" spans="1:6" ht="38.25" x14ac:dyDescent="0.2">
      <c r="A241" s="52" t="s">
        <v>1338</v>
      </c>
      <c r="B241" s="136" t="s">
        <v>804</v>
      </c>
      <c r="C241" s="135" t="s">
        <v>1339</v>
      </c>
      <c r="D241" s="135" t="s">
        <v>1314</v>
      </c>
      <c r="E241" s="194">
        <v>39820603</v>
      </c>
      <c r="F241" s="137">
        <v>39820603</v>
      </c>
    </row>
    <row r="242" spans="1:6" x14ac:dyDescent="0.2">
      <c r="A242" s="52" t="s">
        <v>147</v>
      </c>
      <c r="B242" s="136" t="s">
        <v>804</v>
      </c>
      <c r="C242" s="135" t="s">
        <v>1339</v>
      </c>
      <c r="D242" s="135" t="s">
        <v>1220</v>
      </c>
      <c r="E242" s="194">
        <v>39820603</v>
      </c>
      <c r="F242" s="137">
        <v>39820603</v>
      </c>
    </row>
    <row r="243" spans="1:6" x14ac:dyDescent="0.2">
      <c r="A243" s="52" t="s">
        <v>160</v>
      </c>
      <c r="B243" s="136" t="s">
        <v>804</v>
      </c>
      <c r="C243" s="135" t="s">
        <v>1339</v>
      </c>
      <c r="D243" s="135" t="s">
        <v>435</v>
      </c>
      <c r="E243" s="194">
        <v>33777114</v>
      </c>
      <c r="F243" s="137">
        <v>33777114</v>
      </c>
    </row>
    <row r="244" spans="1:6" x14ac:dyDescent="0.2">
      <c r="A244" s="190" t="s">
        <v>1147</v>
      </c>
      <c r="B244" s="136" t="s">
        <v>804</v>
      </c>
      <c r="C244" s="135" t="s">
        <v>1339</v>
      </c>
      <c r="D244" s="135" t="s">
        <v>1148</v>
      </c>
      <c r="E244" s="194">
        <v>6043489</v>
      </c>
      <c r="F244" s="137">
        <v>6043489</v>
      </c>
    </row>
    <row r="245" spans="1:6" ht="165.75" x14ac:dyDescent="0.2">
      <c r="A245" s="52" t="s">
        <v>1553</v>
      </c>
      <c r="B245" s="136" t="s">
        <v>843</v>
      </c>
      <c r="C245" s="135" t="s">
        <v>1314</v>
      </c>
      <c r="D245" s="135" t="s">
        <v>1314</v>
      </c>
      <c r="E245" s="194">
        <v>19648700</v>
      </c>
      <c r="F245" s="137">
        <v>26810300</v>
      </c>
    </row>
    <row r="246" spans="1:6" ht="38.25" x14ac:dyDescent="0.2">
      <c r="A246" s="52" t="s">
        <v>1502</v>
      </c>
      <c r="B246" s="136" t="s">
        <v>843</v>
      </c>
      <c r="C246" s="135" t="s">
        <v>1503</v>
      </c>
      <c r="D246" s="135" t="s">
        <v>1314</v>
      </c>
      <c r="E246" s="194">
        <v>18965420</v>
      </c>
      <c r="F246" s="137">
        <v>26127020</v>
      </c>
    </row>
    <row r="247" spans="1:6" ht="38.25" x14ac:dyDescent="0.2">
      <c r="A247" s="52" t="s">
        <v>1338</v>
      </c>
      <c r="B247" s="136" t="s">
        <v>843</v>
      </c>
      <c r="C247" s="135" t="s">
        <v>1339</v>
      </c>
      <c r="D247" s="135" t="s">
        <v>1314</v>
      </c>
      <c r="E247" s="194">
        <v>18965420</v>
      </c>
      <c r="F247" s="137">
        <v>26127020</v>
      </c>
    </row>
    <row r="248" spans="1:6" x14ac:dyDescent="0.2">
      <c r="A248" s="52" t="s">
        <v>148</v>
      </c>
      <c r="B248" s="136" t="s">
        <v>843</v>
      </c>
      <c r="C248" s="135" t="s">
        <v>1339</v>
      </c>
      <c r="D248" s="135" t="s">
        <v>1221</v>
      </c>
      <c r="E248" s="194">
        <v>18965420</v>
      </c>
      <c r="F248" s="137">
        <v>26127020</v>
      </c>
    </row>
    <row r="249" spans="1:6" x14ac:dyDescent="0.2">
      <c r="A249" s="52" t="s">
        <v>105</v>
      </c>
      <c r="B249" s="136" t="s">
        <v>843</v>
      </c>
      <c r="C249" s="135" t="s">
        <v>1339</v>
      </c>
      <c r="D249" s="135" t="s">
        <v>418</v>
      </c>
      <c r="E249" s="194">
        <v>18965420</v>
      </c>
      <c r="F249" s="137">
        <v>26127020</v>
      </c>
    </row>
    <row r="250" spans="1:6" ht="25.5" x14ac:dyDescent="0.2">
      <c r="A250" s="52" t="s">
        <v>1506</v>
      </c>
      <c r="B250" s="136" t="s">
        <v>843</v>
      </c>
      <c r="C250" s="135" t="s">
        <v>1507</v>
      </c>
      <c r="D250" s="135" t="s">
        <v>1314</v>
      </c>
      <c r="E250" s="194">
        <v>683280</v>
      </c>
      <c r="F250" s="137">
        <v>683280</v>
      </c>
    </row>
    <row r="251" spans="1:6" ht="38.25" x14ac:dyDescent="0.2">
      <c r="A251" s="52" t="s">
        <v>1342</v>
      </c>
      <c r="B251" s="136" t="s">
        <v>843</v>
      </c>
      <c r="C251" s="135" t="s">
        <v>604</v>
      </c>
      <c r="D251" s="135" t="s">
        <v>1314</v>
      </c>
      <c r="E251" s="194">
        <v>683280</v>
      </c>
      <c r="F251" s="137">
        <v>683280</v>
      </c>
    </row>
    <row r="252" spans="1:6" x14ac:dyDescent="0.2">
      <c r="A252" s="52" t="s">
        <v>148</v>
      </c>
      <c r="B252" s="150" t="s">
        <v>843</v>
      </c>
      <c r="C252" s="135" t="s">
        <v>604</v>
      </c>
      <c r="D252" s="135" t="s">
        <v>1221</v>
      </c>
      <c r="E252" s="194">
        <v>683280</v>
      </c>
      <c r="F252" s="137">
        <v>683280</v>
      </c>
    </row>
    <row r="253" spans="1:6" x14ac:dyDescent="0.2">
      <c r="A253" s="52" t="s">
        <v>105</v>
      </c>
      <c r="B253" s="150" t="s">
        <v>843</v>
      </c>
      <c r="C253" s="135" t="s">
        <v>604</v>
      </c>
      <c r="D253" s="135" t="s">
        <v>418</v>
      </c>
      <c r="E253" s="194">
        <v>683280</v>
      </c>
      <c r="F253" s="137">
        <v>683280</v>
      </c>
    </row>
    <row r="254" spans="1:6" ht="344.25" x14ac:dyDescent="0.2">
      <c r="A254" s="52" t="s">
        <v>1547</v>
      </c>
      <c r="B254" s="150" t="s">
        <v>796</v>
      </c>
      <c r="C254" s="135" t="s">
        <v>1314</v>
      </c>
      <c r="D254" s="135" t="s">
        <v>1314</v>
      </c>
      <c r="E254" s="194">
        <v>146440300</v>
      </c>
      <c r="F254" s="137">
        <v>146440300</v>
      </c>
    </row>
    <row r="255" spans="1:6" ht="76.5" x14ac:dyDescent="0.2">
      <c r="A255" s="52" t="s">
        <v>1501</v>
      </c>
      <c r="B255" s="150" t="s">
        <v>796</v>
      </c>
      <c r="C255" s="135" t="s">
        <v>290</v>
      </c>
      <c r="D255" s="135" t="s">
        <v>1314</v>
      </c>
      <c r="E255" s="194">
        <v>122657620</v>
      </c>
      <c r="F255" s="137">
        <v>122657620</v>
      </c>
    </row>
    <row r="256" spans="1:6" ht="25.5" x14ac:dyDescent="0.2">
      <c r="A256" s="52" t="s">
        <v>1331</v>
      </c>
      <c r="B256" s="150" t="s">
        <v>796</v>
      </c>
      <c r="C256" s="135" t="s">
        <v>140</v>
      </c>
      <c r="D256" s="135" t="s">
        <v>1314</v>
      </c>
      <c r="E256" s="194">
        <v>122657620</v>
      </c>
      <c r="F256" s="137">
        <v>122657620</v>
      </c>
    </row>
    <row r="257" spans="1:6" x14ac:dyDescent="0.2">
      <c r="A257" s="52" t="s">
        <v>147</v>
      </c>
      <c r="B257" s="150" t="s">
        <v>796</v>
      </c>
      <c r="C257" s="135" t="s">
        <v>140</v>
      </c>
      <c r="D257" s="135" t="s">
        <v>1220</v>
      </c>
      <c r="E257" s="194">
        <v>122657620</v>
      </c>
      <c r="F257" s="137">
        <v>122657620</v>
      </c>
    </row>
    <row r="258" spans="1:6" x14ac:dyDescent="0.2">
      <c r="A258" s="52" t="s">
        <v>159</v>
      </c>
      <c r="B258" s="150" t="s">
        <v>796</v>
      </c>
      <c r="C258" s="135" t="s">
        <v>140</v>
      </c>
      <c r="D258" s="135" t="s">
        <v>448</v>
      </c>
      <c r="E258" s="194">
        <v>122657620</v>
      </c>
      <c r="F258" s="137">
        <v>122657620</v>
      </c>
    </row>
    <row r="259" spans="1:6" ht="38.25" x14ac:dyDescent="0.2">
      <c r="A259" s="52" t="s">
        <v>1502</v>
      </c>
      <c r="B259" s="150" t="s">
        <v>796</v>
      </c>
      <c r="C259" s="135" t="s">
        <v>1503</v>
      </c>
      <c r="D259" s="135" t="s">
        <v>1314</v>
      </c>
      <c r="E259" s="194">
        <v>23782680</v>
      </c>
      <c r="F259" s="137">
        <v>23782680</v>
      </c>
    </row>
    <row r="260" spans="1:6" ht="38.25" x14ac:dyDescent="0.2">
      <c r="A260" s="52" t="s">
        <v>1338</v>
      </c>
      <c r="B260" s="136" t="s">
        <v>796</v>
      </c>
      <c r="C260" s="135" t="s">
        <v>1339</v>
      </c>
      <c r="D260" s="135" t="s">
        <v>1314</v>
      </c>
      <c r="E260" s="194">
        <v>23782680</v>
      </c>
      <c r="F260" s="137">
        <v>23782680</v>
      </c>
    </row>
    <row r="261" spans="1:6" x14ac:dyDescent="0.2">
      <c r="A261" s="52" t="s">
        <v>147</v>
      </c>
      <c r="B261" s="150" t="s">
        <v>796</v>
      </c>
      <c r="C261" s="135" t="s">
        <v>1339</v>
      </c>
      <c r="D261" s="135" t="s">
        <v>1220</v>
      </c>
      <c r="E261" s="194">
        <v>23782680</v>
      </c>
      <c r="F261" s="137">
        <v>23782680</v>
      </c>
    </row>
    <row r="262" spans="1:6" x14ac:dyDescent="0.2">
      <c r="A262" s="52" t="s">
        <v>159</v>
      </c>
      <c r="B262" s="150" t="s">
        <v>796</v>
      </c>
      <c r="C262" s="135" t="s">
        <v>1339</v>
      </c>
      <c r="D262" s="135" t="s">
        <v>448</v>
      </c>
      <c r="E262" s="194">
        <v>23782680</v>
      </c>
      <c r="F262" s="137">
        <v>23782680</v>
      </c>
    </row>
    <row r="263" spans="1:6" ht="102" x14ac:dyDescent="0.2">
      <c r="A263" s="52" t="s">
        <v>1329</v>
      </c>
      <c r="B263" s="150" t="s">
        <v>1330</v>
      </c>
      <c r="C263" s="135" t="s">
        <v>1314</v>
      </c>
      <c r="D263" s="135" t="s">
        <v>1314</v>
      </c>
      <c r="E263" s="194">
        <v>11374500</v>
      </c>
      <c r="F263" s="137">
        <v>11374500</v>
      </c>
    </row>
    <row r="264" spans="1:6" ht="38.25" x14ac:dyDescent="0.2">
      <c r="A264" s="52" t="s">
        <v>1510</v>
      </c>
      <c r="B264" s="150" t="s">
        <v>1330</v>
      </c>
      <c r="C264" s="135" t="s">
        <v>1511</v>
      </c>
      <c r="D264" s="135" t="s">
        <v>1314</v>
      </c>
      <c r="E264" s="194">
        <v>11374500</v>
      </c>
      <c r="F264" s="137">
        <v>11374500</v>
      </c>
    </row>
    <row r="265" spans="1:6" x14ac:dyDescent="0.2">
      <c r="A265" s="52" t="s">
        <v>1340</v>
      </c>
      <c r="B265" s="150" t="s">
        <v>1330</v>
      </c>
      <c r="C265" s="135" t="s">
        <v>1341</v>
      </c>
      <c r="D265" s="135" t="s">
        <v>1314</v>
      </c>
      <c r="E265" s="194">
        <v>11374500</v>
      </c>
      <c r="F265" s="137">
        <v>11374500</v>
      </c>
    </row>
    <row r="266" spans="1:6" x14ac:dyDescent="0.2">
      <c r="A266" s="52" t="s">
        <v>147</v>
      </c>
      <c r="B266" s="150" t="s">
        <v>1330</v>
      </c>
      <c r="C266" s="135" t="s">
        <v>1341</v>
      </c>
      <c r="D266" s="135" t="s">
        <v>1220</v>
      </c>
      <c r="E266" s="194">
        <v>11374500</v>
      </c>
      <c r="F266" s="137">
        <v>11374500</v>
      </c>
    </row>
    <row r="267" spans="1:6" x14ac:dyDescent="0.2">
      <c r="A267" s="52" t="s">
        <v>1145</v>
      </c>
      <c r="B267" s="150" t="s">
        <v>1330</v>
      </c>
      <c r="C267" s="135" t="s">
        <v>1341</v>
      </c>
      <c r="D267" s="135" t="s">
        <v>405</v>
      </c>
      <c r="E267" s="194">
        <v>11374500</v>
      </c>
      <c r="F267" s="137">
        <v>11374500</v>
      </c>
    </row>
    <row r="268" spans="1:6" ht="89.25" x14ac:dyDescent="0.2">
      <c r="A268" s="52" t="s">
        <v>451</v>
      </c>
      <c r="B268" s="150" t="s">
        <v>818</v>
      </c>
      <c r="C268" s="135" t="s">
        <v>1314</v>
      </c>
      <c r="D268" s="135" t="s">
        <v>1314</v>
      </c>
      <c r="E268" s="194">
        <v>1425000</v>
      </c>
      <c r="F268" s="137">
        <v>1425000</v>
      </c>
    </row>
    <row r="269" spans="1:6" ht="38.25" x14ac:dyDescent="0.2">
      <c r="A269" s="52" t="s">
        <v>1502</v>
      </c>
      <c r="B269" s="150" t="s">
        <v>818</v>
      </c>
      <c r="C269" s="135" t="s">
        <v>1503</v>
      </c>
      <c r="D269" s="135" t="s">
        <v>1314</v>
      </c>
      <c r="E269" s="194">
        <v>1320000</v>
      </c>
      <c r="F269" s="137">
        <v>1320000</v>
      </c>
    </row>
    <row r="270" spans="1:6" ht="38.25" x14ac:dyDescent="0.2">
      <c r="A270" s="52" t="s">
        <v>1338</v>
      </c>
      <c r="B270" s="150" t="s">
        <v>818</v>
      </c>
      <c r="C270" s="135" t="s">
        <v>1339</v>
      </c>
      <c r="D270" s="135" t="s">
        <v>1314</v>
      </c>
      <c r="E270" s="194">
        <v>1320000</v>
      </c>
      <c r="F270" s="137">
        <v>1320000</v>
      </c>
    </row>
    <row r="271" spans="1:6" x14ac:dyDescent="0.2">
      <c r="A271" s="52" t="s">
        <v>147</v>
      </c>
      <c r="B271" s="150" t="s">
        <v>818</v>
      </c>
      <c r="C271" s="135" t="s">
        <v>1339</v>
      </c>
      <c r="D271" s="135" t="s">
        <v>1220</v>
      </c>
      <c r="E271" s="194">
        <v>1320000</v>
      </c>
      <c r="F271" s="137">
        <v>1320000</v>
      </c>
    </row>
    <row r="272" spans="1:6" x14ac:dyDescent="0.2">
      <c r="A272" s="52" t="s">
        <v>160</v>
      </c>
      <c r="B272" s="150" t="s">
        <v>818</v>
      </c>
      <c r="C272" s="135" t="s">
        <v>1339</v>
      </c>
      <c r="D272" s="135" t="s">
        <v>435</v>
      </c>
      <c r="E272" s="194">
        <v>800000</v>
      </c>
      <c r="F272" s="137">
        <v>800000</v>
      </c>
    </row>
    <row r="273" spans="1:6" x14ac:dyDescent="0.2">
      <c r="A273" s="52" t="s">
        <v>1147</v>
      </c>
      <c r="B273" s="150" t="s">
        <v>818</v>
      </c>
      <c r="C273" s="135" t="s">
        <v>1339</v>
      </c>
      <c r="D273" s="135" t="s">
        <v>1148</v>
      </c>
      <c r="E273" s="194">
        <v>300000</v>
      </c>
      <c r="F273" s="137">
        <v>300000</v>
      </c>
    </row>
    <row r="274" spans="1:6" x14ac:dyDescent="0.2">
      <c r="A274" s="52" t="s">
        <v>4</v>
      </c>
      <c r="B274" s="150" t="s">
        <v>818</v>
      </c>
      <c r="C274" s="135" t="s">
        <v>1339</v>
      </c>
      <c r="D274" s="135" t="s">
        <v>460</v>
      </c>
      <c r="E274" s="194">
        <v>220000</v>
      </c>
      <c r="F274" s="137">
        <v>220000</v>
      </c>
    </row>
    <row r="275" spans="1:6" ht="25.5" x14ac:dyDescent="0.2">
      <c r="A275" s="52" t="s">
        <v>1506</v>
      </c>
      <c r="B275" s="150" t="s">
        <v>818</v>
      </c>
      <c r="C275" s="135" t="s">
        <v>1507</v>
      </c>
      <c r="D275" s="135" t="s">
        <v>1314</v>
      </c>
      <c r="E275" s="194">
        <v>105000</v>
      </c>
      <c r="F275" s="137">
        <v>105000</v>
      </c>
    </row>
    <row r="276" spans="1:6" x14ac:dyDescent="0.2">
      <c r="A276" s="52" t="s">
        <v>573</v>
      </c>
      <c r="B276" s="150" t="s">
        <v>818</v>
      </c>
      <c r="C276" s="52" t="s">
        <v>574</v>
      </c>
      <c r="D276" s="52" t="s">
        <v>1314</v>
      </c>
      <c r="E276" s="194">
        <v>105000</v>
      </c>
      <c r="F276" s="137">
        <v>105000</v>
      </c>
    </row>
    <row r="277" spans="1:6" x14ac:dyDescent="0.2">
      <c r="A277" s="52" t="s">
        <v>147</v>
      </c>
      <c r="B277" s="150" t="s">
        <v>818</v>
      </c>
      <c r="C277" s="52" t="s">
        <v>574</v>
      </c>
      <c r="D277" s="52" t="s">
        <v>1220</v>
      </c>
      <c r="E277" s="194">
        <v>105000</v>
      </c>
      <c r="F277" s="137">
        <v>105000</v>
      </c>
    </row>
    <row r="278" spans="1:6" x14ac:dyDescent="0.2">
      <c r="A278" s="52" t="s">
        <v>160</v>
      </c>
      <c r="B278" s="150" t="s">
        <v>818</v>
      </c>
      <c r="C278" s="52" t="s">
        <v>574</v>
      </c>
      <c r="D278" s="52" t="s">
        <v>435</v>
      </c>
      <c r="E278" s="194">
        <v>105000</v>
      </c>
      <c r="F278" s="137">
        <v>105000</v>
      </c>
    </row>
    <row r="279" spans="1:6" ht="89.25" x14ac:dyDescent="0.2">
      <c r="A279" s="52" t="s">
        <v>433</v>
      </c>
      <c r="B279" s="150" t="s">
        <v>833</v>
      </c>
      <c r="C279" s="52" t="s">
        <v>1314</v>
      </c>
      <c r="D279" s="52" t="s">
        <v>1314</v>
      </c>
      <c r="E279" s="194">
        <v>4185690</v>
      </c>
      <c r="F279" s="137">
        <v>4185690</v>
      </c>
    </row>
    <row r="280" spans="1:6" ht="38.25" x14ac:dyDescent="0.2">
      <c r="A280" s="52" t="s">
        <v>1510</v>
      </c>
      <c r="B280" s="150" t="s">
        <v>833</v>
      </c>
      <c r="C280" s="52" t="s">
        <v>1511</v>
      </c>
      <c r="D280" s="52" t="s">
        <v>1314</v>
      </c>
      <c r="E280" s="194">
        <v>4185690</v>
      </c>
      <c r="F280" s="137">
        <v>4185690</v>
      </c>
    </row>
    <row r="281" spans="1:6" x14ac:dyDescent="0.2">
      <c r="A281" s="52" t="s">
        <v>1340</v>
      </c>
      <c r="B281" s="150" t="s">
        <v>833</v>
      </c>
      <c r="C281" s="52" t="s">
        <v>1341</v>
      </c>
      <c r="D281" s="52" t="s">
        <v>1314</v>
      </c>
      <c r="E281" s="194">
        <v>4185690</v>
      </c>
      <c r="F281" s="137">
        <v>4185690</v>
      </c>
    </row>
    <row r="282" spans="1:6" x14ac:dyDescent="0.2">
      <c r="A282" s="52" t="s">
        <v>147</v>
      </c>
      <c r="B282" s="150" t="s">
        <v>833</v>
      </c>
      <c r="C282" s="52" t="s">
        <v>1341</v>
      </c>
      <c r="D282" s="52" t="s">
        <v>1220</v>
      </c>
      <c r="E282" s="194">
        <v>4185690</v>
      </c>
      <c r="F282" s="137">
        <v>4185690</v>
      </c>
    </row>
    <row r="283" spans="1:6" x14ac:dyDescent="0.2">
      <c r="A283" s="52" t="s">
        <v>1145</v>
      </c>
      <c r="B283" s="150" t="s">
        <v>833</v>
      </c>
      <c r="C283" s="52" t="s">
        <v>1341</v>
      </c>
      <c r="D283" s="52" t="s">
        <v>405</v>
      </c>
      <c r="E283" s="194">
        <v>4185690</v>
      </c>
      <c r="F283" s="137">
        <v>4185690</v>
      </c>
    </row>
    <row r="284" spans="1:6" ht="89.25" x14ac:dyDescent="0.2">
      <c r="A284" s="52" t="s">
        <v>575</v>
      </c>
      <c r="B284" s="150" t="s">
        <v>821</v>
      </c>
      <c r="C284" s="52" t="s">
        <v>1314</v>
      </c>
      <c r="D284" s="52" t="s">
        <v>1314</v>
      </c>
      <c r="E284" s="194">
        <v>187200</v>
      </c>
      <c r="F284" s="137">
        <v>187200</v>
      </c>
    </row>
    <row r="285" spans="1:6" ht="25.5" x14ac:dyDescent="0.2">
      <c r="A285" s="52" t="s">
        <v>1506</v>
      </c>
      <c r="B285" s="150" t="s">
        <v>821</v>
      </c>
      <c r="C285" s="52" t="s">
        <v>1507</v>
      </c>
      <c r="D285" s="52" t="s">
        <v>1314</v>
      </c>
      <c r="E285" s="194">
        <v>187200</v>
      </c>
      <c r="F285" s="137">
        <v>187200</v>
      </c>
    </row>
    <row r="286" spans="1:6" x14ac:dyDescent="0.2">
      <c r="A286" s="52" t="s">
        <v>573</v>
      </c>
      <c r="B286" s="150" t="s">
        <v>821</v>
      </c>
      <c r="C286" s="52" t="s">
        <v>574</v>
      </c>
      <c r="D286" s="52" t="s">
        <v>1314</v>
      </c>
      <c r="E286" s="194">
        <v>187200</v>
      </c>
      <c r="F286" s="137">
        <v>187200</v>
      </c>
    </row>
    <row r="287" spans="1:6" x14ac:dyDescent="0.2">
      <c r="A287" s="151" t="s">
        <v>147</v>
      </c>
      <c r="B287" s="136" t="s">
        <v>821</v>
      </c>
      <c r="C287" s="173" t="s">
        <v>574</v>
      </c>
      <c r="D287" s="173" t="s">
        <v>1220</v>
      </c>
      <c r="E287" s="194">
        <v>187200</v>
      </c>
      <c r="F287" s="137">
        <v>187200</v>
      </c>
    </row>
    <row r="288" spans="1:6" x14ac:dyDescent="0.2">
      <c r="A288" s="52" t="s">
        <v>160</v>
      </c>
      <c r="B288" s="136" t="s">
        <v>821</v>
      </c>
      <c r="C288" s="173" t="s">
        <v>574</v>
      </c>
      <c r="D288" s="173" t="s">
        <v>435</v>
      </c>
      <c r="E288" s="194">
        <v>187200</v>
      </c>
      <c r="F288" s="137">
        <v>187200</v>
      </c>
    </row>
    <row r="289" spans="1:6" ht="76.5" x14ac:dyDescent="0.2">
      <c r="A289" s="52" t="s">
        <v>631</v>
      </c>
      <c r="B289" s="136" t="s">
        <v>820</v>
      </c>
      <c r="C289" s="173" t="s">
        <v>1314</v>
      </c>
      <c r="D289" s="173" t="s">
        <v>1314</v>
      </c>
      <c r="E289" s="194">
        <v>40000</v>
      </c>
      <c r="F289" s="137">
        <v>40000</v>
      </c>
    </row>
    <row r="290" spans="1:6" ht="38.25" x14ac:dyDescent="0.2">
      <c r="A290" s="52" t="s">
        <v>1502</v>
      </c>
      <c r="B290" s="136" t="s">
        <v>820</v>
      </c>
      <c r="C290" s="173" t="s">
        <v>1503</v>
      </c>
      <c r="D290" s="173" t="s">
        <v>1314</v>
      </c>
      <c r="E290" s="194">
        <v>40000</v>
      </c>
      <c r="F290" s="137">
        <v>40000</v>
      </c>
    </row>
    <row r="291" spans="1:6" ht="38.25" x14ac:dyDescent="0.2">
      <c r="A291" s="52" t="s">
        <v>1338</v>
      </c>
      <c r="B291" s="136" t="s">
        <v>820</v>
      </c>
      <c r="C291" s="173" t="s">
        <v>1339</v>
      </c>
      <c r="D291" s="173" t="s">
        <v>1314</v>
      </c>
      <c r="E291" s="194">
        <v>40000</v>
      </c>
      <c r="F291" s="137">
        <v>40000</v>
      </c>
    </row>
    <row r="292" spans="1:6" x14ac:dyDescent="0.2">
      <c r="A292" s="190" t="s">
        <v>147</v>
      </c>
      <c r="B292" s="136" t="s">
        <v>820</v>
      </c>
      <c r="C292" s="173" t="s">
        <v>1339</v>
      </c>
      <c r="D292" s="173" t="s">
        <v>1220</v>
      </c>
      <c r="E292" s="194">
        <v>40000</v>
      </c>
      <c r="F292" s="137">
        <v>40000</v>
      </c>
    </row>
    <row r="293" spans="1:6" x14ac:dyDescent="0.2">
      <c r="A293" s="52" t="s">
        <v>160</v>
      </c>
      <c r="B293" s="150" t="s">
        <v>820</v>
      </c>
      <c r="C293" s="52" t="s">
        <v>1339</v>
      </c>
      <c r="D293" s="52" t="s">
        <v>435</v>
      </c>
      <c r="E293" s="194">
        <v>40000</v>
      </c>
      <c r="F293" s="137">
        <v>40000</v>
      </c>
    </row>
    <row r="294" spans="1:6" ht="204" x14ac:dyDescent="0.2">
      <c r="A294" s="52" t="s">
        <v>1969</v>
      </c>
      <c r="B294" s="150" t="s">
        <v>1970</v>
      </c>
      <c r="C294" s="52" t="s">
        <v>1314</v>
      </c>
      <c r="D294" s="52" t="s">
        <v>1314</v>
      </c>
      <c r="E294" s="194">
        <v>36043300</v>
      </c>
      <c r="F294" s="137">
        <v>11382000</v>
      </c>
    </row>
    <row r="295" spans="1:6" ht="38.25" x14ac:dyDescent="0.2">
      <c r="A295" s="52" t="s">
        <v>1502</v>
      </c>
      <c r="B295" s="150" t="s">
        <v>1970</v>
      </c>
      <c r="C295" s="52" t="s">
        <v>1503</v>
      </c>
      <c r="D295" s="52" t="s">
        <v>1314</v>
      </c>
      <c r="E295" s="194">
        <v>36043300</v>
      </c>
      <c r="F295" s="137">
        <v>11382000</v>
      </c>
    </row>
    <row r="296" spans="1:6" ht="38.25" x14ac:dyDescent="0.2">
      <c r="A296" s="52" t="s">
        <v>1338</v>
      </c>
      <c r="B296" s="150" t="s">
        <v>1970</v>
      </c>
      <c r="C296" s="52" t="s">
        <v>1339</v>
      </c>
      <c r="D296" s="52" t="s">
        <v>1314</v>
      </c>
      <c r="E296" s="194">
        <v>36043300</v>
      </c>
      <c r="F296" s="137">
        <v>11382000</v>
      </c>
    </row>
    <row r="297" spans="1:6" x14ac:dyDescent="0.2">
      <c r="A297" s="52" t="s">
        <v>148</v>
      </c>
      <c r="B297" s="150" t="s">
        <v>1970</v>
      </c>
      <c r="C297" s="52" t="s">
        <v>1339</v>
      </c>
      <c r="D297" s="52" t="s">
        <v>1221</v>
      </c>
      <c r="E297" s="194">
        <v>36043300</v>
      </c>
      <c r="F297" s="137">
        <v>11382000</v>
      </c>
    </row>
    <row r="298" spans="1:6" x14ac:dyDescent="0.2">
      <c r="A298" s="190" t="s">
        <v>105</v>
      </c>
      <c r="B298" s="150" t="s">
        <v>1970</v>
      </c>
      <c r="C298" s="52" t="s">
        <v>1339</v>
      </c>
      <c r="D298" s="52" t="s">
        <v>418</v>
      </c>
      <c r="E298" s="194">
        <v>36043300</v>
      </c>
      <c r="F298" s="137">
        <v>11382000</v>
      </c>
    </row>
    <row r="299" spans="1:6" ht="229.5" x14ac:dyDescent="0.2">
      <c r="A299" s="52" t="s">
        <v>1693</v>
      </c>
      <c r="B299" s="150" t="s">
        <v>831</v>
      </c>
      <c r="C299" s="52" t="s">
        <v>1314</v>
      </c>
      <c r="D299" s="52" t="s">
        <v>1314</v>
      </c>
      <c r="E299" s="194">
        <v>348248</v>
      </c>
      <c r="F299" s="137">
        <v>348248</v>
      </c>
    </row>
    <row r="300" spans="1:6" ht="38.25" x14ac:dyDescent="0.2">
      <c r="A300" s="52" t="s">
        <v>1510</v>
      </c>
      <c r="B300" s="150" t="s">
        <v>831</v>
      </c>
      <c r="C300" s="52" t="s">
        <v>1511</v>
      </c>
      <c r="D300" s="52" t="s">
        <v>1314</v>
      </c>
      <c r="E300" s="194">
        <v>348248</v>
      </c>
      <c r="F300" s="137">
        <v>348248</v>
      </c>
    </row>
    <row r="301" spans="1:6" x14ac:dyDescent="0.2">
      <c r="A301" s="52" t="s">
        <v>1340</v>
      </c>
      <c r="B301" s="150" t="s">
        <v>831</v>
      </c>
      <c r="C301" s="52" t="s">
        <v>1341</v>
      </c>
      <c r="D301" s="52" t="s">
        <v>1314</v>
      </c>
      <c r="E301" s="194">
        <v>348248</v>
      </c>
      <c r="F301" s="137">
        <v>348248</v>
      </c>
    </row>
    <row r="302" spans="1:6" x14ac:dyDescent="0.2">
      <c r="A302" s="52" t="s">
        <v>147</v>
      </c>
      <c r="B302" s="150" t="s">
        <v>831</v>
      </c>
      <c r="C302" s="52" t="s">
        <v>1341</v>
      </c>
      <c r="D302" s="52" t="s">
        <v>1220</v>
      </c>
      <c r="E302" s="194">
        <v>348248</v>
      </c>
      <c r="F302" s="137">
        <v>348248</v>
      </c>
    </row>
    <row r="303" spans="1:6" x14ac:dyDescent="0.2">
      <c r="A303" s="52" t="s">
        <v>1145</v>
      </c>
      <c r="B303" s="150" t="s">
        <v>831</v>
      </c>
      <c r="C303" s="52" t="s">
        <v>1341</v>
      </c>
      <c r="D303" s="52" t="s">
        <v>405</v>
      </c>
      <c r="E303" s="194">
        <v>348248</v>
      </c>
      <c r="F303" s="137">
        <v>348248</v>
      </c>
    </row>
    <row r="304" spans="1:6" ht="114.75" x14ac:dyDescent="0.2">
      <c r="A304" s="190" t="s">
        <v>1685</v>
      </c>
      <c r="B304" s="150" t="s">
        <v>1550</v>
      </c>
      <c r="C304" s="52" t="s">
        <v>1314</v>
      </c>
      <c r="D304" s="52" t="s">
        <v>1314</v>
      </c>
      <c r="E304" s="194">
        <v>8492000</v>
      </c>
      <c r="F304" s="137">
        <v>8492000</v>
      </c>
    </row>
    <row r="305" spans="1:6" ht="38.25" x14ac:dyDescent="0.2">
      <c r="A305" s="52" t="s">
        <v>1502</v>
      </c>
      <c r="B305" s="150" t="s">
        <v>1550</v>
      </c>
      <c r="C305" s="52" t="s">
        <v>1503</v>
      </c>
      <c r="D305" s="52" t="s">
        <v>1314</v>
      </c>
      <c r="E305" s="194">
        <v>8492000</v>
      </c>
      <c r="F305" s="137">
        <v>8492000</v>
      </c>
    </row>
    <row r="306" spans="1:6" ht="38.25" x14ac:dyDescent="0.2">
      <c r="A306" s="52" t="s">
        <v>1338</v>
      </c>
      <c r="B306" s="150" t="s">
        <v>1550</v>
      </c>
      <c r="C306" s="52" t="s">
        <v>1339</v>
      </c>
      <c r="D306" s="52" t="s">
        <v>1314</v>
      </c>
      <c r="E306" s="194">
        <v>8492000</v>
      </c>
      <c r="F306" s="137">
        <v>8492000</v>
      </c>
    </row>
    <row r="307" spans="1:6" x14ac:dyDescent="0.2">
      <c r="A307" s="52" t="s">
        <v>147</v>
      </c>
      <c r="B307" s="150" t="s">
        <v>1550</v>
      </c>
      <c r="C307" s="52" t="s">
        <v>1339</v>
      </c>
      <c r="D307" s="52" t="s">
        <v>1220</v>
      </c>
      <c r="E307" s="194">
        <v>8492000</v>
      </c>
      <c r="F307" s="137">
        <v>8492000</v>
      </c>
    </row>
    <row r="308" spans="1:6" x14ac:dyDescent="0.2">
      <c r="A308" s="52" t="s">
        <v>160</v>
      </c>
      <c r="B308" s="150" t="s">
        <v>1550</v>
      </c>
      <c r="C308" s="52" t="s">
        <v>1339</v>
      </c>
      <c r="D308" s="52" t="s">
        <v>435</v>
      </c>
      <c r="E308" s="194">
        <v>8492000</v>
      </c>
      <c r="F308" s="137">
        <v>8492000</v>
      </c>
    </row>
    <row r="309" spans="1:6" ht="153" x14ac:dyDescent="0.2">
      <c r="A309" s="52" t="s">
        <v>1687</v>
      </c>
      <c r="B309" s="150" t="s">
        <v>1926</v>
      </c>
      <c r="C309" s="52" t="s">
        <v>1314</v>
      </c>
      <c r="D309" s="52" t="s">
        <v>1314</v>
      </c>
      <c r="E309" s="194">
        <v>7711400</v>
      </c>
      <c r="F309" s="137">
        <v>458800</v>
      </c>
    </row>
    <row r="310" spans="1:6" ht="38.25" x14ac:dyDescent="0.2">
      <c r="A310" s="52" t="s">
        <v>1502</v>
      </c>
      <c r="B310" s="150" t="s">
        <v>1926</v>
      </c>
      <c r="C310" s="52" t="s">
        <v>1503</v>
      </c>
      <c r="D310" s="52" t="s">
        <v>1314</v>
      </c>
      <c r="E310" s="194">
        <v>7711400</v>
      </c>
      <c r="F310" s="137">
        <v>458800</v>
      </c>
    </row>
    <row r="311" spans="1:6" ht="38.25" x14ac:dyDescent="0.2">
      <c r="A311" s="52" t="s">
        <v>1338</v>
      </c>
      <c r="B311" s="150" t="s">
        <v>1926</v>
      </c>
      <c r="C311" s="52" t="s">
        <v>1339</v>
      </c>
      <c r="D311" s="52" t="s">
        <v>1314</v>
      </c>
      <c r="E311" s="194">
        <v>7711400</v>
      </c>
      <c r="F311" s="137">
        <v>458800</v>
      </c>
    </row>
    <row r="312" spans="1:6" x14ac:dyDescent="0.2">
      <c r="A312" s="52" t="s">
        <v>147</v>
      </c>
      <c r="B312" s="150" t="s">
        <v>1926</v>
      </c>
      <c r="C312" s="52" t="s">
        <v>1339</v>
      </c>
      <c r="D312" s="52" t="s">
        <v>1220</v>
      </c>
      <c r="E312" s="194">
        <v>7711400</v>
      </c>
      <c r="F312" s="137">
        <v>458800</v>
      </c>
    </row>
    <row r="313" spans="1:6" x14ac:dyDescent="0.2">
      <c r="A313" s="52" t="s">
        <v>160</v>
      </c>
      <c r="B313" s="150" t="s">
        <v>1926</v>
      </c>
      <c r="C313" s="52" t="s">
        <v>1339</v>
      </c>
      <c r="D313" s="52" t="s">
        <v>435</v>
      </c>
      <c r="E313" s="194">
        <v>7711400</v>
      </c>
      <c r="F313" s="137">
        <v>458800</v>
      </c>
    </row>
    <row r="314" spans="1:6" ht="114.75" x14ac:dyDescent="0.2">
      <c r="A314" s="52" t="s">
        <v>1740</v>
      </c>
      <c r="B314" s="150" t="s">
        <v>1741</v>
      </c>
      <c r="C314" s="52" t="s">
        <v>1314</v>
      </c>
      <c r="D314" s="52" t="s">
        <v>1314</v>
      </c>
      <c r="E314" s="194">
        <v>2873500</v>
      </c>
      <c r="F314" s="137">
        <v>171000</v>
      </c>
    </row>
    <row r="315" spans="1:6" ht="38.25" x14ac:dyDescent="0.2">
      <c r="A315" s="52" t="s">
        <v>1502</v>
      </c>
      <c r="B315" s="150" t="s">
        <v>1741</v>
      </c>
      <c r="C315" s="52" t="s">
        <v>1503</v>
      </c>
      <c r="D315" s="52" t="s">
        <v>1314</v>
      </c>
      <c r="E315" s="194">
        <v>2873500</v>
      </c>
      <c r="F315" s="137">
        <v>171000</v>
      </c>
    </row>
    <row r="316" spans="1:6" ht="38.25" x14ac:dyDescent="0.2">
      <c r="A316" s="190" t="s">
        <v>1338</v>
      </c>
      <c r="B316" s="150" t="s">
        <v>1741</v>
      </c>
      <c r="C316" s="52" t="s">
        <v>1339</v>
      </c>
      <c r="D316" s="52" t="s">
        <v>1314</v>
      </c>
      <c r="E316" s="194">
        <v>2873500</v>
      </c>
      <c r="F316" s="137">
        <v>171000</v>
      </c>
    </row>
    <row r="317" spans="1:6" x14ac:dyDescent="0.2">
      <c r="A317" s="52" t="s">
        <v>147</v>
      </c>
      <c r="B317" s="150" t="s">
        <v>1741</v>
      </c>
      <c r="C317" s="52" t="s">
        <v>1339</v>
      </c>
      <c r="D317" s="52" t="s">
        <v>1220</v>
      </c>
      <c r="E317" s="194">
        <v>2873500</v>
      </c>
      <c r="F317" s="137">
        <v>171000</v>
      </c>
    </row>
    <row r="318" spans="1:6" x14ac:dyDescent="0.2">
      <c r="A318" s="52" t="s">
        <v>160</v>
      </c>
      <c r="B318" s="150" t="s">
        <v>1741</v>
      </c>
      <c r="C318" s="52" t="s">
        <v>1339</v>
      </c>
      <c r="D318" s="52" t="s">
        <v>435</v>
      </c>
      <c r="E318" s="194">
        <v>2873500</v>
      </c>
      <c r="F318" s="137">
        <v>171000</v>
      </c>
    </row>
    <row r="319" spans="1:6" ht="51" x14ac:dyDescent="0.2">
      <c r="A319" s="190" t="s">
        <v>486</v>
      </c>
      <c r="B319" s="150" t="s">
        <v>1211</v>
      </c>
      <c r="C319" s="52" t="s">
        <v>1314</v>
      </c>
      <c r="D319" s="52" t="s">
        <v>1314</v>
      </c>
      <c r="E319" s="194">
        <v>7700400</v>
      </c>
      <c r="F319" s="137">
        <v>10038600</v>
      </c>
    </row>
    <row r="320" spans="1:6" ht="140.25" x14ac:dyDescent="0.2">
      <c r="A320" s="52" t="s">
        <v>461</v>
      </c>
      <c r="B320" s="150" t="s">
        <v>1203</v>
      </c>
      <c r="C320" s="52" t="s">
        <v>1314</v>
      </c>
      <c r="D320" s="52" t="s">
        <v>1314</v>
      </c>
      <c r="E320" s="194">
        <v>6045800</v>
      </c>
      <c r="F320" s="137">
        <v>6045800</v>
      </c>
    </row>
    <row r="321" spans="1:6" ht="76.5" x14ac:dyDescent="0.2">
      <c r="A321" s="52" t="s">
        <v>1501</v>
      </c>
      <c r="B321" s="150" t="s">
        <v>1203</v>
      </c>
      <c r="C321" s="52" t="s">
        <v>290</v>
      </c>
      <c r="D321" s="52" t="s">
        <v>1314</v>
      </c>
      <c r="E321" s="194">
        <v>4994006</v>
      </c>
      <c r="F321" s="137">
        <v>4994006</v>
      </c>
    </row>
    <row r="322" spans="1:6" ht="38.25" x14ac:dyDescent="0.2">
      <c r="A322" s="52" t="s">
        <v>1345</v>
      </c>
      <c r="B322" s="136" t="s">
        <v>1203</v>
      </c>
      <c r="C322" s="52" t="s">
        <v>30</v>
      </c>
      <c r="D322" s="52" t="s">
        <v>1314</v>
      </c>
      <c r="E322" s="194">
        <v>4994006</v>
      </c>
      <c r="F322" s="137">
        <v>4994006</v>
      </c>
    </row>
    <row r="323" spans="1:6" x14ac:dyDescent="0.2">
      <c r="A323" s="52" t="s">
        <v>147</v>
      </c>
      <c r="B323" s="150" t="s">
        <v>1203</v>
      </c>
      <c r="C323" s="52" t="s">
        <v>30</v>
      </c>
      <c r="D323" s="52" t="s">
        <v>1220</v>
      </c>
      <c r="E323" s="194">
        <v>4994006</v>
      </c>
      <c r="F323" s="137">
        <v>4994006</v>
      </c>
    </row>
    <row r="324" spans="1:6" x14ac:dyDescent="0.2">
      <c r="A324" s="52" t="s">
        <v>4</v>
      </c>
      <c r="B324" s="150" t="s">
        <v>1203</v>
      </c>
      <c r="C324" s="52" t="s">
        <v>30</v>
      </c>
      <c r="D324" s="52" t="s">
        <v>460</v>
      </c>
      <c r="E324" s="194">
        <v>4994006</v>
      </c>
      <c r="F324" s="137">
        <v>4994006</v>
      </c>
    </row>
    <row r="325" spans="1:6" ht="38.25" x14ac:dyDescent="0.2">
      <c r="A325" s="52" t="s">
        <v>1502</v>
      </c>
      <c r="B325" s="150" t="s">
        <v>1203</v>
      </c>
      <c r="C325" s="52" t="s">
        <v>1503</v>
      </c>
      <c r="D325" s="52" t="s">
        <v>1314</v>
      </c>
      <c r="E325" s="194">
        <v>1051794</v>
      </c>
      <c r="F325" s="137">
        <v>1051794</v>
      </c>
    </row>
    <row r="326" spans="1:6" ht="38.25" x14ac:dyDescent="0.2">
      <c r="A326" s="52" t="s">
        <v>1338</v>
      </c>
      <c r="B326" s="150" t="s">
        <v>1203</v>
      </c>
      <c r="C326" s="52" t="s">
        <v>1339</v>
      </c>
      <c r="D326" s="52" t="s">
        <v>1314</v>
      </c>
      <c r="E326" s="194">
        <v>1051794</v>
      </c>
      <c r="F326" s="137">
        <v>1051794</v>
      </c>
    </row>
    <row r="327" spans="1:6" x14ac:dyDescent="0.2">
      <c r="A327" s="52" t="s">
        <v>147</v>
      </c>
      <c r="B327" s="150" t="s">
        <v>1203</v>
      </c>
      <c r="C327" s="52" t="s">
        <v>1339</v>
      </c>
      <c r="D327" s="52" t="s">
        <v>1220</v>
      </c>
      <c r="E327" s="194">
        <v>1051794</v>
      </c>
      <c r="F327" s="137">
        <v>1051794</v>
      </c>
    </row>
    <row r="328" spans="1:6" x14ac:dyDescent="0.2">
      <c r="A328" s="52" t="s">
        <v>4</v>
      </c>
      <c r="B328" s="150" t="s">
        <v>1203</v>
      </c>
      <c r="C328" s="52" t="s">
        <v>1339</v>
      </c>
      <c r="D328" s="52" t="s">
        <v>460</v>
      </c>
      <c r="E328" s="194">
        <v>1051794</v>
      </c>
      <c r="F328" s="137">
        <v>1051794</v>
      </c>
    </row>
    <row r="329" spans="1:6" ht="165.75" x14ac:dyDescent="0.2">
      <c r="A329" s="190" t="s">
        <v>1544</v>
      </c>
      <c r="B329" s="150" t="s">
        <v>1545</v>
      </c>
      <c r="C329" s="52" t="s">
        <v>1314</v>
      </c>
      <c r="D329" s="52" t="s">
        <v>1314</v>
      </c>
      <c r="E329" s="194">
        <v>1654600</v>
      </c>
      <c r="F329" s="137">
        <v>3992800</v>
      </c>
    </row>
    <row r="330" spans="1:6" ht="38.25" x14ac:dyDescent="0.2">
      <c r="A330" s="52" t="s">
        <v>1508</v>
      </c>
      <c r="B330" s="150" t="s">
        <v>1545</v>
      </c>
      <c r="C330" s="52" t="s">
        <v>1509</v>
      </c>
      <c r="D330" s="52" t="s">
        <v>1314</v>
      </c>
      <c r="E330" s="194">
        <v>1654600</v>
      </c>
      <c r="F330" s="137">
        <v>3992800</v>
      </c>
    </row>
    <row r="331" spans="1:6" x14ac:dyDescent="0.2">
      <c r="A331" s="52" t="s">
        <v>1349</v>
      </c>
      <c r="B331" s="150" t="s">
        <v>1545</v>
      </c>
      <c r="C331" s="52" t="s">
        <v>79</v>
      </c>
      <c r="D331" s="52" t="s">
        <v>1314</v>
      </c>
      <c r="E331" s="194">
        <v>1654600</v>
      </c>
      <c r="F331" s="137">
        <v>3992800</v>
      </c>
    </row>
    <row r="332" spans="1:6" x14ac:dyDescent="0.2">
      <c r="A332" s="190" t="s">
        <v>148</v>
      </c>
      <c r="B332" s="150" t="s">
        <v>1545</v>
      </c>
      <c r="C332" s="52" t="s">
        <v>79</v>
      </c>
      <c r="D332" s="52" t="s">
        <v>1221</v>
      </c>
      <c r="E332" s="194">
        <v>1654600</v>
      </c>
      <c r="F332" s="137">
        <v>3992800</v>
      </c>
    </row>
    <row r="333" spans="1:6" x14ac:dyDescent="0.2">
      <c r="A333" s="52" t="s">
        <v>19</v>
      </c>
      <c r="B333" s="150" t="s">
        <v>1545</v>
      </c>
      <c r="C333" s="52" t="s">
        <v>79</v>
      </c>
      <c r="D333" s="52" t="s">
        <v>463</v>
      </c>
      <c r="E333" s="194">
        <v>1654600</v>
      </c>
      <c r="F333" s="137">
        <v>3992800</v>
      </c>
    </row>
    <row r="334" spans="1:6" ht="38.25" x14ac:dyDescent="0.2">
      <c r="A334" s="52" t="s">
        <v>663</v>
      </c>
      <c r="B334" s="150" t="s">
        <v>1033</v>
      </c>
      <c r="C334" s="52" t="s">
        <v>1314</v>
      </c>
      <c r="D334" s="52" t="s">
        <v>1314</v>
      </c>
      <c r="E334" s="194">
        <v>77218004</v>
      </c>
      <c r="F334" s="137">
        <v>77218004</v>
      </c>
    </row>
    <row r="335" spans="1:6" ht="102" x14ac:dyDescent="0.2">
      <c r="A335" s="52" t="s">
        <v>657</v>
      </c>
      <c r="B335" s="150" t="s">
        <v>1204</v>
      </c>
      <c r="C335" s="52" t="s">
        <v>1314</v>
      </c>
      <c r="D335" s="52" t="s">
        <v>1314</v>
      </c>
      <c r="E335" s="194">
        <v>50432000</v>
      </c>
      <c r="F335" s="137">
        <v>50432000</v>
      </c>
    </row>
    <row r="336" spans="1:6" ht="76.5" x14ac:dyDescent="0.2">
      <c r="A336" s="52" t="s">
        <v>1501</v>
      </c>
      <c r="B336" s="150" t="s">
        <v>1204</v>
      </c>
      <c r="C336" s="52" t="s">
        <v>290</v>
      </c>
      <c r="D336" s="52" t="s">
        <v>1314</v>
      </c>
      <c r="E336" s="194">
        <v>47012000</v>
      </c>
      <c r="F336" s="137">
        <v>47012000</v>
      </c>
    </row>
    <row r="337" spans="1:6" ht="25.5" x14ac:dyDescent="0.2">
      <c r="A337" s="52" t="s">
        <v>1331</v>
      </c>
      <c r="B337" s="150" t="s">
        <v>1204</v>
      </c>
      <c r="C337" s="52" t="s">
        <v>140</v>
      </c>
      <c r="D337" s="52" t="s">
        <v>1314</v>
      </c>
      <c r="E337" s="194">
        <v>47012000</v>
      </c>
      <c r="F337" s="137">
        <v>47012000</v>
      </c>
    </row>
    <row r="338" spans="1:6" x14ac:dyDescent="0.2">
      <c r="A338" s="52" t="s">
        <v>147</v>
      </c>
      <c r="B338" s="150" t="s">
        <v>1204</v>
      </c>
      <c r="C338" s="52" t="s">
        <v>140</v>
      </c>
      <c r="D338" s="52" t="s">
        <v>1220</v>
      </c>
      <c r="E338" s="194">
        <v>47012000</v>
      </c>
      <c r="F338" s="137">
        <v>47012000</v>
      </c>
    </row>
    <row r="339" spans="1:6" x14ac:dyDescent="0.2">
      <c r="A339" s="52" t="s">
        <v>4</v>
      </c>
      <c r="B339" s="150" t="s">
        <v>1204</v>
      </c>
      <c r="C339" s="52" t="s">
        <v>140</v>
      </c>
      <c r="D339" s="52" t="s">
        <v>460</v>
      </c>
      <c r="E339" s="194">
        <v>47012000</v>
      </c>
      <c r="F339" s="137">
        <v>47012000</v>
      </c>
    </row>
    <row r="340" spans="1:6" ht="38.25" x14ac:dyDescent="0.2">
      <c r="A340" s="52" t="s">
        <v>1502</v>
      </c>
      <c r="B340" s="150" t="s">
        <v>1204</v>
      </c>
      <c r="C340" s="52" t="s">
        <v>1503</v>
      </c>
      <c r="D340" s="52" t="s">
        <v>1314</v>
      </c>
      <c r="E340" s="194">
        <v>3420000</v>
      </c>
      <c r="F340" s="137">
        <v>3420000</v>
      </c>
    </row>
    <row r="341" spans="1:6" ht="38.25" x14ac:dyDescent="0.2">
      <c r="A341" s="52" t="s">
        <v>1338</v>
      </c>
      <c r="B341" s="150" t="s">
        <v>1204</v>
      </c>
      <c r="C341" s="52" t="s">
        <v>1339</v>
      </c>
      <c r="D341" s="52" t="s">
        <v>1314</v>
      </c>
      <c r="E341" s="194">
        <v>3420000</v>
      </c>
      <c r="F341" s="137">
        <v>3420000</v>
      </c>
    </row>
    <row r="342" spans="1:6" x14ac:dyDescent="0.2">
      <c r="A342" s="52" t="s">
        <v>147</v>
      </c>
      <c r="B342" s="150" t="s">
        <v>1204</v>
      </c>
      <c r="C342" s="52" t="s">
        <v>1339</v>
      </c>
      <c r="D342" s="52" t="s">
        <v>1220</v>
      </c>
      <c r="E342" s="194">
        <v>3420000</v>
      </c>
      <c r="F342" s="137">
        <v>3420000</v>
      </c>
    </row>
    <row r="343" spans="1:6" x14ac:dyDescent="0.2">
      <c r="A343" s="52" t="s">
        <v>4</v>
      </c>
      <c r="B343" s="150" t="s">
        <v>1204</v>
      </c>
      <c r="C343" s="52" t="s">
        <v>1339</v>
      </c>
      <c r="D343" s="52" t="s">
        <v>460</v>
      </c>
      <c r="E343" s="194">
        <v>3420000</v>
      </c>
      <c r="F343" s="137">
        <v>3420000</v>
      </c>
    </row>
    <row r="344" spans="1:6" ht="114.75" x14ac:dyDescent="0.2">
      <c r="A344" s="52" t="s">
        <v>658</v>
      </c>
      <c r="B344" s="150" t="s">
        <v>1210</v>
      </c>
      <c r="C344" s="52" t="s">
        <v>1314</v>
      </c>
      <c r="D344" s="52" t="s">
        <v>1314</v>
      </c>
      <c r="E344" s="194">
        <v>1148364</v>
      </c>
      <c r="F344" s="137">
        <v>1148364</v>
      </c>
    </row>
    <row r="345" spans="1:6" ht="76.5" x14ac:dyDescent="0.2">
      <c r="A345" s="52" t="s">
        <v>1501</v>
      </c>
      <c r="B345" s="150" t="s">
        <v>1210</v>
      </c>
      <c r="C345" s="52" t="s">
        <v>290</v>
      </c>
      <c r="D345" s="52" t="s">
        <v>1314</v>
      </c>
      <c r="E345" s="194">
        <v>1148364</v>
      </c>
      <c r="F345" s="137">
        <v>1148364</v>
      </c>
    </row>
    <row r="346" spans="1:6" ht="25.5" x14ac:dyDescent="0.2">
      <c r="A346" s="52" t="s">
        <v>1331</v>
      </c>
      <c r="B346" s="150" t="s">
        <v>1210</v>
      </c>
      <c r="C346" s="52" t="s">
        <v>140</v>
      </c>
      <c r="D346" s="52" t="s">
        <v>1314</v>
      </c>
      <c r="E346" s="194">
        <v>1148364</v>
      </c>
      <c r="F346" s="137">
        <v>1148364</v>
      </c>
    </row>
    <row r="347" spans="1:6" x14ac:dyDescent="0.2">
      <c r="A347" s="190" t="s">
        <v>147</v>
      </c>
      <c r="B347" s="150" t="s">
        <v>1210</v>
      </c>
      <c r="C347" s="52" t="s">
        <v>140</v>
      </c>
      <c r="D347" s="52" t="s">
        <v>1220</v>
      </c>
      <c r="E347" s="194">
        <v>1148364</v>
      </c>
      <c r="F347" s="137">
        <v>1148364</v>
      </c>
    </row>
    <row r="348" spans="1:6" x14ac:dyDescent="0.2">
      <c r="A348" s="52" t="s">
        <v>4</v>
      </c>
      <c r="B348" s="150" t="s">
        <v>1210</v>
      </c>
      <c r="C348" s="52" t="s">
        <v>140</v>
      </c>
      <c r="D348" s="52" t="s">
        <v>460</v>
      </c>
      <c r="E348" s="194">
        <v>1148364</v>
      </c>
      <c r="F348" s="137">
        <v>1148364</v>
      </c>
    </row>
    <row r="349" spans="1:6" ht="140.25" x14ac:dyDescent="0.2">
      <c r="A349" s="52" t="s">
        <v>670</v>
      </c>
      <c r="B349" s="150" t="s">
        <v>1205</v>
      </c>
      <c r="C349" s="52" t="s">
        <v>1314</v>
      </c>
      <c r="D349" s="52" t="s">
        <v>1314</v>
      </c>
      <c r="E349" s="194">
        <v>14322000</v>
      </c>
      <c r="F349" s="137">
        <v>14322000</v>
      </c>
    </row>
    <row r="350" spans="1:6" ht="76.5" x14ac:dyDescent="0.2">
      <c r="A350" s="190" t="s">
        <v>1501</v>
      </c>
      <c r="B350" s="150" t="s">
        <v>1205</v>
      </c>
      <c r="C350" s="52" t="s">
        <v>290</v>
      </c>
      <c r="D350" s="52" t="s">
        <v>1314</v>
      </c>
      <c r="E350" s="194">
        <v>14322000</v>
      </c>
      <c r="F350" s="137">
        <v>14322000</v>
      </c>
    </row>
    <row r="351" spans="1:6" ht="25.5" x14ac:dyDescent="0.2">
      <c r="A351" s="52" t="s">
        <v>1331</v>
      </c>
      <c r="B351" s="150" t="s">
        <v>1205</v>
      </c>
      <c r="C351" s="52" t="s">
        <v>140</v>
      </c>
      <c r="D351" s="52" t="s">
        <v>1314</v>
      </c>
      <c r="E351" s="194">
        <v>14322000</v>
      </c>
      <c r="F351" s="137">
        <v>14322000</v>
      </c>
    </row>
    <row r="352" spans="1:6" x14ac:dyDescent="0.2">
      <c r="A352" s="52" t="s">
        <v>147</v>
      </c>
      <c r="B352" s="150" t="s">
        <v>1205</v>
      </c>
      <c r="C352" s="52" t="s">
        <v>140</v>
      </c>
      <c r="D352" s="52" t="s">
        <v>1220</v>
      </c>
      <c r="E352" s="194">
        <v>14322000</v>
      </c>
      <c r="F352" s="137">
        <v>14322000</v>
      </c>
    </row>
    <row r="353" spans="1:6" x14ac:dyDescent="0.2">
      <c r="A353" s="190" t="s">
        <v>4</v>
      </c>
      <c r="B353" s="150" t="s">
        <v>1205</v>
      </c>
      <c r="C353" s="52" t="s">
        <v>140</v>
      </c>
      <c r="D353" s="52" t="s">
        <v>460</v>
      </c>
      <c r="E353" s="194">
        <v>14322000</v>
      </c>
      <c r="F353" s="137">
        <v>14322000</v>
      </c>
    </row>
    <row r="354" spans="1:6" ht="114.75" x14ac:dyDescent="0.2">
      <c r="A354" s="52" t="s">
        <v>659</v>
      </c>
      <c r="B354" s="150" t="s">
        <v>1206</v>
      </c>
      <c r="C354" s="52" t="s">
        <v>1314</v>
      </c>
      <c r="D354" s="52" t="s">
        <v>1314</v>
      </c>
      <c r="E354" s="194">
        <v>450000</v>
      </c>
      <c r="F354" s="137">
        <v>450000</v>
      </c>
    </row>
    <row r="355" spans="1:6" ht="76.5" x14ac:dyDescent="0.2">
      <c r="A355" s="52" t="s">
        <v>1501</v>
      </c>
      <c r="B355" s="150" t="s">
        <v>1206</v>
      </c>
      <c r="C355" s="52" t="s">
        <v>290</v>
      </c>
      <c r="D355" s="52" t="s">
        <v>1314</v>
      </c>
      <c r="E355" s="194">
        <v>450000</v>
      </c>
      <c r="F355" s="137">
        <v>450000</v>
      </c>
    </row>
    <row r="356" spans="1:6" ht="25.5" x14ac:dyDescent="0.2">
      <c r="A356" s="52" t="s">
        <v>1331</v>
      </c>
      <c r="B356" s="150" t="s">
        <v>1206</v>
      </c>
      <c r="C356" s="52" t="s">
        <v>140</v>
      </c>
      <c r="D356" s="52" t="s">
        <v>1314</v>
      </c>
      <c r="E356" s="194">
        <v>450000</v>
      </c>
      <c r="F356" s="137">
        <v>450000</v>
      </c>
    </row>
    <row r="357" spans="1:6" x14ac:dyDescent="0.2">
      <c r="A357" s="52" t="s">
        <v>147</v>
      </c>
      <c r="B357" s="150" t="s">
        <v>1206</v>
      </c>
      <c r="C357" s="52" t="s">
        <v>140</v>
      </c>
      <c r="D357" s="52" t="s">
        <v>1220</v>
      </c>
      <c r="E357" s="194">
        <v>450000</v>
      </c>
      <c r="F357" s="137">
        <v>450000</v>
      </c>
    </row>
    <row r="358" spans="1:6" x14ac:dyDescent="0.2">
      <c r="A358" s="52" t="s">
        <v>4</v>
      </c>
      <c r="B358" s="150" t="s">
        <v>1206</v>
      </c>
      <c r="C358" s="52" t="s">
        <v>140</v>
      </c>
      <c r="D358" s="52" t="s">
        <v>460</v>
      </c>
      <c r="E358" s="194">
        <v>450000</v>
      </c>
      <c r="F358" s="137">
        <v>450000</v>
      </c>
    </row>
    <row r="359" spans="1:6" ht="89.25" x14ac:dyDescent="0.2">
      <c r="A359" s="52" t="s">
        <v>660</v>
      </c>
      <c r="B359" s="136" t="s">
        <v>1207</v>
      </c>
      <c r="C359" s="52" t="s">
        <v>1314</v>
      </c>
      <c r="D359" s="52" t="s">
        <v>1314</v>
      </c>
      <c r="E359" s="194">
        <v>423000</v>
      </c>
      <c r="F359" s="137">
        <v>423000</v>
      </c>
    </row>
    <row r="360" spans="1:6" ht="38.25" x14ac:dyDescent="0.2">
      <c r="A360" s="52" t="s">
        <v>1502</v>
      </c>
      <c r="B360" s="150" t="s">
        <v>1207</v>
      </c>
      <c r="C360" s="52" t="s">
        <v>1503</v>
      </c>
      <c r="D360" s="52" t="s">
        <v>1314</v>
      </c>
      <c r="E360" s="194">
        <v>423000</v>
      </c>
      <c r="F360" s="137">
        <v>423000</v>
      </c>
    </row>
    <row r="361" spans="1:6" ht="38.25" x14ac:dyDescent="0.2">
      <c r="A361" s="52" t="s">
        <v>1338</v>
      </c>
      <c r="B361" s="150" t="s">
        <v>1207</v>
      </c>
      <c r="C361" s="52" t="s">
        <v>1339</v>
      </c>
      <c r="D361" s="52" t="s">
        <v>1314</v>
      </c>
      <c r="E361" s="194">
        <v>423000</v>
      </c>
      <c r="F361" s="137">
        <v>423000</v>
      </c>
    </row>
    <row r="362" spans="1:6" x14ac:dyDescent="0.2">
      <c r="A362" s="52" t="s">
        <v>147</v>
      </c>
      <c r="B362" s="150" t="s">
        <v>1207</v>
      </c>
      <c r="C362" s="52" t="s">
        <v>1339</v>
      </c>
      <c r="D362" s="52" t="s">
        <v>1220</v>
      </c>
      <c r="E362" s="194">
        <v>423000</v>
      </c>
      <c r="F362" s="137">
        <v>423000</v>
      </c>
    </row>
    <row r="363" spans="1:6" x14ac:dyDescent="0.2">
      <c r="A363" s="52" t="s">
        <v>4</v>
      </c>
      <c r="B363" s="150" t="s">
        <v>1207</v>
      </c>
      <c r="C363" s="52" t="s">
        <v>1339</v>
      </c>
      <c r="D363" s="52" t="s">
        <v>460</v>
      </c>
      <c r="E363" s="194">
        <v>423000</v>
      </c>
      <c r="F363" s="137">
        <v>423000</v>
      </c>
    </row>
    <row r="364" spans="1:6" ht="76.5" x14ac:dyDescent="0.2">
      <c r="A364" s="52" t="s">
        <v>1028</v>
      </c>
      <c r="B364" s="150" t="s">
        <v>1232</v>
      </c>
      <c r="C364" s="52" t="s">
        <v>1314</v>
      </c>
      <c r="D364" s="52" t="s">
        <v>1314</v>
      </c>
      <c r="E364" s="194">
        <v>2900000</v>
      </c>
      <c r="F364" s="137">
        <v>2900000</v>
      </c>
    </row>
    <row r="365" spans="1:6" ht="38.25" x14ac:dyDescent="0.2">
      <c r="A365" s="52" t="s">
        <v>1502</v>
      </c>
      <c r="B365" s="150" t="s">
        <v>1232</v>
      </c>
      <c r="C365" s="52" t="s">
        <v>1503</v>
      </c>
      <c r="D365" s="52" t="s">
        <v>1314</v>
      </c>
      <c r="E365" s="194">
        <v>2900000</v>
      </c>
      <c r="F365" s="137">
        <v>2900000</v>
      </c>
    </row>
    <row r="366" spans="1:6" ht="38.25" x14ac:dyDescent="0.2">
      <c r="A366" s="52" t="s">
        <v>1338</v>
      </c>
      <c r="B366" s="150" t="s">
        <v>1232</v>
      </c>
      <c r="C366" s="52" t="s">
        <v>1339</v>
      </c>
      <c r="D366" s="52" t="s">
        <v>1314</v>
      </c>
      <c r="E366" s="194">
        <v>2900000</v>
      </c>
      <c r="F366" s="137">
        <v>2900000</v>
      </c>
    </row>
    <row r="367" spans="1:6" x14ac:dyDescent="0.2">
      <c r="A367" s="52" t="s">
        <v>147</v>
      </c>
      <c r="B367" s="150" t="s">
        <v>1232</v>
      </c>
      <c r="C367" s="52" t="s">
        <v>1339</v>
      </c>
      <c r="D367" s="52" t="s">
        <v>1220</v>
      </c>
      <c r="E367" s="194">
        <v>2900000</v>
      </c>
      <c r="F367" s="137">
        <v>2900000</v>
      </c>
    </row>
    <row r="368" spans="1:6" x14ac:dyDescent="0.2">
      <c r="A368" s="52" t="s">
        <v>4</v>
      </c>
      <c r="B368" s="150" t="s">
        <v>1232</v>
      </c>
      <c r="C368" s="52" t="s">
        <v>1339</v>
      </c>
      <c r="D368" s="52" t="s">
        <v>460</v>
      </c>
      <c r="E368" s="194">
        <v>2900000</v>
      </c>
      <c r="F368" s="137">
        <v>2900000</v>
      </c>
    </row>
    <row r="369" spans="1:6" ht="102" x14ac:dyDescent="0.2">
      <c r="A369" s="52" t="s">
        <v>661</v>
      </c>
      <c r="B369" s="150" t="s">
        <v>1208</v>
      </c>
      <c r="C369" s="52" t="s">
        <v>1314</v>
      </c>
      <c r="D369" s="52" t="s">
        <v>1314</v>
      </c>
      <c r="E369" s="194">
        <v>7019550</v>
      </c>
      <c r="F369" s="137">
        <v>7019550</v>
      </c>
    </row>
    <row r="370" spans="1:6" ht="76.5" x14ac:dyDescent="0.2">
      <c r="A370" s="52" t="s">
        <v>1501</v>
      </c>
      <c r="B370" s="150" t="s">
        <v>1208</v>
      </c>
      <c r="C370" s="52" t="s">
        <v>290</v>
      </c>
      <c r="D370" s="52" t="s">
        <v>1314</v>
      </c>
      <c r="E370" s="194">
        <v>6782800</v>
      </c>
      <c r="F370" s="137">
        <v>6782800</v>
      </c>
    </row>
    <row r="371" spans="1:6" ht="38.25" x14ac:dyDescent="0.2">
      <c r="A371" s="52" t="s">
        <v>1345</v>
      </c>
      <c r="B371" s="150" t="s">
        <v>1208</v>
      </c>
      <c r="C371" s="52" t="s">
        <v>30</v>
      </c>
      <c r="D371" s="52" t="s">
        <v>1314</v>
      </c>
      <c r="E371" s="194">
        <v>6782800</v>
      </c>
      <c r="F371" s="137">
        <v>6782800</v>
      </c>
    </row>
    <row r="372" spans="1:6" x14ac:dyDescent="0.2">
      <c r="A372" s="52" t="s">
        <v>147</v>
      </c>
      <c r="B372" s="150" t="s">
        <v>1208</v>
      </c>
      <c r="C372" s="52" t="s">
        <v>30</v>
      </c>
      <c r="D372" s="52" t="s">
        <v>1220</v>
      </c>
      <c r="E372" s="194">
        <v>6782800</v>
      </c>
      <c r="F372" s="137">
        <v>6782800</v>
      </c>
    </row>
    <row r="373" spans="1:6" x14ac:dyDescent="0.2">
      <c r="A373" s="52" t="s">
        <v>4</v>
      </c>
      <c r="B373" s="150" t="s">
        <v>1208</v>
      </c>
      <c r="C373" s="52" t="s">
        <v>30</v>
      </c>
      <c r="D373" s="52" t="s">
        <v>460</v>
      </c>
      <c r="E373" s="194">
        <v>6782800</v>
      </c>
      <c r="F373" s="137">
        <v>6782800</v>
      </c>
    </row>
    <row r="374" spans="1:6" ht="38.25" x14ac:dyDescent="0.2">
      <c r="A374" s="52" t="s">
        <v>1502</v>
      </c>
      <c r="B374" s="150" t="s">
        <v>1208</v>
      </c>
      <c r="C374" s="52" t="s">
        <v>1503</v>
      </c>
      <c r="D374" s="52" t="s">
        <v>1314</v>
      </c>
      <c r="E374" s="194">
        <v>236750</v>
      </c>
      <c r="F374" s="137">
        <v>236750</v>
      </c>
    </row>
    <row r="375" spans="1:6" ht="38.25" x14ac:dyDescent="0.2">
      <c r="A375" s="52" t="s">
        <v>1338</v>
      </c>
      <c r="B375" s="150" t="s">
        <v>1208</v>
      </c>
      <c r="C375" s="52" t="s">
        <v>1339</v>
      </c>
      <c r="D375" s="52" t="s">
        <v>1314</v>
      </c>
      <c r="E375" s="194">
        <v>236750</v>
      </c>
      <c r="F375" s="137">
        <v>236750</v>
      </c>
    </row>
    <row r="376" spans="1:6" x14ac:dyDescent="0.2">
      <c r="A376" s="52" t="s">
        <v>147</v>
      </c>
      <c r="B376" s="150" t="s">
        <v>1208</v>
      </c>
      <c r="C376" s="52" t="s">
        <v>1339</v>
      </c>
      <c r="D376" s="52" t="s">
        <v>1220</v>
      </c>
      <c r="E376" s="194">
        <v>236750</v>
      </c>
      <c r="F376" s="137">
        <v>236750</v>
      </c>
    </row>
    <row r="377" spans="1:6" x14ac:dyDescent="0.2">
      <c r="A377" s="52" t="s">
        <v>4</v>
      </c>
      <c r="B377" s="150" t="s">
        <v>1208</v>
      </c>
      <c r="C377" s="52" t="s">
        <v>1339</v>
      </c>
      <c r="D377" s="52" t="s">
        <v>460</v>
      </c>
      <c r="E377" s="194">
        <v>236750</v>
      </c>
      <c r="F377" s="137">
        <v>236750</v>
      </c>
    </row>
    <row r="378" spans="1:6" ht="127.5" x14ac:dyDescent="0.2">
      <c r="A378" s="52" t="s">
        <v>662</v>
      </c>
      <c r="B378" s="150" t="s">
        <v>1209</v>
      </c>
      <c r="C378" s="52" t="s">
        <v>1314</v>
      </c>
      <c r="D378" s="52" t="s">
        <v>1314</v>
      </c>
      <c r="E378" s="194">
        <v>250000</v>
      </c>
      <c r="F378" s="137">
        <v>250000</v>
      </c>
    </row>
    <row r="379" spans="1:6" ht="76.5" x14ac:dyDescent="0.2">
      <c r="A379" s="52" t="s">
        <v>1501</v>
      </c>
      <c r="B379" s="150" t="s">
        <v>1209</v>
      </c>
      <c r="C379" s="52" t="s">
        <v>290</v>
      </c>
      <c r="D379" s="52" t="s">
        <v>1314</v>
      </c>
      <c r="E379" s="194">
        <v>250000</v>
      </c>
      <c r="F379" s="137">
        <v>250000</v>
      </c>
    </row>
    <row r="380" spans="1:6" ht="38.25" x14ac:dyDescent="0.2">
      <c r="A380" s="52" t="s">
        <v>1345</v>
      </c>
      <c r="B380" s="150" t="s">
        <v>1209</v>
      </c>
      <c r="C380" s="52" t="s">
        <v>30</v>
      </c>
      <c r="D380" s="52" t="s">
        <v>1314</v>
      </c>
      <c r="E380" s="194">
        <v>250000</v>
      </c>
      <c r="F380" s="137">
        <v>250000</v>
      </c>
    </row>
    <row r="381" spans="1:6" x14ac:dyDescent="0.2">
      <c r="A381" s="52" t="s">
        <v>147</v>
      </c>
      <c r="B381" s="150" t="s">
        <v>1209</v>
      </c>
      <c r="C381" s="52" t="s">
        <v>30</v>
      </c>
      <c r="D381" s="52" t="s">
        <v>1220</v>
      </c>
      <c r="E381" s="194">
        <v>250000</v>
      </c>
      <c r="F381" s="137">
        <v>250000</v>
      </c>
    </row>
    <row r="382" spans="1:6" x14ac:dyDescent="0.2">
      <c r="A382" s="52" t="s">
        <v>4</v>
      </c>
      <c r="B382" s="150" t="s">
        <v>1209</v>
      </c>
      <c r="C382" s="52" t="s">
        <v>30</v>
      </c>
      <c r="D382" s="52" t="s">
        <v>460</v>
      </c>
      <c r="E382" s="194">
        <v>250000</v>
      </c>
      <c r="F382" s="137">
        <v>250000</v>
      </c>
    </row>
    <row r="383" spans="1:6" ht="89.25" x14ac:dyDescent="0.2">
      <c r="A383" s="52" t="s">
        <v>655</v>
      </c>
      <c r="B383" s="150" t="s">
        <v>2073</v>
      </c>
      <c r="C383" s="52" t="s">
        <v>1314</v>
      </c>
      <c r="D383" s="52" t="s">
        <v>1314</v>
      </c>
      <c r="E383" s="194">
        <v>73090</v>
      </c>
      <c r="F383" s="137">
        <v>73090</v>
      </c>
    </row>
    <row r="384" spans="1:6" ht="76.5" x14ac:dyDescent="0.2">
      <c r="A384" s="190" t="s">
        <v>1501</v>
      </c>
      <c r="B384" s="150" t="s">
        <v>2073</v>
      </c>
      <c r="C384" s="52" t="s">
        <v>290</v>
      </c>
      <c r="D384" s="52" t="s">
        <v>1314</v>
      </c>
      <c r="E384" s="194">
        <v>69590</v>
      </c>
      <c r="F384" s="137">
        <v>69590</v>
      </c>
    </row>
    <row r="385" spans="1:6" ht="25.5" x14ac:dyDescent="0.2">
      <c r="A385" s="52" t="s">
        <v>1331</v>
      </c>
      <c r="B385" s="150" t="s">
        <v>2073</v>
      </c>
      <c r="C385" s="52" t="s">
        <v>140</v>
      </c>
      <c r="D385" s="52" t="s">
        <v>1314</v>
      </c>
      <c r="E385" s="194">
        <v>69590</v>
      </c>
      <c r="F385" s="137">
        <v>69590</v>
      </c>
    </row>
    <row r="386" spans="1:6" x14ac:dyDescent="0.2">
      <c r="A386" s="52" t="s">
        <v>147</v>
      </c>
      <c r="B386" s="150" t="s">
        <v>2073</v>
      </c>
      <c r="C386" s="52" t="s">
        <v>140</v>
      </c>
      <c r="D386" s="52" t="s">
        <v>1220</v>
      </c>
      <c r="E386" s="194">
        <v>69590</v>
      </c>
      <c r="F386" s="137">
        <v>69590</v>
      </c>
    </row>
    <row r="387" spans="1:6" x14ac:dyDescent="0.2">
      <c r="A387" s="52" t="s">
        <v>1145</v>
      </c>
      <c r="B387" s="150" t="s">
        <v>2073</v>
      </c>
      <c r="C387" s="52" t="s">
        <v>140</v>
      </c>
      <c r="D387" s="52" t="s">
        <v>405</v>
      </c>
      <c r="E387" s="194">
        <v>69590</v>
      </c>
      <c r="F387" s="137">
        <v>69590</v>
      </c>
    </row>
    <row r="388" spans="1:6" ht="38.25" x14ac:dyDescent="0.2">
      <c r="A388" s="52" t="s">
        <v>1502</v>
      </c>
      <c r="B388" s="150" t="s">
        <v>2073</v>
      </c>
      <c r="C388" s="52" t="s">
        <v>1503</v>
      </c>
      <c r="D388" s="52" t="s">
        <v>1314</v>
      </c>
      <c r="E388" s="134">
        <v>3500</v>
      </c>
      <c r="F388" s="137">
        <v>3500</v>
      </c>
    </row>
    <row r="389" spans="1:6" ht="38.25" x14ac:dyDescent="0.2">
      <c r="A389" s="52" t="s">
        <v>1338</v>
      </c>
      <c r="B389" s="150" t="s">
        <v>2073</v>
      </c>
      <c r="C389" s="52" t="s">
        <v>1339</v>
      </c>
      <c r="D389" s="52" t="s">
        <v>1314</v>
      </c>
      <c r="E389" s="134">
        <v>3500</v>
      </c>
      <c r="F389" s="137">
        <v>3500</v>
      </c>
    </row>
    <row r="390" spans="1:6" x14ac:dyDescent="0.2">
      <c r="A390" s="52" t="s">
        <v>147</v>
      </c>
      <c r="B390" s="150" t="s">
        <v>2073</v>
      </c>
      <c r="C390" s="52" t="s">
        <v>1339</v>
      </c>
      <c r="D390" s="52" t="s">
        <v>1220</v>
      </c>
      <c r="E390" s="134">
        <v>3500</v>
      </c>
      <c r="F390" s="137">
        <v>3500</v>
      </c>
    </row>
    <row r="391" spans="1:6" x14ac:dyDescent="0.2">
      <c r="A391" s="52" t="s">
        <v>1145</v>
      </c>
      <c r="B391" s="150" t="s">
        <v>2073</v>
      </c>
      <c r="C391" s="52" t="s">
        <v>1339</v>
      </c>
      <c r="D391" s="52" t="s">
        <v>405</v>
      </c>
      <c r="E391" s="134">
        <v>3500</v>
      </c>
      <c r="F391" s="137">
        <v>3500</v>
      </c>
    </row>
    <row r="392" spans="1:6" ht="114.75" x14ac:dyDescent="0.2">
      <c r="A392" s="52" t="s">
        <v>656</v>
      </c>
      <c r="B392" s="150" t="s">
        <v>2074</v>
      </c>
      <c r="C392" s="52" t="s">
        <v>1314</v>
      </c>
      <c r="D392" s="52" t="s">
        <v>1314</v>
      </c>
      <c r="E392" s="134">
        <v>200000</v>
      </c>
      <c r="F392" s="137">
        <v>200000</v>
      </c>
    </row>
    <row r="393" spans="1:6" ht="38.25" x14ac:dyDescent="0.2">
      <c r="A393" s="52" t="s">
        <v>1502</v>
      </c>
      <c r="B393" s="136" t="s">
        <v>2074</v>
      </c>
      <c r="C393" s="52" t="s">
        <v>1503</v>
      </c>
      <c r="D393" s="52" t="s">
        <v>1314</v>
      </c>
      <c r="E393" s="134">
        <v>200000</v>
      </c>
      <c r="F393" s="137">
        <v>200000</v>
      </c>
    </row>
    <row r="394" spans="1:6" ht="38.25" x14ac:dyDescent="0.2">
      <c r="A394" s="52" t="s">
        <v>1338</v>
      </c>
      <c r="B394" s="136" t="s">
        <v>2074</v>
      </c>
      <c r="C394" s="52" t="s">
        <v>1339</v>
      </c>
      <c r="D394" s="52" t="s">
        <v>1314</v>
      </c>
      <c r="E394" s="134">
        <v>200000</v>
      </c>
      <c r="F394" s="137">
        <v>200000</v>
      </c>
    </row>
    <row r="395" spans="1:6" x14ac:dyDescent="0.2">
      <c r="A395" s="52" t="s">
        <v>147</v>
      </c>
      <c r="B395" s="150" t="s">
        <v>2074</v>
      </c>
      <c r="C395" s="52" t="s">
        <v>1339</v>
      </c>
      <c r="D395" s="52" t="s">
        <v>1220</v>
      </c>
      <c r="E395" s="134">
        <v>200000</v>
      </c>
      <c r="F395" s="137">
        <v>200000</v>
      </c>
    </row>
    <row r="396" spans="1:6" x14ac:dyDescent="0.2">
      <c r="A396" s="52" t="s">
        <v>1145</v>
      </c>
      <c r="B396" s="150" t="s">
        <v>2074</v>
      </c>
      <c r="C396" s="52" t="s">
        <v>1339</v>
      </c>
      <c r="D396" s="52" t="s">
        <v>405</v>
      </c>
      <c r="E396" s="134">
        <v>200000</v>
      </c>
      <c r="F396" s="137">
        <v>200000</v>
      </c>
    </row>
    <row r="397" spans="1:6" ht="25.5" x14ac:dyDescent="0.2">
      <c r="A397" s="52" t="s">
        <v>2037</v>
      </c>
      <c r="B397" s="150" t="s">
        <v>2038</v>
      </c>
      <c r="C397" s="52" t="s">
        <v>1314</v>
      </c>
      <c r="D397" s="52" t="s">
        <v>1314</v>
      </c>
      <c r="E397" s="134">
        <v>1151500</v>
      </c>
      <c r="F397" s="137">
        <v>1151500</v>
      </c>
    </row>
    <row r="398" spans="1:6" ht="25.5" x14ac:dyDescent="0.2">
      <c r="A398" s="190" t="s">
        <v>2044</v>
      </c>
      <c r="B398" s="150" t="s">
        <v>2045</v>
      </c>
      <c r="C398" s="52" t="s">
        <v>1314</v>
      </c>
      <c r="D398" s="52" t="s">
        <v>1314</v>
      </c>
      <c r="E398" s="134">
        <v>1151500</v>
      </c>
      <c r="F398" s="137">
        <v>1151500</v>
      </c>
    </row>
    <row r="399" spans="1:6" ht="102" x14ac:dyDescent="0.2">
      <c r="A399" s="52" t="s">
        <v>2046</v>
      </c>
      <c r="B399" s="150" t="s">
        <v>2047</v>
      </c>
      <c r="C399" s="52" t="s">
        <v>1314</v>
      </c>
      <c r="D399" s="52" t="s">
        <v>1314</v>
      </c>
      <c r="E399" s="134">
        <v>1151500</v>
      </c>
      <c r="F399" s="137">
        <v>1151500</v>
      </c>
    </row>
    <row r="400" spans="1:6" ht="76.5" x14ac:dyDescent="0.2">
      <c r="A400" s="52" t="s">
        <v>1501</v>
      </c>
      <c r="B400" s="150" t="s">
        <v>2047</v>
      </c>
      <c r="C400" s="52" t="s">
        <v>290</v>
      </c>
      <c r="D400" s="52" t="s">
        <v>1314</v>
      </c>
      <c r="E400" s="134">
        <v>77720</v>
      </c>
      <c r="F400" s="137">
        <v>77720</v>
      </c>
    </row>
    <row r="401" spans="1:6" ht="38.25" x14ac:dyDescent="0.2">
      <c r="A401" s="190" t="s">
        <v>1345</v>
      </c>
      <c r="B401" s="136" t="s">
        <v>2047</v>
      </c>
      <c r="C401" s="52" t="s">
        <v>30</v>
      </c>
      <c r="D401" s="52" t="s">
        <v>1314</v>
      </c>
      <c r="E401" s="134">
        <v>77720</v>
      </c>
      <c r="F401" s="137">
        <v>77720</v>
      </c>
    </row>
    <row r="402" spans="1:6" x14ac:dyDescent="0.2">
      <c r="A402" s="190" t="s">
        <v>1938</v>
      </c>
      <c r="B402" s="150" t="s">
        <v>2047</v>
      </c>
      <c r="C402" s="52" t="s">
        <v>30</v>
      </c>
      <c r="D402" s="52" t="s">
        <v>1939</v>
      </c>
      <c r="E402" s="134">
        <v>77720</v>
      </c>
      <c r="F402" s="137">
        <v>77720</v>
      </c>
    </row>
    <row r="403" spans="1:6" ht="25.5" x14ac:dyDescent="0.2">
      <c r="A403" s="52" t="s">
        <v>2042</v>
      </c>
      <c r="B403" s="150" t="s">
        <v>2047</v>
      </c>
      <c r="C403" s="52" t="s">
        <v>30</v>
      </c>
      <c r="D403" s="52" t="s">
        <v>2043</v>
      </c>
      <c r="E403" s="134">
        <v>77720</v>
      </c>
      <c r="F403" s="137">
        <v>77720</v>
      </c>
    </row>
    <row r="404" spans="1:6" ht="38.25" x14ac:dyDescent="0.2">
      <c r="A404" s="148" t="s">
        <v>1502</v>
      </c>
      <c r="B404" s="150" t="s">
        <v>2047</v>
      </c>
      <c r="C404" s="148" t="s">
        <v>1503</v>
      </c>
      <c r="D404" s="148" t="s">
        <v>1314</v>
      </c>
      <c r="E404" s="134">
        <v>1073780</v>
      </c>
      <c r="F404" s="137">
        <v>1073780</v>
      </c>
    </row>
    <row r="405" spans="1:6" ht="38.25" x14ac:dyDescent="0.2">
      <c r="A405" s="148" t="s">
        <v>1338</v>
      </c>
      <c r="B405" s="136" t="s">
        <v>2047</v>
      </c>
      <c r="C405" s="148" t="s">
        <v>1339</v>
      </c>
      <c r="D405" s="148" t="s">
        <v>1314</v>
      </c>
      <c r="E405" s="134">
        <v>1073780</v>
      </c>
      <c r="F405" s="137">
        <v>1073780</v>
      </c>
    </row>
    <row r="406" spans="1:6" x14ac:dyDescent="0.2">
      <c r="A406" s="190" t="s">
        <v>1938</v>
      </c>
      <c r="B406" s="150" t="s">
        <v>2047</v>
      </c>
      <c r="C406" s="148" t="s">
        <v>1339</v>
      </c>
      <c r="D406" s="148" t="s">
        <v>1939</v>
      </c>
      <c r="E406" s="134">
        <v>1073780</v>
      </c>
      <c r="F406" s="137">
        <v>1073780</v>
      </c>
    </row>
    <row r="407" spans="1:6" ht="25.5" x14ac:dyDescent="0.2">
      <c r="A407" s="148" t="s">
        <v>2042</v>
      </c>
      <c r="B407" s="150" t="s">
        <v>2047</v>
      </c>
      <c r="C407" s="148" t="s">
        <v>1339</v>
      </c>
      <c r="D407" s="148" t="s">
        <v>2043</v>
      </c>
      <c r="E407" s="134">
        <v>1073780</v>
      </c>
      <c r="F407" s="137">
        <v>1073780</v>
      </c>
    </row>
    <row r="408" spans="1:6" ht="63.75" x14ac:dyDescent="0.2">
      <c r="A408" s="148" t="s">
        <v>493</v>
      </c>
      <c r="B408" s="150" t="s">
        <v>1034</v>
      </c>
      <c r="C408" s="148" t="s">
        <v>1314</v>
      </c>
      <c r="D408" s="148" t="s">
        <v>1314</v>
      </c>
      <c r="E408" s="134">
        <v>226158455</v>
      </c>
      <c r="F408" s="137">
        <v>226158455</v>
      </c>
    </row>
    <row r="409" spans="1:6" ht="51" x14ac:dyDescent="0.2">
      <c r="A409" s="148" t="s">
        <v>638</v>
      </c>
      <c r="B409" s="136" t="s">
        <v>1035</v>
      </c>
      <c r="C409" s="148" t="s">
        <v>1314</v>
      </c>
      <c r="D409" s="148" t="s">
        <v>1314</v>
      </c>
      <c r="E409" s="134">
        <v>225965500</v>
      </c>
      <c r="F409" s="137">
        <v>225965500</v>
      </c>
    </row>
    <row r="410" spans="1:6" ht="140.25" x14ac:dyDescent="0.2">
      <c r="A410" s="148" t="s">
        <v>1270</v>
      </c>
      <c r="B410" s="150" t="s">
        <v>736</v>
      </c>
      <c r="C410" s="148" t="s">
        <v>1314</v>
      </c>
      <c r="D410" s="148" t="s">
        <v>1314</v>
      </c>
      <c r="E410" s="134">
        <v>205090700</v>
      </c>
      <c r="F410" s="137">
        <v>205090700</v>
      </c>
    </row>
    <row r="411" spans="1:6" ht="76.5" x14ac:dyDescent="0.2">
      <c r="A411" s="148" t="s">
        <v>1501</v>
      </c>
      <c r="B411" s="150" t="s">
        <v>736</v>
      </c>
      <c r="C411" s="148" t="s">
        <v>290</v>
      </c>
      <c r="D411" s="148" t="s">
        <v>1314</v>
      </c>
      <c r="E411" s="134">
        <v>1181565</v>
      </c>
      <c r="F411" s="137">
        <v>1181565</v>
      </c>
    </row>
    <row r="412" spans="1:6" ht="25.5" x14ac:dyDescent="0.2">
      <c r="A412" s="148" t="s">
        <v>1331</v>
      </c>
      <c r="B412" s="150" t="s">
        <v>736</v>
      </c>
      <c r="C412" s="148" t="s">
        <v>140</v>
      </c>
      <c r="D412" s="148" t="s">
        <v>1314</v>
      </c>
      <c r="E412" s="134">
        <v>1181565</v>
      </c>
      <c r="F412" s="137">
        <v>1181565</v>
      </c>
    </row>
    <row r="413" spans="1:6" ht="25.5" x14ac:dyDescent="0.2">
      <c r="A413" s="148" t="s">
        <v>255</v>
      </c>
      <c r="B413" s="150" t="s">
        <v>736</v>
      </c>
      <c r="C413" s="148" t="s">
        <v>140</v>
      </c>
      <c r="D413" s="148" t="s">
        <v>1219</v>
      </c>
      <c r="E413" s="134">
        <v>1181565</v>
      </c>
      <c r="F413" s="137">
        <v>1181565</v>
      </c>
    </row>
    <row r="414" spans="1:6" x14ac:dyDescent="0.2">
      <c r="A414" s="148" t="s">
        <v>153</v>
      </c>
      <c r="B414" s="150" t="s">
        <v>736</v>
      </c>
      <c r="C414" s="148" t="s">
        <v>140</v>
      </c>
      <c r="D414" s="148" t="s">
        <v>404</v>
      </c>
      <c r="E414" s="134">
        <v>1181565</v>
      </c>
      <c r="F414" s="137">
        <v>1181565</v>
      </c>
    </row>
    <row r="415" spans="1:6" ht="38.25" x14ac:dyDescent="0.2">
      <c r="A415" s="148" t="s">
        <v>1502</v>
      </c>
      <c r="B415" s="150" t="s">
        <v>736</v>
      </c>
      <c r="C415" s="148" t="s">
        <v>1503</v>
      </c>
      <c r="D415" s="148" t="s">
        <v>1314</v>
      </c>
      <c r="E415" s="134">
        <v>196032</v>
      </c>
      <c r="F415" s="137">
        <v>196032</v>
      </c>
    </row>
    <row r="416" spans="1:6" ht="38.25" x14ac:dyDescent="0.2">
      <c r="A416" s="148" t="s">
        <v>1338</v>
      </c>
      <c r="B416" s="150" t="s">
        <v>736</v>
      </c>
      <c r="C416" s="148" t="s">
        <v>1339</v>
      </c>
      <c r="D416" s="148" t="s">
        <v>1314</v>
      </c>
      <c r="E416" s="134">
        <v>196032</v>
      </c>
      <c r="F416" s="137">
        <v>196032</v>
      </c>
    </row>
    <row r="417" spans="1:6" ht="25.5" x14ac:dyDescent="0.2">
      <c r="A417" s="52" t="s">
        <v>255</v>
      </c>
      <c r="B417" s="150" t="s">
        <v>736</v>
      </c>
      <c r="C417" s="52" t="s">
        <v>1339</v>
      </c>
      <c r="D417" s="52" t="s">
        <v>1219</v>
      </c>
      <c r="E417" s="134">
        <v>196032</v>
      </c>
      <c r="F417" s="137">
        <v>196032</v>
      </c>
    </row>
    <row r="418" spans="1:6" x14ac:dyDescent="0.2">
      <c r="A418" s="190" t="s">
        <v>153</v>
      </c>
      <c r="B418" s="150" t="s">
        <v>736</v>
      </c>
      <c r="C418" s="52" t="s">
        <v>1339</v>
      </c>
      <c r="D418" s="52" t="s">
        <v>404</v>
      </c>
      <c r="E418" s="134">
        <v>196032</v>
      </c>
      <c r="F418" s="137">
        <v>196032</v>
      </c>
    </row>
    <row r="419" spans="1:6" x14ac:dyDescent="0.2">
      <c r="A419" s="52" t="s">
        <v>1504</v>
      </c>
      <c r="B419" s="150" t="s">
        <v>736</v>
      </c>
      <c r="C419" s="52" t="s">
        <v>1505</v>
      </c>
      <c r="D419" s="52" t="s">
        <v>1314</v>
      </c>
      <c r="E419" s="134">
        <v>203713103</v>
      </c>
      <c r="F419" s="137">
        <v>203713103</v>
      </c>
    </row>
    <row r="420" spans="1:6" ht="63.75" x14ac:dyDescent="0.2">
      <c r="A420" s="52" t="s">
        <v>1348</v>
      </c>
      <c r="B420" s="150" t="s">
        <v>736</v>
      </c>
      <c r="C420" s="52" t="s">
        <v>394</v>
      </c>
      <c r="D420" s="52" t="s">
        <v>1314</v>
      </c>
      <c r="E420" s="134">
        <v>203640020</v>
      </c>
      <c r="F420" s="137">
        <v>203640020</v>
      </c>
    </row>
    <row r="421" spans="1:6" ht="25.5" x14ac:dyDescent="0.2">
      <c r="A421" s="190" t="s">
        <v>255</v>
      </c>
      <c r="B421" s="136" t="s">
        <v>736</v>
      </c>
      <c r="C421" s="52" t="s">
        <v>394</v>
      </c>
      <c r="D421" s="52" t="s">
        <v>1219</v>
      </c>
      <c r="E421" s="134">
        <v>203640020</v>
      </c>
      <c r="F421" s="137">
        <v>203640020</v>
      </c>
    </row>
    <row r="422" spans="1:6" x14ac:dyDescent="0.2">
      <c r="A422" s="190" t="s">
        <v>153</v>
      </c>
      <c r="B422" s="136" t="s">
        <v>736</v>
      </c>
      <c r="C422" s="52" t="s">
        <v>394</v>
      </c>
      <c r="D422" s="52" t="s">
        <v>404</v>
      </c>
      <c r="E422" s="134">
        <v>203640020</v>
      </c>
      <c r="F422" s="137">
        <v>203640020</v>
      </c>
    </row>
    <row r="423" spans="1:6" x14ac:dyDescent="0.2">
      <c r="A423" s="52" t="s">
        <v>1343</v>
      </c>
      <c r="B423" s="150" t="s">
        <v>736</v>
      </c>
      <c r="C423" s="52" t="s">
        <v>1344</v>
      </c>
      <c r="D423" s="52" t="s">
        <v>1314</v>
      </c>
      <c r="E423" s="134">
        <v>73083</v>
      </c>
      <c r="F423" s="137">
        <v>73083</v>
      </c>
    </row>
    <row r="424" spans="1:6" ht="25.5" x14ac:dyDescent="0.2">
      <c r="A424" s="52" t="s">
        <v>255</v>
      </c>
      <c r="B424" s="150" t="s">
        <v>736</v>
      </c>
      <c r="C424" s="52" t="s">
        <v>1344</v>
      </c>
      <c r="D424" s="52" t="s">
        <v>1219</v>
      </c>
      <c r="E424" s="134">
        <v>73083</v>
      </c>
      <c r="F424" s="137">
        <v>73083</v>
      </c>
    </row>
    <row r="425" spans="1:6" x14ac:dyDescent="0.2">
      <c r="A425" s="52" t="s">
        <v>153</v>
      </c>
      <c r="B425" s="150" t="s">
        <v>736</v>
      </c>
      <c r="C425" s="52" t="s">
        <v>1344</v>
      </c>
      <c r="D425" s="52" t="s">
        <v>404</v>
      </c>
      <c r="E425" s="134">
        <v>73083</v>
      </c>
      <c r="F425" s="137">
        <v>73083</v>
      </c>
    </row>
    <row r="426" spans="1:6" ht="216.75" x14ac:dyDescent="0.2">
      <c r="A426" s="52" t="s">
        <v>1532</v>
      </c>
      <c r="B426" s="150" t="s">
        <v>735</v>
      </c>
      <c r="C426" s="52" t="s">
        <v>1314</v>
      </c>
      <c r="D426" s="52" t="s">
        <v>1314</v>
      </c>
      <c r="E426" s="134">
        <v>17100500</v>
      </c>
      <c r="F426" s="137">
        <v>17100500</v>
      </c>
    </row>
    <row r="427" spans="1:6" x14ac:dyDescent="0.2">
      <c r="A427" s="52" t="s">
        <v>1504</v>
      </c>
      <c r="B427" s="150" t="s">
        <v>735</v>
      </c>
      <c r="C427" s="52" t="s">
        <v>1505</v>
      </c>
      <c r="D427" s="52" t="s">
        <v>1314</v>
      </c>
      <c r="E427" s="134">
        <v>17100500</v>
      </c>
      <c r="F427" s="137">
        <v>17100500</v>
      </c>
    </row>
    <row r="428" spans="1:6" ht="63.75" x14ac:dyDescent="0.2">
      <c r="A428" s="52" t="s">
        <v>1348</v>
      </c>
      <c r="B428" s="150" t="s">
        <v>735</v>
      </c>
      <c r="C428" s="52" t="s">
        <v>394</v>
      </c>
      <c r="D428" s="52" t="s">
        <v>1314</v>
      </c>
      <c r="E428" s="134">
        <v>17100500</v>
      </c>
      <c r="F428" s="137">
        <v>17100500</v>
      </c>
    </row>
    <row r="429" spans="1:6" ht="25.5" x14ac:dyDescent="0.2">
      <c r="A429" s="52" t="s">
        <v>255</v>
      </c>
      <c r="B429" s="150" t="s">
        <v>735</v>
      </c>
      <c r="C429" s="173" t="s">
        <v>394</v>
      </c>
      <c r="D429" s="173" t="s">
        <v>1219</v>
      </c>
      <c r="E429" s="134">
        <v>17100500</v>
      </c>
      <c r="F429" s="134">
        <v>17100500</v>
      </c>
    </row>
    <row r="430" spans="1:6" x14ac:dyDescent="0.2">
      <c r="A430" s="52" t="s">
        <v>153</v>
      </c>
      <c r="B430" s="150" t="s">
        <v>735</v>
      </c>
      <c r="C430" s="173" t="s">
        <v>394</v>
      </c>
      <c r="D430" s="173" t="s">
        <v>404</v>
      </c>
      <c r="E430" s="134">
        <v>17100500</v>
      </c>
      <c r="F430" s="137">
        <v>17100500</v>
      </c>
    </row>
    <row r="431" spans="1:6" ht="153" x14ac:dyDescent="0.2">
      <c r="A431" s="190" t="s">
        <v>1497</v>
      </c>
      <c r="B431" s="136" t="s">
        <v>1498</v>
      </c>
      <c r="C431" s="52" t="s">
        <v>1314</v>
      </c>
      <c r="D431" s="52" t="s">
        <v>1314</v>
      </c>
      <c r="E431" s="134">
        <v>2917665</v>
      </c>
      <c r="F431" s="137">
        <v>2917665</v>
      </c>
    </row>
    <row r="432" spans="1:6" ht="76.5" x14ac:dyDescent="0.2">
      <c r="A432" s="190" t="s">
        <v>1501</v>
      </c>
      <c r="B432" s="150" t="s">
        <v>1498</v>
      </c>
      <c r="C432" s="52" t="s">
        <v>290</v>
      </c>
      <c r="D432" s="52" t="s">
        <v>1314</v>
      </c>
      <c r="E432" s="134">
        <v>2402551</v>
      </c>
      <c r="F432" s="137">
        <v>2402551</v>
      </c>
    </row>
    <row r="433" spans="1:6" ht="25.5" x14ac:dyDescent="0.2">
      <c r="A433" s="52" t="s">
        <v>1331</v>
      </c>
      <c r="B433" s="150" t="s">
        <v>1498</v>
      </c>
      <c r="C433" s="52" t="s">
        <v>140</v>
      </c>
      <c r="D433" s="52" t="s">
        <v>1314</v>
      </c>
      <c r="E433" s="134">
        <v>2402551</v>
      </c>
      <c r="F433" s="137">
        <v>2402551</v>
      </c>
    </row>
    <row r="434" spans="1:6" ht="25.5" x14ac:dyDescent="0.2">
      <c r="A434" s="52" t="s">
        <v>255</v>
      </c>
      <c r="B434" s="150" t="s">
        <v>1498</v>
      </c>
      <c r="C434" s="52" t="s">
        <v>140</v>
      </c>
      <c r="D434" s="52" t="s">
        <v>1219</v>
      </c>
      <c r="E434" s="134">
        <v>2402551</v>
      </c>
      <c r="F434" s="137">
        <v>2402551</v>
      </c>
    </row>
    <row r="435" spans="1:6" x14ac:dyDescent="0.2">
      <c r="A435" s="190" t="s">
        <v>153</v>
      </c>
      <c r="B435" s="150" t="s">
        <v>1498</v>
      </c>
      <c r="C435" s="52" t="s">
        <v>140</v>
      </c>
      <c r="D435" s="52" t="s">
        <v>404</v>
      </c>
      <c r="E435" s="134">
        <v>2402551</v>
      </c>
      <c r="F435" s="137">
        <v>2402551</v>
      </c>
    </row>
    <row r="436" spans="1:6" ht="38.25" x14ac:dyDescent="0.2">
      <c r="A436" s="52" t="s">
        <v>1502</v>
      </c>
      <c r="B436" s="150" t="s">
        <v>1498</v>
      </c>
      <c r="C436" s="52" t="s">
        <v>1503</v>
      </c>
      <c r="D436" s="52" t="s">
        <v>1314</v>
      </c>
      <c r="E436" s="134">
        <v>468457</v>
      </c>
      <c r="F436" s="137">
        <v>468457</v>
      </c>
    </row>
    <row r="437" spans="1:6" ht="38.25" x14ac:dyDescent="0.2">
      <c r="A437" s="52" t="s">
        <v>1338</v>
      </c>
      <c r="B437" s="150" t="s">
        <v>1498</v>
      </c>
      <c r="C437" s="52" t="s">
        <v>1339</v>
      </c>
      <c r="D437" s="52" t="s">
        <v>1314</v>
      </c>
      <c r="E437" s="134">
        <v>468457</v>
      </c>
      <c r="F437" s="137">
        <v>468457</v>
      </c>
    </row>
    <row r="438" spans="1:6" ht="25.5" x14ac:dyDescent="0.2">
      <c r="A438" s="190" t="s">
        <v>255</v>
      </c>
      <c r="B438" s="150" t="s">
        <v>1498</v>
      </c>
      <c r="C438" s="52" t="s">
        <v>1339</v>
      </c>
      <c r="D438" s="52" t="s">
        <v>1219</v>
      </c>
      <c r="E438" s="134">
        <v>468457</v>
      </c>
      <c r="F438" s="137">
        <v>468457</v>
      </c>
    </row>
    <row r="439" spans="1:6" x14ac:dyDescent="0.2">
      <c r="A439" s="52" t="s">
        <v>153</v>
      </c>
      <c r="B439" s="150" t="s">
        <v>1498</v>
      </c>
      <c r="C439" s="52" t="s">
        <v>1339</v>
      </c>
      <c r="D439" s="52" t="s">
        <v>404</v>
      </c>
      <c r="E439" s="134">
        <v>468457</v>
      </c>
      <c r="F439" s="137">
        <v>468457</v>
      </c>
    </row>
    <row r="440" spans="1:6" x14ac:dyDescent="0.2">
      <c r="A440" s="52" t="s">
        <v>1504</v>
      </c>
      <c r="B440" s="150" t="s">
        <v>1498</v>
      </c>
      <c r="C440" s="52" t="s">
        <v>1505</v>
      </c>
      <c r="D440" s="52" t="s">
        <v>1314</v>
      </c>
      <c r="E440" s="134">
        <v>46657</v>
      </c>
      <c r="F440" s="137">
        <v>46657</v>
      </c>
    </row>
    <row r="441" spans="1:6" x14ac:dyDescent="0.2">
      <c r="A441" s="52" t="s">
        <v>1343</v>
      </c>
      <c r="B441" s="136" t="s">
        <v>1498</v>
      </c>
      <c r="C441" s="52" t="s">
        <v>1344</v>
      </c>
      <c r="D441" s="52" t="s">
        <v>1314</v>
      </c>
      <c r="E441" s="134">
        <v>46657</v>
      </c>
      <c r="F441" s="137">
        <v>46657</v>
      </c>
    </row>
    <row r="442" spans="1:6" ht="25.5" x14ac:dyDescent="0.2">
      <c r="A442" s="52" t="s">
        <v>255</v>
      </c>
      <c r="B442" s="136" t="s">
        <v>1498</v>
      </c>
      <c r="C442" s="52" t="s">
        <v>1344</v>
      </c>
      <c r="D442" s="52" t="s">
        <v>1219</v>
      </c>
      <c r="E442" s="134">
        <v>46657</v>
      </c>
      <c r="F442" s="137">
        <v>46657</v>
      </c>
    </row>
    <row r="443" spans="1:6" x14ac:dyDescent="0.2">
      <c r="A443" s="52" t="s">
        <v>153</v>
      </c>
      <c r="B443" s="150" t="s">
        <v>1498</v>
      </c>
      <c r="C443" s="52" t="s">
        <v>1344</v>
      </c>
      <c r="D443" s="52" t="s">
        <v>404</v>
      </c>
      <c r="E443" s="134">
        <v>46657</v>
      </c>
      <c r="F443" s="137">
        <v>46657</v>
      </c>
    </row>
    <row r="444" spans="1:6" ht="216.75" x14ac:dyDescent="0.2">
      <c r="A444" s="52" t="s">
        <v>1561</v>
      </c>
      <c r="B444" s="150" t="s">
        <v>1562</v>
      </c>
      <c r="C444" s="52" t="s">
        <v>1314</v>
      </c>
      <c r="D444" s="52" t="s">
        <v>1314</v>
      </c>
      <c r="E444" s="134">
        <v>320700</v>
      </c>
      <c r="F444" s="137">
        <v>320700</v>
      </c>
    </row>
    <row r="445" spans="1:6" ht="76.5" x14ac:dyDescent="0.2">
      <c r="A445" s="52" t="s">
        <v>1501</v>
      </c>
      <c r="B445" s="150" t="s">
        <v>1562</v>
      </c>
      <c r="C445" s="52" t="s">
        <v>290</v>
      </c>
      <c r="D445" s="52" t="s">
        <v>1314</v>
      </c>
      <c r="E445" s="134">
        <v>320700</v>
      </c>
      <c r="F445" s="137">
        <v>320700</v>
      </c>
    </row>
    <row r="446" spans="1:6" ht="25.5" x14ac:dyDescent="0.2">
      <c r="A446" s="52" t="s">
        <v>1331</v>
      </c>
      <c r="B446" s="150" t="s">
        <v>1562</v>
      </c>
      <c r="C446" s="52" t="s">
        <v>140</v>
      </c>
      <c r="D446" s="52" t="s">
        <v>1314</v>
      </c>
      <c r="E446" s="134">
        <v>320700</v>
      </c>
      <c r="F446" s="137">
        <v>320700</v>
      </c>
    </row>
    <row r="447" spans="1:6" ht="25.5" x14ac:dyDescent="0.2">
      <c r="A447" s="52" t="s">
        <v>255</v>
      </c>
      <c r="B447" s="150" t="s">
        <v>1562</v>
      </c>
      <c r="C447" s="52" t="s">
        <v>140</v>
      </c>
      <c r="D447" s="52" t="s">
        <v>1219</v>
      </c>
      <c r="E447" s="134">
        <v>320700</v>
      </c>
      <c r="F447" s="137">
        <v>320700</v>
      </c>
    </row>
    <row r="448" spans="1:6" x14ac:dyDescent="0.2">
      <c r="A448" s="190" t="s">
        <v>153</v>
      </c>
      <c r="B448" s="136" t="s">
        <v>1562</v>
      </c>
      <c r="C448" s="52" t="s">
        <v>140</v>
      </c>
      <c r="D448" s="52" t="s">
        <v>404</v>
      </c>
      <c r="E448" s="134">
        <v>320700</v>
      </c>
      <c r="F448" s="137">
        <v>320700</v>
      </c>
    </row>
    <row r="449" spans="1:6" ht="178.5" x14ac:dyDescent="0.2">
      <c r="A449" s="190" t="s">
        <v>2075</v>
      </c>
      <c r="B449" s="136" t="s">
        <v>2076</v>
      </c>
      <c r="C449" s="52" t="s">
        <v>1314</v>
      </c>
      <c r="D449" s="52" t="s">
        <v>1314</v>
      </c>
      <c r="E449" s="134">
        <v>40000</v>
      </c>
      <c r="F449" s="137">
        <v>40000</v>
      </c>
    </row>
    <row r="450" spans="1:6" ht="76.5" x14ac:dyDescent="0.2">
      <c r="A450" s="52" t="s">
        <v>1501</v>
      </c>
      <c r="B450" s="136" t="s">
        <v>2076</v>
      </c>
      <c r="C450" s="52" t="s">
        <v>290</v>
      </c>
      <c r="D450" s="52" t="s">
        <v>1314</v>
      </c>
      <c r="E450" s="134">
        <v>40000</v>
      </c>
      <c r="F450" s="137">
        <v>40000</v>
      </c>
    </row>
    <row r="451" spans="1:6" ht="25.5" x14ac:dyDescent="0.2">
      <c r="A451" s="52" t="s">
        <v>1331</v>
      </c>
      <c r="B451" s="136" t="s">
        <v>2076</v>
      </c>
      <c r="C451" s="52" t="s">
        <v>140</v>
      </c>
      <c r="D451" s="52" t="s">
        <v>1314</v>
      </c>
      <c r="E451" s="134">
        <v>40000</v>
      </c>
      <c r="F451" s="137">
        <v>40000</v>
      </c>
    </row>
    <row r="452" spans="1:6" ht="25.5" x14ac:dyDescent="0.2">
      <c r="A452" s="190" t="s">
        <v>255</v>
      </c>
      <c r="B452" s="136" t="s">
        <v>2076</v>
      </c>
      <c r="C452" s="52" t="s">
        <v>140</v>
      </c>
      <c r="D452" s="52" t="s">
        <v>1219</v>
      </c>
      <c r="E452" s="134">
        <v>40000</v>
      </c>
      <c r="F452" s="137">
        <v>40000</v>
      </c>
    </row>
    <row r="453" spans="1:6" x14ac:dyDescent="0.2">
      <c r="A453" s="190" t="s">
        <v>153</v>
      </c>
      <c r="B453" s="150" t="s">
        <v>2076</v>
      </c>
      <c r="C453" s="52" t="s">
        <v>140</v>
      </c>
      <c r="D453" s="52" t="s">
        <v>404</v>
      </c>
      <c r="E453" s="134">
        <v>40000</v>
      </c>
      <c r="F453" s="137">
        <v>40000</v>
      </c>
    </row>
    <row r="454" spans="1:6" ht="165.75" x14ac:dyDescent="0.2">
      <c r="A454" s="52" t="s">
        <v>1499</v>
      </c>
      <c r="B454" s="150" t="s">
        <v>1500</v>
      </c>
      <c r="C454" s="52" t="s">
        <v>1314</v>
      </c>
      <c r="D454" s="52" t="s">
        <v>1314</v>
      </c>
      <c r="E454" s="134">
        <v>495935</v>
      </c>
      <c r="F454" s="137">
        <v>495935</v>
      </c>
    </row>
    <row r="455" spans="1:6" ht="38.25" x14ac:dyDescent="0.2">
      <c r="A455" s="52" t="s">
        <v>1502</v>
      </c>
      <c r="B455" s="150" t="s">
        <v>1500</v>
      </c>
      <c r="C455" s="52" t="s">
        <v>1503</v>
      </c>
      <c r="D455" s="52" t="s">
        <v>1314</v>
      </c>
      <c r="E455" s="134">
        <v>495935</v>
      </c>
      <c r="F455" s="137">
        <v>495935</v>
      </c>
    </row>
    <row r="456" spans="1:6" ht="38.25" x14ac:dyDescent="0.2">
      <c r="A456" s="52" t="s">
        <v>1338</v>
      </c>
      <c r="B456" s="150" t="s">
        <v>1500</v>
      </c>
      <c r="C456" s="52" t="s">
        <v>1339</v>
      </c>
      <c r="D456" s="52" t="s">
        <v>1314</v>
      </c>
      <c r="E456" s="134">
        <v>495935</v>
      </c>
      <c r="F456" s="137">
        <v>495935</v>
      </c>
    </row>
    <row r="457" spans="1:6" ht="25.5" x14ac:dyDescent="0.2">
      <c r="A457" s="52" t="s">
        <v>255</v>
      </c>
      <c r="B457" s="150" t="s">
        <v>1500</v>
      </c>
      <c r="C457" s="52" t="s">
        <v>1339</v>
      </c>
      <c r="D457" s="52" t="s">
        <v>1219</v>
      </c>
      <c r="E457" s="134">
        <v>495935</v>
      </c>
      <c r="F457" s="137">
        <v>495935</v>
      </c>
    </row>
    <row r="458" spans="1:6" x14ac:dyDescent="0.2">
      <c r="A458" s="52" t="s">
        <v>153</v>
      </c>
      <c r="B458" s="136" t="s">
        <v>1500</v>
      </c>
      <c r="C458" s="52" t="s">
        <v>1339</v>
      </c>
      <c r="D458" s="52" t="s">
        <v>404</v>
      </c>
      <c r="E458" s="134">
        <v>495935</v>
      </c>
      <c r="F458" s="137">
        <v>495935</v>
      </c>
    </row>
    <row r="459" spans="1:6" ht="63.75" x14ac:dyDescent="0.2">
      <c r="A459" s="52" t="s">
        <v>639</v>
      </c>
      <c r="B459" s="150" t="s">
        <v>1036</v>
      </c>
      <c r="C459" s="52" t="s">
        <v>1314</v>
      </c>
      <c r="D459" s="52" t="s">
        <v>1314</v>
      </c>
      <c r="E459" s="134">
        <v>192955</v>
      </c>
      <c r="F459" s="137">
        <v>192955</v>
      </c>
    </row>
    <row r="460" spans="1:6" ht="127.5" x14ac:dyDescent="0.2">
      <c r="A460" s="52" t="s">
        <v>571</v>
      </c>
      <c r="B460" s="150" t="s">
        <v>794</v>
      </c>
      <c r="C460" s="52" t="s">
        <v>1314</v>
      </c>
      <c r="D460" s="52" t="s">
        <v>1314</v>
      </c>
      <c r="E460" s="134">
        <v>192955</v>
      </c>
      <c r="F460" s="137">
        <v>192955</v>
      </c>
    </row>
    <row r="461" spans="1:6" ht="38.25" x14ac:dyDescent="0.2">
      <c r="A461" s="52" t="s">
        <v>1502</v>
      </c>
      <c r="B461" s="150" t="s">
        <v>794</v>
      </c>
      <c r="C461" s="52" t="s">
        <v>1503</v>
      </c>
      <c r="D461" s="52" t="s">
        <v>1314</v>
      </c>
      <c r="E461" s="134">
        <v>192955</v>
      </c>
      <c r="F461" s="137">
        <v>192955</v>
      </c>
    </row>
    <row r="462" spans="1:6" ht="38.25" x14ac:dyDescent="0.2">
      <c r="A462" s="52" t="s">
        <v>1338</v>
      </c>
      <c r="B462" s="133" t="s">
        <v>794</v>
      </c>
      <c r="C462" s="52" t="s">
        <v>1339</v>
      </c>
      <c r="D462" s="52" t="s">
        <v>1314</v>
      </c>
      <c r="E462" s="134">
        <v>192955</v>
      </c>
      <c r="F462" s="137">
        <v>192955</v>
      </c>
    </row>
    <row r="463" spans="1:6" ht="25.5" x14ac:dyDescent="0.2">
      <c r="A463" s="52" t="s">
        <v>255</v>
      </c>
      <c r="B463" s="133" t="s">
        <v>794</v>
      </c>
      <c r="C463" s="52" t="s">
        <v>1339</v>
      </c>
      <c r="D463" s="52" t="s">
        <v>1219</v>
      </c>
      <c r="E463" s="134">
        <v>192955</v>
      </c>
      <c r="F463" s="137">
        <v>192955</v>
      </c>
    </row>
    <row r="464" spans="1:6" x14ac:dyDescent="0.2">
      <c r="A464" s="52" t="s">
        <v>3</v>
      </c>
      <c r="B464" s="133" t="s">
        <v>794</v>
      </c>
      <c r="C464" s="52" t="s">
        <v>1339</v>
      </c>
      <c r="D464" s="52" t="s">
        <v>426</v>
      </c>
      <c r="E464" s="134">
        <v>192955</v>
      </c>
      <c r="F464" s="137">
        <v>192955</v>
      </c>
    </row>
    <row r="465" spans="1:6" ht="51" x14ac:dyDescent="0.2">
      <c r="A465" s="52" t="s">
        <v>497</v>
      </c>
      <c r="B465" s="150" t="s">
        <v>1038</v>
      </c>
      <c r="C465" s="52" t="s">
        <v>1314</v>
      </c>
      <c r="D465" s="52" t="s">
        <v>1314</v>
      </c>
      <c r="E465" s="134">
        <v>35463499</v>
      </c>
      <c r="F465" s="137">
        <v>35463499</v>
      </c>
    </row>
    <row r="466" spans="1:6" ht="89.25" x14ac:dyDescent="0.2">
      <c r="A466" s="52" t="s">
        <v>498</v>
      </c>
      <c r="B466" s="150" t="s">
        <v>1039</v>
      </c>
      <c r="C466" s="52" t="s">
        <v>1314</v>
      </c>
      <c r="D466" s="52" t="s">
        <v>1314</v>
      </c>
      <c r="E466" s="134">
        <v>4259557</v>
      </c>
      <c r="F466" s="137">
        <v>4259557</v>
      </c>
    </row>
    <row r="467" spans="1:6" ht="165.75" x14ac:dyDescent="0.2">
      <c r="A467" s="51" t="s">
        <v>381</v>
      </c>
      <c r="B467" s="150" t="s">
        <v>713</v>
      </c>
      <c r="C467" s="52" t="s">
        <v>1314</v>
      </c>
      <c r="D467" s="52" t="s">
        <v>1314</v>
      </c>
      <c r="E467" s="134">
        <v>3325199</v>
      </c>
      <c r="F467" s="137">
        <v>3325199</v>
      </c>
    </row>
    <row r="468" spans="1:6" ht="76.5" x14ac:dyDescent="0.2">
      <c r="A468" s="52" t="s">
        <v>1501</v>
      </c>
      <c r="B468" s="136" t="s">
        <v>713</v>
      </c>
      <c r="C468" s="52" t="s">
        <v>290</v>
      </c>
      <c r="D468" s="52" t="s">
        <v>1314</v>
      </c>
      <c r="E468" s="134">
        <v>3265199</v>
      </c>
      <c r="F468" s="137">
        <v>3265199</v>
      </c>
    </row>
    <row r="469" spans="1:6" ht="25.5" x14ac:dyDescent="0.2">
      <c r="A469" s="52" t="s">
        <v>1331</v>
      </c>
      <c r="B469" s="150" t="s">
        <v>713</v>
      </c>
      <c r="C469" s="52" t="s">
        <v>140</v>
      </c>
      <c r="D469" s="52" t="s">
        <v>1314</v>
      </c>
      <c r="E469" s="134">
        <v>3265199</v>
      </c>
      <c r="F469" s="137">
        <v>3265199</v>
      </c>
    </row>
    <row r="470" spans="1:6" ht="38.25" x14ac:dyDescent="0.2">
      <c r="A470" s="52" t="s">
        <v>254</v>
      </c>
      <c r="B470" s="150" t="s">
        <v>713</v>
      </c>
      <c r="C470" s="52" t="s">
        <v>140</v>
      </c>
      <c r="D470" s="52" t="s">
        <v>1215</v>
      </c>
      <c r="E470" s="134">
        <v>3265199</v>
      </c>
      <c r="F470" s="137">
        <v>3265199</v>
      </c>
    </row>
    <row r="471" spans="1:6" x14ac:dyDescent="0.2">
      <c r="A471" s="52" t="s">
        <v>2028</v>
      </c>
      <c r="B471" s="150" t="s">
        <v>713</v>
      </c>
      <c r="C471" s="52" t="s">
        <v>140</v>
      </c>
      <c r="D471" s="52" t="s">
        <v>380</v>
      </c>
      <c r="E471" s="134">
        <v>3265199</v>
      </c>
      <c r="F471" s="137">
        <v>3265199</v>
      </c>
    </row>
    <row r="472" spans="1:6" ht="38.25" x14ac:dyDescent="0.2">
      <c r="A472" s="52" t="s">
        <v>1502</v>
      </c>
      <c r="B472" s="150" t="s">
        <v>713</v>
      </c>
      <c r="C472" s="52" t="s">
        <v>1503</v>
      </c>
      <c r="D472" s="52" t="s">
        <v>1314</v>
      </c>
      <c r="E472" s="134">
        <v>60000</v>
      </c>
      <c r="F472" s="137">
        <v>60000</v>
      </c>
    </row>
    <row r="473" spans="1:6" ht="38.25" x14ac:dyDescent="0.2">
      <c r="A473" s="52" t="s">
        <v>1338</v>
      </c>
      <c r="B473" s="150" t="s">
        <v>713</v>
      </c>
      <c r="C473" s="52" t="s">
        <v>1339</v>
      </c>
      <c r="D473" s="52" t="s">
        <v>1314</v>
      </c>
      <c r="E473" s="134">
        <v>60000</v>
      </c>
      <c r="F473" s="137">
        <v>60000</v>
      </c>
    </row>
    <row r="474" spans="1:6" ht="38.25" x14ac:dyDescent="0.2">
      <c r="A474" s="52" t="s">
        <v>254</v>
      </c>
      <c r="B474" s="150" t="s">
        <v>713</v>
      </c>
      <c r="C474" s="52" t="s">
        <v>1339</v>
      </c>
      <c r="D474" s="52" t="s">
        <v>1215</v>
      </c>
      <c r="E474" s="134">
        <v>60000</v>
      </c>
      <c r="F474" s="137">
        <v>60000</v>
      </c>
    </row>
    <row r="475" spans="1:6" x14ac:dyDescent="0.2">
      <c r="A475" s="200" t="s">
        <v>2028</v>
      </c>
      <c r="B475" s="242" t="s">
        <v>713</v>
      </c>
      <c r="C475" s="52" t="s">
        <v>1339</v>
      </c>
      <c r="D475" s="52" t="s">
        <v>380</v>
      </c>
      <c r="E475" s="94">
        <v>60000</v>
      </c>
      <c r="F475" s="137">
        <v>60000</v>
      </c>
    </row>
    <row r="476" spans="1:6" ht="204" x14ac:dyDescent="0.2">
      <c r="A476" s="200" t="s">
        <v>674</v>
      </c>
      <c r="B476" s="242" t="s">
        <v>714</v>
      </c>
      <c r="C476" s="242" t="s">
        <v>1314</v>
      </c>
      <c r="D476" s="242" t="s">
        <v>1314</v>
      </c>
      <c r="E476" s="191">
        <v>542218</v>
      </c>
      <c r="F476" s="137">
        <v>542218</v>
      </c>
    </row>
    <row r="477" spans="1:6" ht="76.5" x14ac:dyDescent="0.2">
      <c r="A477" s="200" t="s">
        <v>1501</v>
      </c>
      <c r="B477" s="242" t="s">
        <v>714</v>
      </c>
      <c r="C477" s="242" t="s">
        <v>290</v>
      </c>
      <c r="D477" s="242" t="s">
        <v>1314</v>
      </c>
      <c r="E477" s="191">
        <v>542218</v>
      </c>
      <c r="F477" s="137">
        <v>542218</v>
      </c>
    </row>
    <row r="478" spans="1:6" ht="25.5" x14ac:dyDescent="0.2">
      <c r="A478" s="52" t="s">
        <v>1331</v>
      </c>
      <c r="B478" s="150" t="s">
        <v>714</v>
      </c>
      <c r="C478" s="52" t="s">
        <v>140</v>
      </c>
      <c r="D478" s="52" t="s">
        <v>1314</v>
      </c>
      <c r="E478" s="134">
        <v>542218</v>
      </c>
      <c r="F478" s="137">
        <v>542218</v>
      </c>
    </row>
    <row r="479" spans="1:6" ht="38.25" x14ac:dyDescent="0.2">
      <c r="A479" s="52" t="s">
        <v>254</v>
      </c>
      <c r="B479" s="150" t="s">
        <v>714</v>
      </c>
      <c r="C479" s="52" t="s">
        <v>140</v>
      </c>
      <c r="D479" s="52" t="s">
        <v>1215</v>
      </c>
      <c r="E479" s="134">
        <v>542218</v>
      </c>
      <c r="F479" s="137">
        <v>542218</v>
      </c>
    </row>
    <row r="480" spans="1:6" x14ac:dyDescent="0.2">
      <c r="A480" s="52" t="s">
        <v>2028</v>
      </c>
      <c r="B480" s="150" t="s">
        <v>714</v>
      </c>
      <c r="C480" s="52" t="s">
        <v>140</v>
      </c>
      <c r="D480" s="52" t="s">
        <v>380</v>
      </c>
      <c r="E480" s="134">
        <v>542218</v>
      </c>
      <c r="F480" s="137">
        <v>542218</v>
      </c>
    </row>
    <row r="481" spans="1:6" ht="191.25" x14ac:dyDescent="0.2">
      <c r="A481" s="52" t="s">
        <v>2029</v>
      </c>
      <c r="B481" s="150" t="s">
        <v>2030</v>
      </c>
      <c r="C481" s="52" t="s">
        <v>1314</v>
      </c>
      <c r="D481" s="52" t="s">
        <v>1314</v>
      </c>
      <c r="E481" s="134">
        <v>80000</v>
      </c>
      <c r="F481" s="137">
        <v>80000</v>
      </c>
    </row>
    <row r="482" spans="1:6" ht="38.25" x14ac:dyDescent="0.2">
      <c r="A482" s="52" t="s">
        <v>1502</v>
      </c>
      <c r="B482" s="150" t="s">
        <v>2030</v>
      </c>
      <c r="C482" s="52" t="s">
        <v>1503</v>
      </c>
      <c r="D482" s="52" t="s">
        <v>1314</v>
      </c>
      <c r="E482" s="134">
        <v>80000</v>
      </c>
      <c r="F482" s="137">
        <v>80000</v>
      </c>
    </row>
    <row r="483" spans="1:6" ht="38.25" x14ac:dyDescent="0.2">
      <c r="A483" s="52" t="s">
        <v>1338</v>
      </c>
      <c r="B483" s="150" t="s">
        <v>2030</v>
      </c>
      <c r="C483" s="52" t="s">
        <v>1339</v>
      </c>
      <c r="D483" s="52" t="s">
        <v>1314</v>
      </c>
      <c r="E483" s="134">
        <v>80000</v>
      </c>
      <c r="F483" s="137">
        <v>80000</v>
      </c>
    </row>
    <row r="484" spans="1:6" ht="38.25" x14ac:dyDescent="0.2">
      <c r="A484" s="52" t="s">
        <v>254</v>
      </c>
      <c r="B484" s="150" t="s">
        <v>2030</v>
      </c>
      <c r="C484" s="52" t="s">
        <v>1339</v>
      </c>
      <c r="D484" s="52" t="s">
        <v>1215</v>
      </c>
      <c r="E484" s="134">
        <v>80000</v>
      </c>
      <c r="F484" s="137">
        <v>80000</v>
      </c>
    </row>
    <row r="485" spans="1:6" x14ac:dyDescent="0.2">
      <c r="A485" s="52" t="s">
        <v>2028</v>
      </c>
      <c r="B485" s="150" t="s">
        <v>2030</v>
      </c>
      <c r="C485" s="52" t="s">
        <v>1339</v>
      </c>
      <c r="D485" s="52" t="s">
        <v>380</v>
      </c>
      <c r="E485" s="134">
        <v>80000</v>
      </c>
      <c r="F485" s="137">
        <v>80000</v>
      </c>
    </row>
    <row r="486" spans="1:6" ht="153" x14ac:dyDescent="0.2">
      <c r="A486" s="52" t="s">
        <v>391</v>
      </c>
      <c r="B486" s="150" t="s">
        <v>2031</v>
      </c>
      <c r="C486" s="52" t="s">
        <v>1314</v>
      </c>
      <c r="D486" s="52" t="s">
        <v>1314</v>
      </c>
      <c r="E486" s="134">
        <v>22000</v>
      </c>
      <c r="F486" s="137">
        <v>22000</v>
      </c>
    </row>
    <row r="487" spans="1:6" ht="38.25" x14ac:dyDescent="0.2">
      <c r="A487" s="52" t="s">
        <v>1502</v>
      </c>
      <c r="B487" s="150" t="s">
        <v>2031</v>
      </c>
      <c r="C487" s="52" t="s">
        <v>1503</v>
      </c>
      <c r="D487" s="52" t="s">
        <v>1314</v>
      </c>
      <c r="E487" s="134">
        <v>22000</v>
      </c>
      <c r="F487" s="137">
        <v>22000</v>
      </c>
    </row>
    <row r="488" spans="1:6" ht="38.25" x14ac:dyDescent="0.2">
      <c r="A488" s="52" t="s">
        <v>1338</v>
      </c>
      <c r="B488" s="150" t="s">
        <v>2031</v>
      </c>
      <c r="C488" s="173" t="s">
        <v>1339</v>
      </c>
      <c r="D488" s="52" t="s">
        <v>1314</v>
      </c>
      <c r="E488" s="134">
        <v>22000</v>
      </c>
      <c r="F488" s="137">
        <v>22000</v>
      </c>
    </row>
    <row r="489" spans="1:6" ht="38.25" x14ac:dyDescent="0.2">
      <c r="A489" s="52" t="s">
        <v>254</v>
      </c>
      <c r="B489" s="150" t="s">
        <v>2031</v>
      </c>
      <c r="C489" s="173" t="s">
        <v>1339</v>
      </c>
      <c r="D489" s="52" t="s">
        <v>1215</v>
      </c>
      <c r="E489" s="134">
        <v>22000</v>
      </c>
      <c r="F489" s="137">
        <v>22000</v>
      </c>
    </row>
    <row r="490" spans="1:6" x14ac:dyDescent="0.2">
      <c r="A490" s="190" t="s">
        <v>2028</v>
      </c>
      <c r="B490" s="150" t="s">
        <v>2031</v>
      </c>
      <c r="C490" s="52" t="s">
        <v>1339</v>
      </c>
      <c r="D490" s="52" t="s">
        <v>380</v>
      </c>
      <c r="E490" s="134">
        <v>22000</v>
      </c>
      <c r="F490" s="137">
        <v>22000</v>
      </c>
    </row>
    <row r="491" spans="1:6" ht="178.5" x14ac:dyDescent="0.2">
      <c r="A491" s="52" t="s">
        <v>1936</v>
      </c>
      <c r="B491" s="150" t="s">
        <v>1937</v>
      </c>
      <c r="C491" s="52" t="s">
        <v>1314</v>
      </c>
      <c r="D491" s="52" t="s">
        <v>1314</v>
      </c>
      <c r="E491" s="134">
        <v>150000</v>
      </c>
      <c r="F491" s="137">
        <v>150000</v>
      </c>
    </row>
    <row r="492" spans="1:6" ht="38.25" x14ac:dyDescent="0.2">
      <c r="A492" s="52" t="s">
        <v>1502</v>
      </c>
      <c r="B492" s="150" t="s">
        <v>1937</v>
      </c>
      <c r="C492" s="52" t="s">
        <v>1503</v>
      </c>
      <c r="D492" s="52" t="s">
        <v>1314</v>
      </c>
      <c r="E492" s="134">
        <v>150000</v>
      </c>
      <c r="F492" s="137">
        <v>150000</v>
      </c>
    </row>
    <row r="493" spans="1:6" ht="38.25" x14ac:dyDescent="0.2">
      <c r="A493" s="52" t="s">
        <v>1338</v>
      </c>
      <c r="B493" s="150" t="s">
        <v>1937</v>
      </c>
      <c r="C493" s="52" t="s">
        <v>1339</v>
      </c>
      <c r="D493" s="52" t="s">
        <v>1314</v>
      </c>
      <c r="E493" s="134">
        <v>150000</v>
      </c>
      <c r="F493" s="137">
        <v>150000</v>
      </c>
    </row>
    <row r="494" spans="1:6" ht="38.25" x14ac:dyDescent="0.2">
      <c r="A494" s="52" t="s">
        <v>254</v>
      </c>
      <c r="B494" s="150" t="s">
        <v>1937</v>
      </c>
      <c r="C494" s="52" t="s">
        <v>1339</v>
      </c>
      <c r="D494" s="52" t="s">
        <v>1215</v>
      </c>
      <c r="E494" s="195">
        <v>150000</v>
      </c>
      <c r="F494" s="196">
        <v>150000</v>
      </c>
    </row>
    <row r="495" spans="1:6" x14ac:dyDescent="0.2">
      <c r="A495" s="52" t="s">
        <v>2028</v>
      </c>
      <c r="B495" s="150" t="s">
        <v>1937</v>
      </c>
      <c r="C495" s="52" t="s">
        <v>1339</v>
      </c>
      <c r="D495" s="52" t="s">
        <v>380</v>
      </c>
      <c r="E495" s="195">
        <v>150000</v>
      </c>
      <c r="F495" s="196">
        <v>150000</v>
      </c>
    </row>
    <row r="496" spans="1:6" ht="204" x14ac:dyDescent="0.2">
      <c r="A496" s="190" t="s">
        <v>1745</v>
      </c>
      <c r="B496" s="150" t="s">
        <v>1528</v>
      </c>
      <c r="C496" s="52" t="s">
        <v>1314</v>
      </c>
      <c r="D496" s="52" t="s">
        <v>1314</v>
      </c>
      <c r="E496" s="195">
        <v>140140</v>
      </c>
      <c r="F496" s="196">
        <v>140140</v>
      </c>
    </row>
    <row r="497" spans="1:6" ht="38.25" x14ac:dyDescent="0.2">
      <c r="A497" s="52" t="s">
        <v>1502</v>
      </c>
      <c r="B497" s="150" t="s">
        <v>1528</v>
      </c>
      <c r="C497" s="52" t="s">
        <v>1503</v>
      </c>
      <c r="D497" s="52" t="s">
        <v>1314</v>
      </c>
      <c r="E497" s="195">
        <v>140140</v>
      </c>
      <c r="F497" s="196">
        <v>140140</v>
      </c>
    </row>
    <row r="498" spans="1:6" ht="38.25" x14ac:dyDescent="0.2">
      <c r="A498" s="52" t="s">
        <v>1338</v>
      </c>
      <c r="B498" s="150" t="s">
        <v>1528</v>
      </c>
      <c r="C498" s="52" t="s">
        <v>1339</v>
      </c>
      <c r="D498" s="52" t="s">
        <v>1314</v>
      </c>
      <c r="E498" s="195">
        <v>140140</v>
      </c>
      <c r="F498" s="196">
        <v>140140</v>
      </c>
    </row>
    <row r="499" spans="1:6" ht="38.25" x14ac:dyDescent="0.2">
      <c r="A499" s="52" t="s">
        <v>254</v>
      </c>
      <c r="B499" s="150" t="s">
        <v>1528</v>
      </c>
      <c r="C499" s="52" t="s">
        <v>1339</v>
      </c>
      <c r="D499" s="52" t="s">
        <v>1215</v>
      </c>
      <c r="E499" s="195">
        <v>140140</v>
      </c>
      <c r="F499" s="196">
        <v>140140</v>
      </c>
    </row>
    <row r="500" spans="1:6" x14ac:dyDescent="0.2">
      <c r="A500" s="52" t="s">
        <v>2028</v>
      </c>
      <c r="B500" s="150" t="s">
        <v>1528</v>
      </c>
      <c r="C500" s="52" t="s">
        <v>1339</v>
      </c>
      <c r="D500" s="52" t="s">
        <v>380</v>
      </c>
      <c r="E500" s="195">
        <v>140140</v>
      </c>
      <c r="F500" s="196">
        <v>140140</v>
      </c>
    </row>
    <row r="501" spans="1:6" ht="38.25" x14ac:dyDescent="0.2">
      <c r="A501" s="52" t="s">
        <v>500</v>
      </c>
      <c r="B501" s="150" t="s">
        <v>1040</v>
      </c>
      <c r="C501" s="52" t="s">
        <v>1314</v>
      </c>
      <c r="D501" s="52" t="s">
        <v>1314</v>
      </c>
      <c r="E501" s="195">
        <v>30988942</v>
      </c>
      <c r="F501" s="196">
        <v>30988942</v>
      </c>
    </row>
    <row r="502" spans="1:6" ht="165.75" x14ac:dyDescent="0.2">
      <c r="A502" s="52" t="s">
        <v>386</v>
      </c>
      <c r="B502" s="150" t="s">
        <v>715</v>
      </c>
      <c r="C502" s="52" t="s">
        <v>1314</v>
      </c>
      <c r="D502" s="52" t="s">
        <v>1314</v>
      </c>
      <c r="E502" s="195">
        <v>21631235</v>
      </c>
      <c r="F502" s="196">
        <v>21631235</v>
      </c>
    </row>
    <row r="503" spans="1:6" ht="76.5" x14ac:dyDescent="0.2">
      <c r="A503" s="52" t="s">
        <v>1501</v>
      </c>
      <c r="B503" s="150" t="s">
        <v>715</v>
      </c>
      <c r="C503" s="52" t="s">
        <v>290</v>
      </c>
      <c r="D503" s="52" t="s">
        <v>1314</v>
      </c>
      <c r="E503" s="195">
        <v>19172042</v>
      </c>
      <c r="F503" s="196">
        <v>19172042</v>
      </c>
    </row>
    <row r="504" spans="1:6" ht="25.5" x14ac:dyDescent="0.2">
      <c r="A504" s="52" t="s">
        <v>1331</v>
      </c>
      <c r="B504" s="150" t="s">
        <v>715</v>
      </c>
      <c r="C504" s="52" t="s">
        <v>140</v>
      </c>
      <c r="D504" s="52" t="s">
        <v>1314</v>
      </c>
      <c r="E504" s="195">
        <v>19172042</v>
      </c>
      <c r="F504" s="196">
        <v>19172042</v>
      </c>
    </row>
    <row r="505" spans="1:6" ht="38.25" x14ac:dyDescent="0.2">
      <c r="A505" s="52" t="s">
        <v>254</v>
      </c>
      <c r="B505" s="150" t="s">
        <v>715</v>
      </c>
      <c r="C505" s="52" t="s">
        <v>140</v>
      </c>
      <c r="D505" s="52" t="s">
        <v>1215</v>
      </c>
      <c r="E505" s="195">
        <v>19172042</v>
      </c>
      <c r="F505" s="196">
        <v>19172042</v>
      </c>
    </row>
    <row r="506" spans="1:6" ht="51" x14ac:dyDescent="0.2">
      <c r="A506" s="52" t="s">
        <v>2032</v>
      </c>
      <c r="B506" s="150" t="s">
        <v>715</v>
      </c>
      <c r="C506" s="52" t="s">
        <v>140</v>
      </c>
      <c r="D506" s="52" t="s">
        <v>385</v>
      </c>
      <c r="E506" s="195">
        <v>19172042</v>
      </c>
      <c r="F506" s="196">
        <v>19172042</v>
      </c>
    </row>
    <row r="507" spans="1:6" ht="38.25" x14ac:dyDescent="0.2">
      <c r="A507" s="52" t="s">
        <v>1502</v>
      </c>
      <c r="B507" s="150" t="s">
        <v>715</v>
      </c>
      <c r="C507" s="52" t="s">
        <v>1503</v>
      </c>
      <c r="D507" s="52" t="s">
        <v>1314</v>
      </c>
      <c r="E507" s="195">
        <v>2459193</v>
      </c>
      <c r="F507" s="196">
        <v>2459193</v>
      </c>
    </row>
    <row r="508" spans="1:6" ht="38.25" x14ac:dyDescent="0.2">
      <c r="A508" s="52" t="s">
        <v>1338</v>
      </c>
      <c r="B508" s="150" t="s">
        <v>715</v>
      </c>
      <c r="C508" s="52" t="s">
        <v>1339</v>
      </c>
      <c r="D508" s="52" t="s">
        <v>1314</v>
      </c>
      <c r="E508" s="195">
        <v>2459193</v>
      </c>
      <c r="F508" s="196">
        <v>2459193</v>
      </c>
    </row>
    <row r="509" spans="1:6" ht="38.25" x14ac:dyDescent="0.2">
      <c r="A509" s="52" t="s">
        <v>254</v>
      </c>
      <c r="B509" s="150" t="s">
        <v>715</v>
      </c>
      <c r="C509" s="52" t="s">
        <v>1339</v>
      </c>
      <c r="D509" s="52" t="s">
        <v>1215</v>
      </c>
      <c r="E509" s="195">
        <v>2459193</v>
      </c>
      <c r="F509" s="196">
        <v>2459193</v>
      </c>
    </row>
    <row r="510" spans="1:6" ht="51" x14ac:dyDescent="0.2">
      <c r="A510" s="52" t="s">
        <v>2032</v>
      </c>
      <c r="B510" s="150" t="s">
        <v>715</v>
      </c>
      <c r="C510" s="52" t="s">
        <v>1339</v>
      </c>
      <c r="D510" s="52" t="s">
        <v>385</v>
      </c>
      <c r="E510" s="195">
        <v>2459193</v>
      </c>
      <c r="F510" s="196">
        <v>2459193</v>
      </c>
    </row>
    <row r="511" spans="1:6" ht="165.75" x14ac:dyDescent="0.2">
      <c r="A511" s="52" t="s">
        <v>1555</v>
      </c>
      <c r="B511" s="150" t="s">
        <v>1556</v>
      </c>
      <c r="C511" s="52" t="s">
        <v>1314</v>
      </c>
      <c r="D511" s="52" t="s">
        <v>1314</v>
      </c>
      <c r="E511" s="195">
        <v>1282300</v>
      </c>
      <c r="F511" s="196">
        <v>1282300</v>
      </c>
    </row>
    <row r="512" spans="1:6" ht="76.5" x14ac:dyDescent="0.2">
      <c r="A512" s="52" t="s">
        <v>1501</v>
      </c>
      <c r="B512" s="150" t="s">
        <v>1556</v>
      </c>
      <c r="C512" s="52" t="s">
        <v>290</v>
      </c>
      <c r="D512" s="52" t="s">
        <v>1314</v>
      </c>
      <c r="E512" s="195">
        <v>1282300</v>
      </c>
      <c r="F512" s="196">
        <v>1282300</v>
      </c>
    </row>
    <row r="513" spans="1:6" ht="25.5" x14ac:dyDescent="0.2">
      <c r="A513" s="52" t="s">
        <v>1331</v>
      </c>
      <c r="B513" s="150" t="s">
        <v>1556</v>
      </c>
      <c r="C513" s="52" t="s">
        <v>140</v>
      </c>
      <c r="D513" s="52" t="s">
        <v>1314</v>
      </c>
      <c r="E513" s="195">
        <v>1282300</v>
      </c>
      <c r="F513" s="196">
        <v>1282300</v>
      </c>
    </row>
    <row r="514" spans="1:6" ht="38.25" x14ac:dyDescent="0.2">
      <c r="A514" s="52" t="s">
        <v>254</v>
      </c>
      <c r="B514" s="150" t="s">
        <v>1556</v>
      </c>
      <c r="C514" s="52" t="s">
        <v>140</v>
      </c>
      <c r="D514" s="52" t="s">
        <v>1215</v>
      </c>
      <c r="E514" s="195">
        <v>1282300</v>
      </c>
      <c r="F514" s="196">
        <v>1282300</v>
      </c>
    </row>
    <row r="515" spans="1:6" ht="51" x14ac:dyDescent="0.2">
      <c r="A515" s="52" t="s">
        <v>2032</v>
      </c>
      <c r="B515" s="150" t="s">
        <v>1556</v>
      </c>
      <c r="C515" s="52" t="s">
        <v>140</v>
      </c>
      <c r="D515" s="52" t="s">
        <v>385</v>
      </c>
      <c r="E515" s="195">
        <v>1282300</v>
      </c>
      <c r="F515" s="196">
        <v>1282300</v>
      </c>
    </row>
    <row r="516" spans="1:6" ht="153" x14ac:dyDescent="0.2">
      <c r="A516" s="52" t="s">
        <v>1557</v>
      </c>
      <c r="B516" s="150" t="s">
        <v>1558</v>
      </c>
      <c r="C516" s="52" t="s">
        <v>1314</v>
      </c>
      <c r="D516" s="52" t="s">
        <v>1314</v>
      </c>
      <c r="E516" s="195">
        <v>365000</v>
      </c>
      <c r="F516" s="196">
        <v>365000</v>
      </c>
    </row>
    <row r="517" spans="1:6" ht="76.5" x14ac:dyDescent="0.2">
      <c r="A517" s="52" t="s">
        <v>1501</v>
      </c>
      <c r="B517" s="150" t="s">
        <v>1558</v>
      </c>
      <c r="C517" s="52" t="s">
        <v>290</v>
      </c>
      <c r="D517" s="52" t="s">
        <v>1314</v>
      </c>
      <c r="E517" s="195">
        <v>365000</v>
      </c>
      <c r="F517" s="196">
        <v>365000</v>
      </c>
    </row>
    <row r="518" spans="1:6" ht="25.5" x14ac:dyDescent="0.2">
      <c r="A518" s="52" t="s">
        <v>1331</v>
      </c>
      <c r="B518" s="150" t="s">
        <v>1558</v>
      </c>
      <c r="C518" s="52" t="s">
        <v>140</v>
      </c>
      <c r="D518" s="52" t="s">
        <v>1314</v>
      </c>
      <c r="E518" s="195">
        <v>365000</v>
      </c>
      <c r="F518" s="196">
        <v>365000</v>
      </c>
    </row>
    <row r="519" spans="1:6" ht="38.25" x14ac:dyDescent="0.2">
      <c r="A519" s="52" t="s">
        <v>254</v>
      </c>
      <c r="B519" s="150" t="s">
        <v>1558</v>
      </c>
      <c r="C519" s="52" t="s">
        <v>140</v>
      </c>
      <c r="D519" s="52" t="s">
        <v>1215</v>
      </c>
      <c r="E519" s="195">
        <v>365000</v>
      </c>
      <c r="F519" s="196">
        <v>365000</v>
      </c>
    </row>
    <row r="520" spans="1:6" ht="51" x14ac:dyDescent="0.2">
      <c r="A520" s="52" t="s">
        <v>2032</v>
      </c>
      <c r="B520" s="150" t="s">
        <v>1558</v>
      </c>
      <c r="C520" s="52" t="s">
        <v>140</v>
      </c>
      <c r="D520" s="52" t="s">
        <v>385</v>
      </c>
      <c r="E520" s="195">
        <v>365000</v>
      </c>
      <c r="F520" s="196">
        <v>365000</v>
      </c>
    </row>
    <row r="521" spans="1:6" ht="178.5" x14ac:dyDescent="0.2">
      <c r="A521" s="52" t="s">
        <v>2104</v>
      </c>
      <c r="B521" s="150" t="s">
        <v>717</v>
      </c>
      <c r="C521" s="52" t="s">
        <v>1314</v>
      </c>
      <c r="D521" s="52" t="s">
        <v>1314</v>
      </c>
      <c r="E521" s="195">
        <v>2563670</v>
      </c>
      <c r="F521" s="196">
        <v>2563670</v>
      </c>
    </row>
    <row r="522" spans="1:6" ht="38.25" x14ac:dyDescent="0.2">
      <c r="A522" s="52" t="s">
        <v>1502</v>
      </c>
      <c r="B522" s="150" t="s">
        <v>717</v>
      </c>
      <c r="C522" s="52" t="s">
        <v>1503</v>
      </c>
      <c r="D522" s="52" t="s">
        <v>1314</v>
      </c>
      <c r="E522" s="195">
        <v>2563670</v>
      </c>
      <c r="F522" s="196">
        <v>2563670</v>
      </c>
    </row>
    <row r="523" spans="1:6" ht="38.25" x14ac:dyDescent="0.2">
      <c r="A523" s="52" t="s">
        <v>1338</v>
      </c>
      <c r="B523" s="150" t="s">
        <v>717</v>
      </c>
      <c r="C523" s="52" t="s">
        <v>1339</v>
      </c>
      <c r="D523" s="52" t="s">
        <v>1314</v>
      </c>
      <c r="E523" s="195">
        <v>2563670</v>
      </c>
      <c r="F523" s="196">
        <v>2563670</v>
      </c>
    </row>
    <row r="524" spans="1:6" ht="38.25" x14ac:dyDescent="0.2">
      <c r="A524" s="52" t="s">
        <v>254</v>
      </c>
      <c r="B524" s="150" t="s">
        <v>717</v>
      </c>
      <c r="C524" s="52" t="s">
        <v>1339</v>
      </c>
      <c r="D524" s="52" t="s">
        <v>1215</v>
      </c>
      <c r="E524" s="195">
        <v>2563670</v>
      </c>
      <c r="F524" s="196">
        <v>2563670</v>
      </c>
    </row>
    <row r="525" spans="1:6" ht="51" x14ac:dyDescent="0.2">
      <c r="A525" s="52" t="s">
        <v>2032</v>
      </c>
      <c r="B525" s="150" t="s">
        <v>717</v>
      </c>
      <c r="C525" s="52" t="s">
        <v>1339</v>
      </c>
      <c r="D525" s="52" t="s">
        <v>385</v>
      </c>
      <c r="E525" s="195">
        <v>2563670</v>
      </c>
      <c r="F525" s="196">
        <v>2563670</v>
      </c>
    </row>
    <row r="526" spans="1:6" ht="165.75" x14ac:dyDescent="0.2">
      <c r="A526" s="52" t="s">
        <v>1559</v>
      </c>
      <c r="B526" s="150" t="s">
        <v>1560</v>
      </c>
      <c r="C526" s="52" t="s">
        <v>1314</v>
      </c>
      <c r="D526" s="52" t="s">
        <v>1314</v>
      </c>
      <c r="E526" s="195">
        <v>657395</v>
      </c>
      <c r="F526" s="196">
        <v>657395</v>
      </c>
    </row>
    <row r="527" spans="1:6" ht="38.25" x14ac:dyDescent="0.2">
      <c r="A527" s="190" t="s">
        <v>1502</v>
      </c>
      <c r="B527" s="150" t="s">
        <v>1560</v>
      </c>
      <c r="C527" s="52" t="s">
        <v>1503</v>
      </c>
      <c r="D527" s="52" t="s">
        <v>1314</v>
      </c>
      <c r="E527" s="195">
        <v>657395</v>
      </c>
      <c r="F527" s="196">
        <v>657395</v>
      </c>
    </row>
    <row r="528" spans="1:6" ht="38.25" x14ac:dyDescent="0.2">
      <c r="A528" s="52" t="s">
        <v>1338</v>
      </c>
      <c r="B528" s="150" t="s">
        <v>1560</v>
      </c>
      <c r="C528" s="52" t="s">
        <v>1339</v>
      </c>
      <c r="D528" s="52" t="s">
        <v>1314</v>
      </c>
      <c r="E528" s="195">
        <v>657395</v>
      </c>
      <c r="F528" s="196">
        <v>657395</v>
      </c>
    </row>
    <row r="529" spans="1:6" ht="38.25" x14ac:dyDescent="0.2">
      <c r="A529" s="52" t="s">
        <v>254</v>
      </c>
      <c r="B529" s="150" t="s">
        <v>1560</v>
      </c>
      <c r="C529" s="52" t="s">
        <v>1339</v>
      </c>
      <c r="D529" s="52" t="s">
        <v>1215</v>
      </c>
      <c r="E529" s="195">
        <v>657395</v>
      </c>
      <c r="F529" s="196">
        <v>657395</v>
      </c>
    </row>
    <row r="530" spans="1:6" ht="51" x14ac:dyDescent="0.2">
      <c r="A530" s="52" t="s">
        <v>2032</v>
      </c>
      <c r="B530" s="150" t="s">
        <v>1560</v>
      </c>
      <c r="C530" s="52" t="s">
        <v>1339</v>
      </c>
      <c r="D530" s="52" t="s">
        <v>385</v>
      </c>
      <c r="E530" s="195">
        <v>657395</v>
      </c>
      <c r="F530" s="196">
        <v>657395</v>
      </c>
    </row>
    <row r="531" spans="1:6" ht="127.5" x14ac:dyDescent="0.2">
      <c r="A531" s="52" t="s">
        <v>389</v>
      </c>
      <c r="B531" s="150" t="s">
        <v>718</v>
      </c>
      <c r="C531" s="52" t="s">
        <v>1314</v>
      </c>
      <c r="D531" s="52" t="s">
        <v>1314</v>
      </c>
      <c r="E531" s="195">
        <v>150000</v>
      </c>
      <c r="F531" s="196">
        <v>150000</v>
      </c>
    </row>
    <row r="532" spans="1:6" ht="38.25" x14ac:dyDescent="0.2">
      <c r="A532" s="52" t="s">
        <v>1502</v>
      </c>
      <c r="B532" s="150" t="s">
        <v>718</v>
      </c>
      <c r="C532" s="52" t="s">
        <v>1503</v>
      </c>
      <c r="D532" s="52" t="s">
        <v>1314</v>
      </c>
      <c r="E532" s="195">
        <v>150000</v>
      </c>
      <c r="F532" s="196">
        <v>150000</v>
      </c>
    </row>
    <row r="533" spans="1:6" ht="38.25" x14ac:dyDescent="0.2">
      <c r="A533" s="52" t="s">
        <v>1338</v>
      </c>
      <c r="B533" s="150" t="s">
        <v>718</v>
      </c>
      <c r="C533" s="52" t="s">
        <v>1339</v>
      </c>
      <c r="D533" s="52" t="s">
        <v>1314</v>
      </c>
      <c r="E533" s="195">
        <v>150000</v>
      </c>
      <c r="F533" s="196">
        <v>150000</v>
      </c>
    </row>
    <row r="534" spans="1:6" ht="38.25" x14ac:dyDescent="0.2">
      <c r="A534" s="52" t="s">
        <v>254</v>
      </c>
      <c r="B534" s="150" t="s">
        <v>718</v>
      </c>
      <c r="C534" s="52" t="s">
        <v>1339</v>
      </c>
      <c r="D534" s="52" t="s">
        <v>1215</v>
      </c>
      <c r="E534" s="195">
        <v>150000</v>
      </c>
      <c r="F534" s="196">
        <v>150000</v>
      </c>
    </row>
    <row r="535" spans="1:6" ht="51" x14ac:dyDescent="0.2">
      <c r="A535" s="52" t="s">
        <v>2032</v>
      </c>
      <c r="B535" s="150" t="s">
        <v>718</v>
      </c>
      <c r="C535" s="52" t="s">
        <v>1339</v>
      </c>
      <c r="D535" s="52" t="s">
        <v>385</v>
      </c>
      <c r="E535" s="195">
        <v>150000</v>
      </c>
      <c r="F535" s="196">
        <v>150000</v>
      </c>
    </row>
    <row r="536" spans="1:6" ht="127.5" x14ac:dyDescent="0.2">
      <c r="A536" s="52" t="s">
        <v>390</v>
      </c>
      <c r="B536" s="150" t="s">
        <v>719</v>
      </c>
      <c r="C536" s="52" t="s">
        <v>1314</v>
      </c>
      <c r="D536" s="52" t="s">
        <v>1314</v>
      </c>
      <c r="E536" s="195">
        <v>30500</v>
      </c>
      <c r="F536" s="196">
        <v>30500</v>
      </c>
    </row>
    <row r="537" spans="1:6" ht="38.25" x14ac:dyDescent="0.2">
      <c r="A537" s="52" t="s">
        <v>1502</v>
      </c>
      <c r="B537" s="150" t="s">
        <v>719</v>
      </c>
      <c r="C537" s="52" t="s">
        <v>1503</v>
      </c>
      <c r="D537" s="52" t="s">
        <v>1314</v>
      </c>
      <c r="E537" s="195">
        <v>30500</v>
      </c>
      <c r="F537" s="196">
        <v>30500</v>
      </c>
    </row>
    <row r="538" spans="1:6" ht="38.25" x14ac:dyDescent="0.2">
      <c r="A538" s="52" t="s">
        <v>1338</v>
      </c>
      <c r="B538" s="150" t="s">
        <v>719</v>
      </c>
      <c r="C538" s="52" t="s">
        <v>1339</v>
      </c>
      <c r="D538" s="52" t="s">
        <v>1314</v>
      </c>
      <c r="E538" s="195">
        <v>30500</v>
      </c>
      <c r="F538" s="196">
        <v>30500</v>
      </c>
    </row>
    <row r="539" spans="1:6" ht="38.25" x14ac:dyDescent="0.2">
      <c r="A539" s="52" t="s">
        <v>254</v>
      </c>
      <c r="B539" s="150" t="s">
        <v>719</v>
      </c>
      <c r="C539" s="52" t="s">
        <v>1339</v>
      </c>
      <c r="D539" s="52" t="s">
        <v>1215</v>
      </c>
      <c r="E539" s="195">
        <v>30500</v>
      </c>
      <c r="F539" s="196">
        <v>30500</v>
      </c>
    </row>
    <row r="540" spans="1:6" ht="51" x14ac:dyDescent="0.2">
      <c r="A540" s="52" t="s">
        <v>2032</v>
      </c>
      <c r="B540" s="150" t="s">
        <v>719</v>
      </c>
      <c r="C540" s="52" t="s">
        <v>1339</v>
      </c>
      <c r="D540" s="52" t="s">
        <v>385</v>
      </c>
      <c r="E540" s="195">
        <v>30500</v>
      </c>
      <c r="F540" s="196">
        <v>30500</v>
      </c>
    </row>
    <row r="541" spans="1:6" ht="114.75" x14ac:dyDescent="0.2">
      <c r="A541" s="52" t="s">
        <v>373</v>
      </c>
      <c r="B541" s="150" t="s">
        <v>702</v>
      </c>
      <c r="C541" s="52" t="s">
        <v>1314</v>
      </c>
      <c r="D541" s="52" t="s">
        <v>1314</v>
      </c>
      <c r="E541" s="195">
        <v>73395</v>
      </c>
      <c r="F541" s="196">
        <v>73395</v>
      </c>
    </row>
    <row r="542" spans="1:6" ht="38.25" x14ac:dyDescent="0.2">
      <c r="A542" s="52" t="s">
        <v>1502</v>
      </c>
      <c r="B542" s="150" t="s">
        <v>702</v>
      </c>
      <c r="C542" s="52" t="s">
        <v>1503</v>
      </c>
      <c r="D542" s="52" t="s">
        <v>1314</v>
      </c>
      <c r="E542" s="195">
        <v>73395</v>
      </c>
      <c r="F542" s="196">
        <v>73395</v>
      </c>
    </row>
    <row r="543" spans="1:6" ht="38.25" x14ac:dyDescent="0.2">
      <c r="A543" s="52" t="s">
        <v>1338</v>
      </c>
      <c r="B543" s="150" t="s">
        <v>702</v>
      </c>
      <c r="C543" s="52" t="s">
        <v>1339</v>
      </c>
      <c r="D543" s="52" t="s">
        <v>1314</v>
      </c>
      <c r="E543" s="195">
        <v>73395</v>
      </c>
      <c r="F543" s="196">
        <v>73395</v>
      </c>
    </row>
    <row r="544" spans="1:6" x14ac:dyDescent="0.2">
      <c r="A544" s="52" t="s">
        <v>250</v>
      </c>
      <c r="B544" s="150" t="s">
        <v>702</v>
      </c>
      <c r="C544" s="52" t="s">
        <v>1339</v>
      </c>
      <c r="D544" s="52" t="s">
        <v>1212</v>
      </c>
      <c r="E544" s="195">
        <v>73395</v>
      </c>
      <c r="F544" s="196">
        <v>73395</v>
      </c>
    </row>
    <row r="545" spans="1:6" ht="76.5" x14ac:dyDescent="0.2">
      <c r="A545" s="52" t="s">
        <v>252</v>
      </c>
      <c r="B545" s="150" t="s">
        <v>702</v>
      </c>
      <c r="C545" s="52" t="s">
        <v>1339</v>
      </c>
      <c r="D545" s="52" t="s">
        <v>372</v>
      </c>
      <c r="E545" s="195">
        <v>73395</v>
      </c>
      <c r="F545" s="196">
        <v>73395</v>
      </c>
    </row>
    <row r="546" spans="1:6" ht="140.25" x14ac:dyDescent="0.2">
      <c r="A546" s="52" t="s">
        <v>2033</v>
      </c>
      <c r="B546" s="150" t="s">
        <v>2034</v>
      </c>
      <c r="C546" s="52" t="s">
        <v>1314</v>
      </c>
      <c r="D546" s="52" t="s">
        <v>1314</v>
      </c>
      <c r="E546" s="195">
        <v>124000</v>
      </c>
      <c r="F546" s="196">
        <v>124000</v>
      </c>
    </row>
    <row r="547" spans="1:6" ht="38.25" x14ac:dyDescent="0.2">
      <c r="A547" s="52" t="s">
        <v>1502</v>
      </c>
      <c r="B547" s="150" t="s">
        <v>2034</v>
      </c>
      <c r="C547" s="52" t="s">
        <v>1503</v>
      </c>
      <c r="D547" s="52" t="s">
        <v>1314</v>
      </c>
      <c r="E547" s="195">
        <v>124000</v>
      </c>
      <c r="F547" s="196">
        <v>124000</v>
      </c>
    </row>
    <row r="548" spans="1:6" ht="38.25" x14ac:dyDescent="0.2">
      <c r="A548" s="52" t="s">
        <v>1338</v>
      </c>
      <c r="B548" s="150" t="s">
        <v>2034</v>
      </c>
      <c r="C548" s="52" t="s">
        <v>1339</v>
      </c>
      <c r="D548" s="52" t="s">
        <v>1314</v>
      </c>
      <c r="E548" s="195">
        <v>124000</v>
      </c>
      <c r="F548" s="196">
        <v>124000</v>
      </c>
    </row>
    <row r="549" spans="1:6" ht="38.25" x14ac:dyDescent="0.2">
      <c r="A549" s="52" t="s">
        <v>254</v>
      </c>
      <c r="B549" s="150" t="s">
        <v>2034</v>
      </c>
      <c r="C549" s="52" t="s">
        <v>1339</v>
      </c>
      <c r="D549" s="52" t="s">
        <v>1215</v>
      </c>
      <c r="E549" s="195">
        <v>124000</v>
      </c>
      <c r="F549" s="196">
        <v>124000</v>
      </c>
    </row>
    <row r="550" spans="1:6" ht="51" x14ac:dyDescent="0.2">
      <c r="A550" s="52" t="s">
        <v>2032</v>
      </c>
      <c r="B550" s="150" t="s">
        <v>2034</v>
      </c>
      <c r="C550" s="52" t="s">
        <v>1339</v>
      </c>
      <c r="D550" s="52" t="s">
        <v>385</v>
      </c>
      <c r="E550" s="195">
        <v>124000</v>
      </c>
      <c r="F550" s="196">
        <v>124000</v>
      </c>
    </row>
    <row r="551" spans="1:6" ht="127.5" x14ac:dyDescent="0.2">
      <c r="A551" s="52" t="s">
        <v>1696</v>
      </c>
      <c r="B551" s="150" t="s">
        <v>1380</v>
      </c>
      <c r="C551" s="52" t="s">
        <v>1314</v>
      </c>
      <c r="D551" s="52" t="s">
        <v>1314</v>
      </c>
      <c r="E551" s="195">
        <v>4102441</v>
      </c>
      <c r="F551" s="196">
        <v>4102441</v>
      </c>
    </row>
    <row r="552" spans="1:6" x14ac:dyDescent="0.2">
      <c r="A552" s="52" t="s">
        <v>1512</v>
      </c>
      <c r="B552" s="150" t="s">
        <v>1380</v>
      </c>
      <c r="C552" s="52" t="s">
        <v>1513</v>
      </c>
      <c r="D552" s="52" t="s">
        <v>1314</v>
      </c>
      <c r="E552" s="195">
        <v>4102441</v>
      </c>
      <c r="F552" s="196">
        <v>4102441</v>
      </c>
    </row>
    <row r="553" spans="1:6" x14ac:dyDescent="0.2">
      <c r="A553" s="52" t="s">
        <v>1567</v>
      </c>
      <c r="B553" s="150" t="s">
        <v>1380</v>
      </c>
      <c r="C553" s="52" t="s">
        <v>1568</v>
      </c>
      <c r="D553" s="52" t="s">
        <v>1314</v>
      </c>
      <c r="E553" s="195">
        <v>4102441</v>
      </c>
      <c r="F553" s="196">
        <v>4102441</v>
      </c>
    </row>
    <row r="554" spans="1:6" ht="38.25" x14ac:dyDescent="0.2">
      <c r="A554" s="52" t="s">
        <v>254</v>
      </c>
      <c r="B554" s="150" t="s">
        <v>1380</v>
      </c>
      <c r="C554" s="52" t="s">
        <v>1568</v>
      </c>
      <c r="D554" s="52" t="s">
        <v>1215</v>
      </c>
      <c r="E554" s="195">
        <v>4102441</v>
      </c>
      <c r="F554" s="196">
        <v>4102441</v>
      </c>
    </row>
    <row r="555" spans="1:6" ht="51" x14ac:dyDescent="0.2">
      <c r="A555" s="52" t="s">
        <v>2032</v>
      </c>
      <c r="B555" s="150" t="s">
        <v>1380</v>
      </c>
      <c r="C555" s="52" t="s">
        <v>1568</v>
      </c>
      <c r="D555" s="52" t="s">
        <v>385</v>
      </c>
      <c r="E555" s="195">
        <v>4102441</v>
      </c>
      <c r="F555" s="196">
        <v>4102441</v>
      </c>
    </row>
    <row r="556" spans="1:6" ht="114.75" x14ac:dyDescent="0.2">
      <c r="A556" s="52" t="s">
        <v>1677</v>
      </c>
      <c r="B556" s="150" t="s">
        <v>1678</v>
      </c>
      <c r="C556" s="52" t="s">
        <v>1314</v>
      </c>
      <c r="D556" s="52" t="s">
        <v>1314</v>
      </c>
      <c r="E556" s="195">
        <v>9006</v>
      </c>
      <c r="F556" s="196">
        <v>9006</v>
      </c>
    </row>
    <row r="557" spans="1:6" ht="38.25" x14ac:dyDescent="0.2">
      <c r="A557" s="52" t="s">
        <v>1502</v>
      </c>
      <c r="B557" s="150" t="s">
        <v>1678</v>
      </c>
      <c r="C557" s="52" t="s">
        <v>1503</v>
      </c>
      <c r="D557" s="52" t="s">
        <v>1314</v>
      </c>
      <c r="E557" s="195">
        <v>9006</v>
      </c>
      <c r="F557" s="196">
        <v>9006</v>
      </c>
    </row>
    <row r="558" spans="1:6" ht="38.25" x14ac:dyDescent="0.2">
      <c r="A558" s="52" t="s">
        <v>1338</v>
      </c>
      <c r="B558" s="150" t="s">
        <v>1678</v>
      </c>
      <c r="C558" s="52" t="s">
        <v>1339</v>
      </c>
      <c r="D558" s="52" t="s">
        <v>1314</v>
      </c>
      <c r="E558" s="195">
        <v>9006</v>
      </c>
      <c r="F558" s="196">
        <v>9006</v>
      </c>
    </row>
    <row r="559" spans="1:6" ht="38.25" x14ac:dyDescent="0.2">
      <c r="A559" s="52" t="s">
        <v>254</v>
      </c>
      <c r="B559" s="150" t="s">
        <v>1678</v>
      </c>
      <c r="C559" s="52" t="s">
        <v>1339</v>
      </c>
      <c r="D559" s="52" t="s">
        <v>1215</v>
      </c>
      <c r="E559" s="195">
        <v>9006</v>
      </c>
      <c r="F559" s="196">
        <v>9006</v>
      </c>
    </row>
    <row r="560" spans="1:6" ht="51" x14ac:dyDescent="0.2">
      <c r="A560" s="52" t="s">
        <v>2032</v>
      </c>
      <c r="B560" s="150" t="s">
        <v>1678</v>
      </c>
      <c r="C560" s="52" t="s">
        <v>1339</v>
      </c>
      <c r="D560" s="52" t="s">
        <v>385</v>
      </c>
      <c r="E560" s="195">
        <v>9006</v>
      </c>
      <c r="F560" s="196">
        <v>9006</v>
      </c>
    </row>
    <row r="561" spans="1:6" ht="51" x14ac:dyDescent="0.2">
      <c r="A561" s="52" t="s">
        <v>1527</v>
      </c>
      <c r="B561" s="150" t="s">
        <v>1272</v>
      </c>
      <c r="C561" s="52" t="s">
        <v>1314</v>
      </c>
      <c r="D561" s="52" t="s">
        <v>1314</v>
      </c>
      <c r="E561" s="195">
        <v>215000</v>
      </c>
      <c r="F561" s="196">
        <v>215000</v>
      </c>
    </row>
    <row r="562" spans="1:6" ht="127.5" x14ac:dyDescent="0.2">
      <c r="A562" s="52" t="s">
        <v>2026</v>
      </c>
      <c r="B562" s="150" t="s">
        <v>2027</v>
      </c>
      <c r="C562" s="52" t="s">
        <v>1314</v>
      </c>
      <c r="D562" s="52" t="s">
        <v>1314</v>
      </c>
      <c r="E562" s="195">
        <v>215000</v>
      </c>
      <c r="F562" s="196">
        <v>215000</v>
      </c>
    </row>
    <row r="563" spans="1:6" ht="38.25" x14ac:dyDescent="0.2">
      <c r="A563" s="52" t="s">
        <v>1502</v>
      </c>
      <c r="B563" s="150" t="s">
        <v>2027</v>
      </c>
      <c r="C563" s="52" t="s">
        <v>1503</v>
      </c>
      <c r="D563" s="52" t="s">
        <v>1314</v>
      </c>
      <c r="E563" s="195">
        <v>215000</v>
      </c>
      <c r="F563" s="196">
        <v>215000</v>
      </c>
    </row>
    <row r="564" spans="1:6" ht="38.25" x14ac:dyDescent="0.2">
      <c r="A564" s="52" t="s">
        <v>1338</v>
      </c>
      <c r="B564" s="150" t="s">
        <v>2027</v>
      </c>
      <c r="C564" s="52" t="s">
        <v>1339</v>
      </c>
      <c r="D564" s="52" t="s">
        <v>1314</v>
      </c>
      <c r="E564" s="195">
        <v>215000</v>
      </c>
      <c r="F564" s="196">
        <v>215000</v>
      </c>
    </row>
    <row r="565" spans="1:6" x14ac:dyDescent="0.2">
      <c r="A565" s="52" t="s">
        <v>250</v>
      </c>
      <c r="B565" s="150" t="s">
        <v>2027</v>
      </c>
      <c r="C565" s="52" t="s">
        <v>1339</v>
      </c>
      <c r="D565" s="52" t="s">
        <v>1212</v>
      </c>
      <c r="E565" s="195">
        <v>215000</v>
      </c>
      <c r="F565" s="196">
        <v>215000</v>
      </c>
    </row>
    <row r="566" spans="1:6" x14ac:dyDescent="0.2">
      <c r="A566" s="52" t="s">
        <v>233</v>
      </c>
      <c r="B566" s="150" t="s">
        <v>2027</v>
      </c>
      <c r="C566" s="52" t="s">
        <v>1339</v>
      </c>
      <c r="D566" s="52" t="s">
        <v>376</v>
      </c>
      <c r="E566" s="195">
        <v>215000</v>
      </c>
      <c r="F566" s="196">
        <v>215000</v>
      </c>
    </row>
    <row r="567" spans="1:6" ht="25.5" x14ac:dyDescent="0.2">
      <c r="A567" s="52" t="s">
        <v>502</v>
      </c>
      <c r="B567" s="150" t="s">
        <v>1041</v>
      </c>
      <c r="C567" s="52" t="s">
        <v>1314</v>
      </c>
      <c r="D567" s="52" t="s">
        <v>1314</v>
      </c>
      <c r="E567" s="195">
        <v>260276795</v>
      </c>
      <c r="F567" s="196">
        <v>260276795</v>
      </c>
    </row>
    <row r="568" spans="1:6" x14ac:dyDescent="0.2">
      <c r="A568" s="52" t="s">
        <v>503</v>
      </c>
      <c r="B568" s="150" t="s">
        <v>1042</v>
      </c>
      <c r="C568" s="52" t="s">
        <v>1314</v>
      </c>
      <c r="D568" s="52" t="s">
        <v>1314</v>
      </c>
      <c r="E568" s="195">
        <v>41303567</v>
      </c>
      <c r="F568" s="196">
        <v>41303567</v>
      </c>
    </row>
    <row r="569" spans="1:6" ht="114.75" x14ac:dyDescent="0.2">
      <c r="A569" s="52" t="s">
        <v>437</v>
      </c>
      <c r="B569" s="150" t="s">
        <v>765</v>
      </c>
      <c r="C569" s="52" t="s">
        <v>1314</v>
      </c>
      <c r="D569" s="52" t="s">
        <v>1314</v>
      </c>
      <c r="E569" s="195">
        <v>36145763</v>
      </c>
      <c r="F569" s="196">
        <v>36145763</v>
      </c>
    </row>
    <row r="570" spans="1:6" ht="38.25" x14ac:dyDescent="0.2">
      <c r="A570" s="52" t="s">
        <v>1510</v>
      </c>
      <c r="B570" s="150" t="s">
        <v>765</v>
      </c>
      <c r="C570" s="52" t="s">
        <v>1511</v>
      </c>
      <c r="D570" s="52" t="s">
        <v>1314</v>
      </c>
      <c r="E570" s="195">
        <v>36145763</v>
      </c>
      <c r="F570" s="196">
        <v>36145763</v>
      </c>
    </row>
    <row r="571" spans="1:6" x14ac:dyDescent="0.2">
      <c r="A571" s="52" t="s">
        <v>1340</v>
      </c>
      <c r="B571" s="150" t="s">
        <v>765</v>
      </c>
      <c r="C571" s="52" t="s">
        <v>1341</v>
      </c>
      <c r="D571" s="52" t="s">
        <v>1314</v>
      </c>
      <c r="E571" s="195">
        <v>36145763</v>
      </c>
      <c r="F571" s="196">
        <v>36145763</v>
      </c>
    </row>
    <row r="572" spans="1:6" x14ac:dyDescent="0.2">
      <c r="A572" s="52" t="s">
        <v>266</v>
      </c>
      <c r="B572" s="150" t="s">
        <v>765</v>
      </c>
      <c r="C572" s="52" t="s">
        <v>1341</v>
      </c>
      <c r="D572" s="52" t="s">
        <v>1226</v>
      </c>
      <c r="E572" s="195">
        <v>36145763</v>
      </c>
      <c r="F572" s="196">
        <v>36145763</v>
      </c>
    </row>
    <row r="573" spans="1:6" x14ac:dyDescent="0.2">
      <c r="A573" s="52" t="s">
        <v>222</v>
      </c>
      <c r="B573" s="150" t="s">
        <v>765</v>
      </c>
      <c r="C573" s="52" t="s">
        <v>1341</v>
      </c>
      <c r="D573" s="52" t="s">
        <v>432</v>
      </c>
      <c r="E573" s="195">
        <v>36145763</v>
      </c>
      <c r="F573" s="196">
        <v>36145763</v>
      </c>
    </row>
    <row r="574" spans="1:6" ht="165.75" x14ac:dyDescent="0.2">
      <c r="A574" s="52" t="s">
        <v>438</v>
      </c>
      <c r="B574" s="150" t="s">
        <v>766</v>
      </c>
      <c r="C574" s="52" t="s">
        <v>1314</v>
      </c>
      <c r="D574" s="52" t="s">
        <v>1314</v>
      </c>
      <c r="E574" s="195">
        <v>50000</v>
      </c>
      <c r="F574" s="196">
        <v>50000</v>
      </c>
    </row>
    <row r="575" spans="1:6" ht="38.25" x14ac:dyDescent="0.2">
      <c r="A575" s="52" t="s">
        <v>1510</v>
      </c>
      <c r="B575" s="150" t="s">
        <v>766</v>
      </c>
      <c r="C575" s="52" t="s">
        <v>1511</v>
      </c>
      <c r="D575" s="52" t="s">
        <v>1314</v>
      </c>
      <c r="E575" s="195">
        <v>50000</v>
      </c>
      <c r="F575" s="196">
        <v>50000</v>
      </c>
    </row>
    <row r="576" spans="1:6" x14ac:dyDescent="0.2">
      <c r="A576" s="52" t="s">
        <v>1340</v>
      </c>
      <c r="B576" s="150" t="s">
        <v>766</v>
      </c>
      <c r="C576" s="52" t="s">
        <v>1341</v>
      </c>
      <c r="D576" s="52" t="s">
        <v>1314</v>
      </c>
      <c r="E576" s="195">
        <v>50000</v>
      </c>
      <c r="F576" s="196">
        <v>50000</v>
      </c>
    </row>
    <row r="577" spans="1:6" x14ac:dyDescent="0.2">
      <c r="A577" s="52" t="s">
        <v>266</v>
      </c>
      <c r="B577" s="150" t="s">
        <v>766</v>
      </c>
      <c r="C577" s="52" t="s">
        <v>1341</v>
      </c>
      <c r="D577" s="52" t="s">
        <v>1226</v>
      </c>
      <c r="E577" s="195">
        <v>50000</v>
      </c>
      <c r="F577" s="196">
        <v>50000</v>
      </c>
    </row>
    <row r="578" spans="1:6" x14ac:dyDescent="0.2">
      <c r="A578" s="52" t="s">
        <v>222</v>
      </c>
      <c r="B578" s="150" t="s">
        <v>766</v>
      </c>
      <c r="C578" s="52" t="s">
        <v>1341</v>
      </c>
      <c r="D578" s="52" t="s">
        <v>432</v>
      </c>
      <c r="E578" s="195">
        <v>50000</v>
      </c>
      <c r="F578" s="196">
        <v>50000</v>
      </c>
    </row>
    <row r="579" spans="1:6" ht="114.75" x14ac:dyDescent="0.2">
      <c r="A579" s="52" t="s">
        <v>555</v>
      </c>
      <c r="B579" s="150" t="s">
        <v>767</v>
      </c>
      <c r="C579" s="52" t="s">
        <v>1314</v>
      </c>
      <c r="D579" s="52" t="s">
        <v>1314</v>
      </c>
      <c r="E579" s="195">
        <v>350000</v>
      </c>
      <c r="F579" s="196">
        <v>350000</v>
      </c>
    </row>
    <row r="580" spans="1:6" ht="38.25" x14ac:dyDescent="0.2">
      <c r="A580" s="52" t="s">
        <v>1510</v>
      </c>
      <c r="B580" s="150" t="s">
        <v>767</v>
      </c>
      <c r="C580" s="52" t="s">
        <v>1511</v>
      </c>
      <c r="D580" s="52" t="s">
        <v>1314</v>
      </c>
      <c r="E580" s="195">
        <v>350000</v>
      </c>
      <c r="F580" s="196">
        <v>350000</v>
      </c>
    </row>
    <row r="581" spans="1:6" x14ac:dyDescent="0.2">
      <c r="A581" s="52" t="s">
        <v>1340</v>
      </c>
      <c r="B581" s="150" t="s">
        <v>767</v>
      </c>
      <c r="C581" s="52" t="s">
        <v>1341</v>
      </c>
      <c r="D581" s="52" t="s">
        <v>1314</v>
      </c>
      <c r="E581" s="195">
        <v>350000</v>
      </c>
      <c r="F581" s="196">
        <v>350000</v>
      </c>
    </row>
    <row r="582" spans="1:6" x14ac:dyDescent="0.2">
      <c r="A582" s="52" t="s">
        <v>266</v>
      </c>
      <c r="B582" s="150" t="s">
        <v>767</v>
      </c>
      <c r="C582" s="52" t="s">
        <v>1341</v>
      </c>
      <c r="D582" s="52" t="s">
        <v>1226</v>
      </c>
      <c r="E582" s="195">
        <v>350000</v>
      </c>
      <c r="F582" s="196">
        <v>350000</v>
      </c>
    </row>
    <row r="583" spans="1:6" x14ac:dyDescent="0.2">
      <c r="A583" s="52" t="s">
        <v>222</v>
      </c>
      <c r="B583" s="150" t="s">
        <v>767</v>
      </c>
      <c r="C583" s="52" t="s">
        <v>1341</v>
      </c>
      <c r="D583" s="52" t="s">
        <v>432</v>
      </c>
      <c r="E583" s="195">
        <v>350000</v>
      </c>
      <c r="F583" s="196">
        <v>350000</v>
      </c>
    </row>
    <row r="584" spans="1:6" ht="114.75" x14ac:dyDescent="0.2">
      <c r="A584" s="52" t="s">
        <v>615</v>
      </c>
      <c r="B584" s="150" t="s">
        <v>768</v>
      </c>
      <c r="C584" s="52" t="s">
        <v>1314</v>
      </c>
      <c r="D584" s="52" t="s">
        <v>1314</v>
      </c>
      <c r="E584" s="195">
        <v>2623454</v>
      </c>
      <c r="F584" s="196">
        <v>2623454</v>
      </c>
    </row>
    <row r="585" spans="1:6" ht="38.25" x14ac:dyDescent="0.2">
      <c r="A585" s="52" t="s">
        <v>1510</v>
      </c>
      <c r="B585" s="150" t="s">
        <v>768</v>
      </c>
      <c r="C585" s="52" t="s">
        <v>1511</v>
      </c>
      <c r="D585" s="52" t="s">
        <v>1314</v>
      </c>
      <c r="E585" s="195">
        <v>2623454</v>
      </c>
      <c r="F585" s="196">
        <v>2623454</v>
      </c>
    </row>
    <row r="586" spans="1:6" x14ac:dyDescent="0.2">
      <c r="A586" s="52" t="s">
        <v>1340</v>
      </c>
      <c r="B586" s="150" t="s">
        <v>768</v>
      </c>
      <c r="C586" s="52" t="s">
        <v>1341</v>
      </c>
      <c r="D586" s="52" t="s">
        <v>1314</v>
      </c>
      <c r="E586" s="195">
        <v>2623454</v>
      </c>
      <c r="F586" s="196">
        <v>2623454</v>
      </c>
    </row>
    <row r="587" spans="1:6" x14ac:dyDescent="0.2">
      <c r="A587" s="52" t="s">
        <v>266</v>
      </c>
      <c r="B587" s="150" t="s">
        <v>768</v>
      </c>
      <c r="C587" s="52" t="s">
        <v>1341</v>
      </c>
      <c r="D587" s="52" t="s">
        <v>1226</v>
      </c>
      <c r="E587" s="195">
        <v>2623454</v>
      </c>
      <c r="F587" s="196">
        <v>2623454</v>
      </c>
    </row>
    <row r="588" spans="1:6" x14ac:dyDescent="0.2">
      <c r="A588" s="52" t="s">
        <v>222</v>
      </c>
      <c r="B588" s="150" t="s">
        <v>768</v>
      </c>
      <c r="C588" s="52" t="s">
        <v>1341</v>
      </c>
      <c r="D588" s="52" t="s">
        <v>432</v>
      </c>
      <c r="E588" s="195">
        <v>2623454</v>
      </c>
      <c r="F588" s="196">
        <v>2623454</v>
      </c>
    </row>
    <row r="589" spans="1:6" ht="76.5" x14ac:dyDescent="0.2">
      <c r="A589" s="52" t="s">
        <v>1914</v>
      </c>
      <c r="B589" s="150" t="s">
        <v>1915</v>
      </c>
      <c r="C589" s="52" t="s">
        <v>1314</v>
      </c>
      <c r="D589" s="52" t="s">
        <v>1314</v>
      </c>
      <c r="E589" s="195">
        <v>25100</v>
      </c>
      <c r="F589" s="196">
        <v>25100</v>
      </c>
    </row>
    <row r="590" spans="1:6" ht="38.25" x14ac:dyDescent="0.2">
      <c r="A590" s="52" t="s">
        <v>1510</v>
      </c>
      <c r="B590" s="150" t="s">
        <v>1915</v>
      </c>
      <c r="C590" s="52" t="s">
        <v>1511</v>
      </c>
      <c r="D590" s="52" t="s">
        <v>1314</v>
      </c>
      <c r="E590" s="195">
        <v>25100</v>
      </c>
      <c r="F590" s="196">
        <v>25100</v>
      </c>
    </row>
    <row r="591" spans="1:6" x14ac:dyDescent="0.2">
      <c r="A591" s="52" t="s">
        <v>1340</v>
      </c>
      <c r="B591" s="150" t="s">
        <v>1915</v>
      </c>
      <c r="C591" s="52" t="s">
        <v>1341</v>
      </c>
      <c r="D591" s="52" t="s">
        <v>1314</v>
      </c>
      <c r="E591" s="195">
        <v>25100</v>
      </c>
      <c r="F591" s="196">
        <v>25100</v>
      </c>
    </row>
    <row r="592" spans="1:6" x14ac:dyDescent="0.2">
      <c r="A592" s="52" t="s">
        <v>266</v>
      </c>
      <c r="B592" s="150" t="s">
        <v>1915</v>
      </c>
      <c r="C592" s="52" t="s">
        <v>1341</v>
      </c>
      <c r="D592" s="52" t="s">
        <v>1226</v>
      </c>
      <c r="E592" s="195">
        <v>25100</v>
      </c>
      <c r="F592" s="196">
        <v>25100</v>
      </c>
    </row>
    <row r="593" spans="1:6" x14ac:dyDescent="0.2">
      <c r="A593" s="52" t="s">
        <v>222</v>
      </c>
      <c r="B593" s="150" t="s">
        <v>1915</v>
      </c>
      <c r="C593" s="52" t="s">
        <v>1341</v>
      </c>
      <c r="D593" s="52" t="s">
        <v>432</v>
      </c>
      <c r="E593" s="195">
        <v>25100</v>
      </c>
      <c r="F593" s="196">
        <v>25100</v>
      </c>
    </row>
    <row r="594" spans="1:6" ht="102" x14ac:dyDescent="0.2">
      <c r="A594" s="52" t="s">
        <v>1018</v>
      </c>
      <c r="B594" s="150" t="s">
        <v>1019</v>
      </c>
      <c r="C594" s="52" t="s">
        <v>1314</v>
      </c>
      <c r="D594" s="52" t="s">
        <v>1314</v>
      </c>
      <c r="E594" s="195">
        <v>1150000</v>
      </c>
      <c r="F594" s="196">
        <v>1150000</v>
      </c>
    </row>
    <row r="595" spans="1:6" ht="38.25" x14ac:dyDescent="0.2">
      <c r="A595" s="190" t="s">
        <v>1510</v>
      </c>
      <c r="B595" s="150" t="s">
        <v>1019</v>
      </c>
      <c r="C595" s="52" t="s">
        <v>1511</v>
      </c>
      <c r="D595" s="52" t="s">
        <v>1314</v>
      </c>
      <c r="E595" s="195">
        <v>1150000</v>
      </c>
      <c r="F595" s="196">
        <v>1150000</v>
      </c>
    </row>
    <row r="596" spans="1:6" x14ac:dyDescent="0.2">
      <c r="A596" s="52" t="s">
        <v>1340</v>
      </c>
      <c r="B596" s="150" t="s">
        <v>1019</v>
      </c>
      <c r="C596" s="52" t="s">
        <v>1341</v>
      </c>
      <c r="D596" s="52" t="s">
        <v>1314</v>
      </c>
      <c r="E596" s="195">
        <v>1150000</v>
      </c>
      <c r="F596" s="196">
        <v>1150000</v>
      </c>
    </row>
    <row r="597" spans="1:6" x14ac:dyDescent="0.2">
      <c r="A597" s="52" t="s">
        <v>266</v>
      </c>
      <c r="B597" s="150" t="s">
        <v>1019</v>
      </c>
      <c r="C597" s="52" t="s">
        <v>1341</v>
      </c>
      <c r="D597" s="52" t="s">
        <v>1226</v>
      </c>
      <c r="E597" s="195">
        <v>1150000</v>
      </c>
      <c r="F597" s="196">
        <v>1150000</v>
      </c>
    </row>
    <row r="598" spans="1:6" x14ac:dyDescent="0.2">
      <c r="A598" s="52" t="s">
        <v>222</v>
      </c>
      <c r="B598" s="150" t="s">
        <v>1019</v>
      </c>
      <c r="C598" s="52" t="s">
        <v>1341</v>
      </c>
      <c r="D598" s="52" t="s">
        <v>432</v>
      </c>
      <c r="E598" s="195">
        <v>1150000</v>
      </c>
      <c r="F598" s="196">
        <v>1150000</v>
      </c>
    </row>
    <row r="599" spans="1:6" ht="63.75" x14ac:dyDescent="0.2">
      <c r="A599" s="52" t="s">
        <v>440</v>
      </c>
      <c r="B599" s="150" t="s">
        <v>774</v>
      </c>
      <c r="C599" s="52" t="s">
        <v>1314</v>
      </c>
      <c r="D599" s="52" t="s">
        <v>1314</v>
      </c>
      <c r="E599" s="195">
        <v>270000</v>
      </c>
      <c r="F599" s="196">
        <v>270000</v>
      </c>
    </row>
    <row r="600" spans="1:6" ht="38.25" x14ac:dyDescent="0.2">
      <c r="A600" s="52" t="s">
        <v>1510</v>
      </c>
      <c r="B600" s="150" t="s">
        <v>774</v>
      </c>
      <c r="C600" s="52" t="s">
        <v>1511</v>
      </c>
      <c r="D600" s="52" t="s">
        <v>1314</v>
      </c>
      <c r="E600" s="195">
        <v>270000</v>
      </c>
      <c r="F600" s="196">
        <v>270000</v>
      </c>
    </row>
    <row r="601" spans="1:6" x14ac:dyDescent="0.2">
      <c r="A601" s="52" t="s">
        <v>1340</v>
      </c>
      <c r="B601" s="150" t="s">
        <v>774</v>
      </c>
      <c r="C601" s="52" t="s">
        <v>1341</v>
      </c>
      <c r="D601" s="52" t="s">
        <v>1314</v>
      </c>
      <c r="E601" s="195">
        <v>270000</v>
      </c>
      <c r="F601" s="196">
        <v>270000</v>
      </c>
    </row>
    <row r="602" spans="1:6" x14ac:dyDescent="0.2">
      <c r="A602" s="52" t="s">
        <v>266</v>
      </c>
      <c r="B602" s="150" t="s">
        <v>774</v>
      </c>
      <c r="C602" s="52" t="s">
        <v>1341</v>
      </c>
      <c r="D602" s="52" t="s">
        <v>1226</v>
      </c>
      <c r="E602" s="195">
        <v>270000</v>
      </c>
      <c r="F602" s="196">
        <v>270000</v>
      </c>
    </row>
    <row r="603" spans="1:6" x14ac:dyDescent="0.2">
      <c r="A603" s="52" t="s">
        <v>222</v>
      </c>
      <c r="B603" s="150" t="s">
        <v>774</v>
      </c>
      <c r="C603" s="52" t="s">
        <v>1341</v>
      </c>
      <c r="D603" s="52" t="s">
        <v>432</v>
      </c>
      <c r="E603" s="195">
        <v>270000</v>
      </c>
      <c r="F603" s="196">
        <v>270000</v>
      </c>
    </row>
    <row r="604" spans="1:6" ht="63.75" x14ac:dyDescent="0.2">
      <c r="A604" s="52" t="s">
        <v>441</v>
      </c>
      <c r="B604" s="150" t="s">
        <v>775</v>
      </c>
      <c r="C604" s="52" t="s">
        <v>1314</v>
      </c>
      <c r="D604" s="52" t="s">
        <v>1314</v>
      </c>
      <c r="E604" s="195">
        <v>250000</v>
      </c>
      <c r="F604" s="196">
        <v>250000</v>
      </c>
    </row>
    <row r="605" spans="1:6" ht="38.25" x14ac:dyDescent="0.2">
      <c r="A605" s="52" t="s">
        <v>1510</v>
      </c>
      <c r="B605" s="150" t="s">
        <v>775</v>
      </c>
      <c r="C605" s="52" t="s">
        <v>1511</v>
      </c>
      <c r="D605" s="52" t="s">
        <v>1314</v>
      </c>
      <c r="E605" s="195">
        <v>250000</v>
      </c>
      <c r="F605" s="196">
        <v>250000</v>
      </c>
    </row>
    <row r="606" spans="1:6" x14ac:dyDescent="0.2">
      <c r="A606" s="52" t="s">
        <v>1340</v>
      </c>
      <c r="B606" s="150" t="s">
        <v>775</v>
      </c>
      <c r="C606" s="52" t="s">
        <v>1341</v>
      </c>
      <c r="D606" s="52" t="s">
        <v>1314</v>
      </c>
      <c r="E606" s="195">
        <v>250000</v>
      </c>
      <c r="F606" s="196">
        <v>250000</v>
      </c>
    </row>
    <row r="607" spans="1:6" x14ac:dyDescent="0.2">
      <c r="A607" s="52" t="s">
        <v>266</v>
      </c>
      <c r="B607" s="150" t="s">
        <v>775</v>
      </c>
      <c r="C607" s="52" t="s">
        <v>1341</v>
      </c>
      <c r="D607" s="52" t="s">
        <v>1226</v>
      </c>
      <c r="E607" s="195">
        <v>250000</v>
      </c>
      <c r="F607" s="196">
        <v>250000</v>
      </c>
    </row>
    <row r="608" spans="1:6" x14ac:dyDescent="0.2">
      <c r="A608" s="52" t="s">
        <v>222</v>
      </c>
      <c r="B608" s="150" t="s">
        <v>775</v>
      </c>
      <c r="C608" s="52" t="s">
        <v>1341</v>
      </c>
      <c r="D608" s="52" t="s">
        <v>432</v>
      </c>
      <c r="E608" s="195">
        <v>250000</v>
      </c>
      <c r="F608" s="196">
        <v>250000</v>
      </c>
    </row>
    <row r="609" spans="1:6" ht="63.75" x14ac:dyDescent="0.2">
      <c r="A609" s="52" t="s">
        <v>1730</v>
      </c>
      <c r="B609" s="150" t="s">
        <v>769</v>
      </c>
      <c r="C609" s="52" t="s">
        <v>1314</v>
      </c>
      <c r="D609" s="52" t="s">
        <v>1314</v>
      </c>
      <c r="E609" s="195">
        <v>439250</v>
      </c>
      <c r="F609" s="196">
        <v>439250</v>
      </c>
    </row>
    <row r="610" spans="1:6" ht="38.25" x14ac:dyDescent="0.2">
      <c r="A610" s="52" t="s">
        <v>1510</v>
      </c>
      <c r="B610" s="150" t="s">
        <v>769</v>
      </c>
      <c r="C610" s="52" t="s">
        <v>1511</v>
      </c>
      <c r="D610" s="52" t="s">
        <v>1314</v>
      </c>
      <c r="E610" s="195">
        <v>439250</v>
      </c>
      <c r="F610" s="196">
        <v>439250</v>
      </c>
    </row>
    <row r="611" spans="1:6" x14ac:dyDescent="0.2">
      <c r="A611" s="52" t="s">
        <v>1340</v>
      </c>
      <c r="B611" s="150" t="s">
        <v>769</v>
      </c>
      <c r="C611" s="52" t="s">
        <v>1341</v>
      </c>
      <c r="D611" s="52" t="s">
        <v>1314</v>
      </c>
      <c r="E611" s="195">
        <v>439250</v>
      </c>
      <c r="F611" s="196">
        <v>439250</v>
      </c>
    </row>
    <row r="612" spans="1:6" x14ac:dyDescent="0.2">
      <c r="A612" s="52" t="s">
        <v>266</v>
      </c>
      <c r="B612" s="150" t="s">
        <v>769</v>
      </c>
      <c r="C612" s="52" t="s">
        <v>1341</v>
      </c>
      <c r="D612" s="52" t="s">
        <v>1226</v>
      </c>
      <c r="E612" s="195">
        <v>439250</v>
      </c>
      <c r="F612" s="196">
        <v>439250</v>
      </c>
    </row>
    <row r="613" spans="1:6" x14ac:dyDescent="0.2">
      <c r="A613" s="52" t="s">
        <v>222</v>
      </c>
      <c r="B613" s="150" t="s">
        <v>769</v>
      </c>
      <c r="C613" s="52" t="s">
        <v>1341</v>
      </c>
      <c r="D613" s="52" t="s">
        <v>432</v>
      </c>
      <c r="E613" s="195">
        <v>439250</v>
      </c>
      <c r="F613" s="196">
        <v>439250</v>
      </c>
    </row>
    <row r="614" spans="1:6" ht="25.5" x14ac:dyDescent="0.2">
      <c r="A614" s="52" t="s">
        <v>641</v>
      </c>
      <c r="B614" s="150" t="s">
        <v>1043</v>
      </c>
      <c r="C614" s="52" t="s">
        <v>1314</v>
      </c>
      <c r="D614" s="52" t="s">
        <v>1314</v>
      </c>
      <c r="E614" s="195">
        <v>93467800</v>
      </c>
      <c r="F614" s="196">
        <v>93467800</v>
      </c>
    </row>
    <row r="615" spans="1:6" ht="127.5" x14ac:dyDescent="0.2">
      <c r="A615" s="52" t="s">
        <v>558</v>
      </c>
      <c r="B615" s="150" t="s">
        <v>777</v>
      </c>
      <c r="C615" s="52" t="s">
        <v>1314</v>
      </c>
      <c r="D615" s="52" t="s">
        <v>1314</v>
      </c>
      <c r="E615" s="195">
        <v>67298750</v>
      </c>
      <c r="F615" s="196">
        <v>67298750</v>
      </c>
    </row>
    <row r="616" spans="1:6" ht="38.25" x14ac:dyDescent="0.2">
      <c r="A616" s="52" t="s">
        <v>1510</v>
      </c>
      <c r="B616" s="150" t="s">
        <v>777</v>
      </c>
      <c r="C616" s="52" t="s">
        <v>1511</v>
      </c>
      <c r="D616" s="52" t="s">
        <v>1314</v>
      </c>
      <c r="E616" s="195">
        <v>67298750</v>
      </c>
      <c r="F616" s="196">
        <v>67298750</v>
      </c>
    </row>
    <row r="617" spans="1:6" x14ac:dyDescent="0.2">
      <c r="A617" s="52" t="s">
        <v>1340</v>
      </c>
      <c r="B617" s="150" t="s">
        <v>777</v>
      </c>
      <c r="C617" s="52" t="s">
        <v>1341</v>
      </c>
      <c r="D617" s="52" t="s">
        <v>1314</v>
      </c>
      <c r="E617" s="195">
        <v>67298750</v>
      </c>
      <c r="F617" s="196">
        <v>67298750</v>
      </c>
    </row>
    <row r="618" spans="1:6" x14ac:dyDescent="0.2">
      <c r="A618" s="52" t="s">
        <v>266</v>
      </c>
      <c r="B618" s="150" t="s">
        <v>777</v>
      </c>
      <c r="C618" s="52" t="s">
        <v>1341</v>
      </c>
      <c r="D618" s="52" t="s">
        <v>1226</v>
      </c>
      <c r="E618" s="195">
        <v>67298750</v>
      </c>
      <c r="F618" s="196">
        <v>67298750</v>
      </c>
    </row>
    <row r="619" spans="1:6" x14ac:dyDescent="0.2">
      <c r="A619" s="52" t="s">
        <v>222</v>
      </c>
      <c r="B619" s="150" t="s">
        <v>777</v>
      </c>
      <c r="C619" s="52" t="s">
        <v>1341</v>
      </c>
      <c r="D619" s="52" t="s">
        <v>432</v>
      </c>
      <c r="E619" s="195">
        <v>67298750</v>
      </c>
      <c r="F619" s="196">
        <v>67298750</v>
      </c>
    </row>
    <row r="620" spans="1:6" ht="178.5" x14ac:dyDescent="0.2">
      <c r="A620" s="52" t="s">
        <v>559</v>
      </c>
      <c r="B620" s="150" t="s">
        <v>778</v>
      </c>
      <c r="C620" s="52" t="s">
        <v>1314</v>
      </c>
      <c r="D620" s="52" t="s">
        <v>1314</v>
      </c>
      <c r="E620" s="195">
        <v>120000</v>
      </c>
      <c r="F620" s="196">
        <v>120000</v>
      </c>
    </row>
    <row r="621" spans="1:6" ht="38.25" x14ac:dyDescent="0.2">
      <c r="A621" s="52" t="s">
        <v>1510</v>
      </c>
      <c r="B621" s="150" t="s">
        <v>778</v>
      </c>
      <c r="C621" s="52" t="s">
        <v>1511</v>
      </c>
      <c r="D621" s="52" t="s">
        <v>1314</v>
      </c>
      <c r="E621" s="195">
        <v>120000</v>
      </c>
      <c r="F621" s="196">
        <v>120000</v>
      </c>
    </row>
    <row r="622" spans="1:6" x14ac:dyDescent="0.2">
      <c r="A622" s="52" t="s">
        <v>1340</v>
      </c>
      <c r="B622" s="150" t="s">
        <v>778</v>
      </c>
      <c r="C622" s="52" t="s">
        <v>1341</v>
      </c>
      <c r="D622" s="52" t="s">
        <v>1314</v>
      </c>
      <c r="E622" s="195">
        <v>120000</v>
      </c>
      <c r="F622" s="196">
        <v>120000</v>
      </c>
    </row>
    <row r="623" spans="1:6" x14ac:dyDescent="0.2">
      <c r="A623" s="52" t="s">
        <v>266</v>
      </c>
      <c r="B623" s="150" t="s">
        <v>778</v>
      </c>
      <c r="C623" s="52" t="s">
        <v>1341</v>
      </c>
      <c r="D623" s="52" t="s">
        <v>1226</v>
      </c>
      <c r="E623" s="195">
        <v>120000</v>
      </c>
      <c r="F623" s="196">
        <v>120000</v>
      </c>
    </row>
    <row r="624" spans="1:6" x14ac:dyDescent="0.2">
      <c r="A624" s="52" t="s">
        <v>222</v>
      </c>
      <c r="B624" s="150" t="s">
        <v>778</v>
      </c>
      <c r="C624" s="52" t="s">
        <v>1341</v>
      </c>
      <c r="D624" s="52" t="s">
        <v>432</v>
      </c>
      <c r="E624" s="195">
        <v>120000</v>
      </c>
      <c r="F624" s="196">
        <v>120000</v>
      </c>
    </row>
    <row r="625" spans="1:6" ht="140.25" x14ac:dyDescent="0.2">
      <c r="A625" s="52" t="s">
        <v>560</v>
      </c>
      <c r="B625" s="150" t="s">
        <v>779</v>
      </c>
      <c r="C625" s="52" t="s">
        <v>1314</v>
      </c>
      <c r="D625" s="52" t="s">
        <v>1314</v>
      </c>
      <c r="E625" s="195">
        <v>977050</v>
      </c>
      <c r="F625" s="196">
        <v>977050</v>
      </c>
    </row>
    <row r="626" spans="1:6" ht="38.25" x14ac:dyDescent="0.2">
      <c r="A626" s="52" t="s">
        <v>1510</v>
      </c>
      <c r="B626" s="150" t="s">
        <v>779</v>
      </c>
      <c r="C626" s="52" t="s">
        <v>1511</v>
      </c>
      <c r="D626" s="52" t="s">
        <v>1314</v>
      </c>
      <c r="E626" s="195">
        <v>977050</v>
      </c>
      <c r="F626" s="196">
        <v>977050</v>
      </c>
    </row>
    <row r="627" spans="1:6" x14ac:dyDescent="0.2">
      <c r="A627" s="52" t="s">
        <v>1340</v>
      </c>
      <c r="B627" s="150" t="s">
        <v>779</v>
      </c>
      <c r="C627" s="52" t="s">
        <v>1341</v>
      </c>
      <c r="D627" s="52" t="s">
        <v>1314</v>
      </c>
      <c r="E627" s="195">
        <v>977050</v>
      </c>
      <c r="F627" s="196">
        <v>977050</v>
      </c>
    </row>
    <row r="628" spans="1:6" x14ac:dyDescent="0.2">
      <c r="A628" s="190" t="s">
        <v>266</v>
      </c>
      <c r="B628" s="150" t="s">
        <v>779</v>
      </c>
      <c r="C628" s="52" t="s">
        <v>1341</v>
      </c>
      <c r="D628" s="52" t="s">
        <v>1226</v>
      </c>
      <c r="E628" s="195">
        <v>977050</v>
      </c>
      <c r="F628" s="196">
        <v>977050</v>
      </c>
    </row>
    <row r="629" spans="1:6" x14ac:dyDescent="0.2">
      <c r="A629" s="52" t="s">
        <v>222</v>
      </c>
      <c r="B629" s="150" t="s">
        <v>779</v>
      </c>
      <c r="C629" s="52" t="s">
        <v>1341</v>
      </c>
      <c r="D629" s="52" t="s">
        <v>432</v>
      </c>
      <c r="E629" s="195">
        <v>977050</v>
      </c>
      <c r="F629" s="196">
        <v>977050</v>
      </c>
    </row>
    <row r="630" spans="1:6" ht="127.5" x14ac:dyDescent="0.2">
      <c r="A630" s="52" t="s">
        <v>561</v>
      </c>
      <c r="B630" s="150" t="s">
        <v>780</v>
      </c>
      <c r="C630" s="52" t="s">
        <v>1314</v>
      </c>
      <c r="D630" s="52" t="s">
        <v>1314</v>
      </c>
      <c r="E630" s="195">
        <v>472000</v>
      </c>
      <c r="F630" s="196">
        <v>472000</v>
      </c>
    </row>
    <row r="631" spans="1:6" ht="38.25" x14ac:dyDescent="0.2">
      <c r="A631" s="52" t="s">
        <v>1510</v>
      </c>
      <c r="B631" s="150" t="s">
        <v>780</v>
      </c>
      <c r="C631" s="52" t="s">
        <v>1511</v>
      </c>
      <c r="D631" s="52" t="s">
        <v>1314</v>
      </c>
      <c r="E631" s="195">
        <v>472000</v>
      </c>
      <c r="F631" s="196">
        <v>472000</v>
      </c>
    </row>
    <row r="632" spans="1:6" x14ac:dyDescent="0.2">
      <c r="A632" s="52" t="s">
        <v>1340</v>
      </c>
      <c r="B632" s="150" t="s">
        <v>780</v>
      </c>
      <c r="C632" s="52" t="s">
        <v>1341</v>
      </c>
      <c r="D632" s="52" t="s">
        <v>1314</v>
      </c>
      <c r="E632" s="195">
        <v>472000</v>
      </c>
      <c r="F632" s="196">
        <v>472000</v>
      </c>
    </row>
    <row r="633" spans="1:6" x14ac:dyDescent="0.2">
      <c r="A633" s="190" t="s">
        <v>266</v>
      </c>
      <c r="B633" s="150" t="s">
        <v>780</v>
      </c>
      <c r="C633" s="52" t="s">
        <v>1341</v>
      </c>
      <c r="D633" s="52" t="s">
        <v>1226</v>
      </c>
      <c r="E633" s="195">
        <v>472000</v>
      </c>
      <c r="F633" s="196">
        <v>472000</v>
      </c>
    </row>
    <row r="634" spans="1:6" x14ac:dyDescent="0.2">
      <c r="A634" s="52" t="s">
        <v>222</v>
      </c>
      <c r="B634" s="150" t="s">
        <v>780</v>
      </c>
      <c r="C634" s="52" t="s">
        <v>1341</v>
      </c>
      <c r="D634" s="52" t="s">
        <v>432</v>
      </c>
      <c r="E634" s="195">
        <v>472000</v>
      </c>
      <c r="F634" s="196">
        <v>472000</v>
      </c>
    </row>
    <row r="635" spans="1:6" ht="127.5" x14ac:dyDescent="0.2">
      <c r="A635" s="52" t="s">
        <v>617</v>
      </c>
      <c r="B635" s="150" t="s">
        <v>781</v>
      </c>
      <c r="C635" s="52" t="s">
        <v>1314</v>
      </c>
      <c r="D635" s="52" t="s">
        <v>1314</v>
      </c>
      <c r="E635" s="195">
        <v>18620000</v>
      </c>
      <c r="F635" s="196">
        <v>18620000</v>
      </c>
    </row>
    <row r="636" spans="1:6" ht="38.25" x14ac:dyDescent="0.2">
      <c r="A636" s="52" t="s">
        <v>1510</v>
      </c>
      <c r="B636" s="150" t="s">
        <v>781</v>
      </c>
      <c r="C636" s="52" t="s">
        <v>1511</v>
      </c>
      <c r="D636" s="52" t="s">
        <v>1314</v>
      </c>
      <c r="E636" s="195">
        <v>18620000</v>
      </c>
      <c r="F636" s="196">
        <v>18620000</v>
      </c>
    </row>
    <row r="637" spans="1:6" x14ac:dyDescent="0.2">
      <c r="A637" s="52" t="s">
        <v>1340</v>
      </c>
      <c r="B637" s="150" t="s">
        <v>781</v>
      </c>
      <c r="C637" s="52" t="s">
        <v>1341</v>
      </c>
      <c r="D637" s="52" t="s">
        <v>1314</v>
      </c>
      <c r="E637" s="195">
        <v>18620000</v>
      </c>
      <c r="F637" s="196">
        <v>18620000</v>
      </c>
    </row>
    <row r="638" spans="1:6" x14ac:dyDescent="0.2">
      <c r="A638" s="52" t="s">
        <v>266</v>
      </c>
      <c r="B638" s="150" t="s">
        <v>781</v>
      </c>
      <c r="C638" s="52" t="s">
        <v>1341</v>
      </c>
      <c r="D638" s="52" t="s">
        <v>1226</v>
      </c>
      <c r="E638" s="195">
        <v>18620000</v>
      </c>
      <c r="F638" s="196">
        <v>18620000</v>
      </c>
    </row>
    <row r="639" spans="1:6" x14ac:dyDescent="0.2">
      <c r="A639" s="52" t="s">
        <v>222</v>
      </c>
      <c r="B639" s="150" t="s">
        <v>781</v>
      </c>
      <c r="C639" s="52" t="s">
        <v>1341</v>
      </c>
      <c r="D639" s="52" t="s">
        <v>432</v>
      </c>
      <c r="E639" s="195">
        <v>18620000</v>
      </c>
      <c r="F639" s="196">
        <v>18620000</v>
      </c>
    </row>
    <row r="640" spans="1:6" ht="89.25" x14ac:dyDescent="0.2">
      <c r="A640" s="52" t="s">
        <v>1916</v>
      </c>
      <c r="B640" s="150" t="s">
        <v>1917</v>
      </c>
      <c r="C640" s="52" t="s">
        <v>1314</v>
      </c>
      <c r="D640" s="52" t="s">
        <v>1314</v>
      </c>
      <c r="E640" s="195">
        <v>380000</v>
      </c>
      <c r="F640" s="196">
        <v>380000</v>
      </c>
    </row>
    <row r="641" spans="1:6" ht="38.25" x14ac:dyDescent="0.2">
      <c r="A641" s="52" t="s">
        <v>1510</v>
      </c>
      <c r="B641" s="150" t="s">
        <v>1917</v>
      </c>
      <c r="C641" s="52" t="s">
        <v>1511</v>
      </c>
      <c r="D641" s="52" t="s">
        <v>1314</v>
      </c>
      <c r="E641" s="195">
        <v>380000</v>
      </c>
      <c r="F641" s="196">
        <v>380000</v>
      </c>
    </row>
    <row r="642" spans="1:6" x14ac:dyDescent="0.2">
      <c r="A642" s="52" t="s">
        <v>1340</v>
      </c>
      <c r="B642" s="150" t="s">
        <v>1917</v>
      </c>
      <c r="C642" s="52" t="s">
        <v>1341</v>
      </c>
      <c r="D642" s="52" t="s">
        <v>1314</v>
      </c>
      <c r="E642" s="195">
        <v>380000</v>
      </c>
      <c r="F642" s="196">
        <v>380000</v>
      </c>
    </row>
    <row r="643" spans="1:6" x14ac:dyDescent="0.2">
      <c r="A643" s="52" t="s">
        <v>266</v>
      </c>
      <c r="B643" s="150" t="s">
        <v>1917</v>
      </c>
      <c r="C643" s="52" t="s">
        <v>1341</v>
      </c>
      <c r="D643" s="52" t="s">
        <v>1226</v>
      </c>
      <c r="E643" s="195">
        <v>380000</v>
      </c>
      <c r="F643" s="196">
        <v>380000</v>
      </c>
    </row>
    <row r="644" spans="1:6" x14ac:dyDescent="0.2">
      <c r="A644" s="190" t="s">
        <v>222</v>
      </c>
      <c r="B644" s="150" t="s">
        <v>1917</v>
      </c>
      <c r="C644" s="52" t="s">
        <v>1341</v>
      </c>
      <c r="D644" s="52" t="s">
        <v>432</v>
      </c>
      <c r="E644" s="195">
        <v>380000</v>
      </c>
      <c r="F644" s="196">
        <v>380000</v>
      </c>
    </row>
    <row r="645" spans="1:6" ht="114.75" x14ac:dyDescent="0.2">
      <c r="A645" s="52" t="s">
        <v>1020</v>
      </c>
      <c r="B645" s="150" t="s">
        <v>1021</v>
      </c>
      <c r="C645" s="52" t="s">
        <v>1314</v>
      </c>
      <c r="D645" s="52" t="s">
        <v>1314</v>
      </c>
      <c r="E645" s="195">
        <v>3350000</v>
      </c>
      <c r="F645" s="196">
        <v>3350000</v>
      </c>
    </row>
    <row r="646" spans="1:6" ht="38.25" x14ac:dyDescent="0.2">
      <c r="A646" s="52" t="s">
        <v>1510</v>
      </c>
      <c r="B646" s="150" t="s">
        <v>1021</v>
      </c>
      <c r="C646" s="52" t="s">
        <v>1511</v>
      </c>
      <c r="D646" s="52" t="s">
        <v>1314</v>
      </c>
      <c r="E646" s="195">
        <v>3350000</v>
      </c>
      <c r="F646" s="196">
        <v>3350000</v>
      </c>
    </row>
    <row r="647" spans="1:6" x14ac:dyDescent="0.2">
      <c r="A647" s="190" t="s">
        <v>1340</v>
      </c>
      <c r="B647" s="150" t="s">
        <v>1021</v>
      </c>
      <c r="C647" s="52" t="s">
        <v>1341</v>
      </c>
      <c r="D647" s="52" t="s">
        <v>1314</v>
      </c>
      <c r="E647" s="195">
        <v>3350000</v>
      </c>
      <c r="F647" s="196">
        <v>3350000</v>
      </c>
    </row>
    <row r="648" spans="1:6" x14ac:dyDescent="0.2">
      <c r="A648" s="52" t="s">
        <v>266</v>
      </c>
      <c r="B648" s="150" t="s">
        <v>1021</v>
      </c>
      <c r="C648" s="52" t="s">
        <v>1341</v>
      </c>
      <c r="D648" s="52" t="s">
        <v>1226</v>
      </c>
      <c r="E648" s="195">
        <v>3350000</v>
      </c>
      <c r="F648" s="196">
        <v>3350000</v>
      </c>
    </row>
    <row r="649" spans="1:6" x14ac:dyDescent="0.2">
      <c r="A649" s="52" t="s">
        <v>222</v>
      </c>
      <c r="B649" s="150" t="s">
        <v>1021</v>
      </c>
      <c r="C649" s="52" t="s">
        <v>1341</v>
      </c>
      <c r="D649" s="52" t="s">
        <v>432</v>
      </c>
      <c r="E649" s="195">
        <v>3350000</v>
      </c>
      <c r="F649" s="196">
        <v>3350000</v>
      </c>
    </row>
    <row r="650" spans="1:6" ht="76.5" x14ac:dyDescent="0.2">
      <c r="A650" s="52" t="s">
        <v>550</v>
      </c>
      <c r="B650" s="268" t="s">
        <v>759</v>
      </c>
      <c r="C650" s="5" t="s">
        <v>1314</v>
      </c>
      <c r="D650" s="5" t="s">
        <v>1314</v>
      </c>
      <c r="E650" s="195">
        <v>2160508</v>
      </c>
      <c r="F650" s="196">
        <v>2160508</v>
      </c>
    </row>
    <row r="651" spans="1:6" ht="38.25" x14ac:dyDescent="0.2">
      <c r="A651" s="52" t="s">
        <v>1510</v>
      </c>
      <c r="B651" s="268" t="s">
        <v>759</v>
      </c>
      <c r="C651" s="5" t="s">
        <v>1511</v>
      </c>
      <c r="D651" s="5" t="s">
        <v>1314</v>
      </c>
      <c r="E651" s="195">
        <v>2160508</v>
      </c>
      <c r="F651" s="291">
        <v>2160508</v>
      </c>
    </row>
    <row r="652" spans="1:6" x14ac:dyDescent="0.2">
      <c r="A652" s="52" t="s">
        <v>1340</v>
      </c>
      <c r="B652" s="268" t="s">
        <v>759</v>
      </c>
      <c r="C652" s="5" t="s">
        <v>1341</v>
      </c>
      <c r="D652" s="5" t="s">
        <v>1314</v>
      </c>
      <c r="E652" s="195">
        <v>2160508</v>
      </c>
      <c r="F652" s="291">
        <v>2160508</v>
      </c>
    </row>
    <row r="653" spans="1:6" x14ac:dyDescent="0.2">
      <c r="A653" s="52" t="s">
        <v>147</v>
      </c>
      <c r="B653" s="268" t="s">
        <v>759</v>
      </c>
      <c r="C653" s="5" t="s">
        <v>1341</v>
      </c>
      <c r="D653" s="5" t="s">
        <v>1220</v>
      </c>
      <c r="E653" s="195">
        <v>150000</v>
      </c>
      <c r="F653" s="291">
        <v>150000</v>
      </c>
    </row>
    <row r="654" spans="1:6" x14ac:dyDescent="0.2">
      <c r="A654" s="52" t="s">
        <v>1147</v>
      </c>
      <c r="B654" s="268" t="s">
        <v>759</v>
      </c>
      <c r="C654" s="5" t="s">
        <v>1341</v>
      </c>
      <c r="D654" s="5" t="s">
        <v>1148</v>
      </c>
      <c r="E654" s="195">
        <v>150000</v>
      </c>
      <c r="F654" s="291">
        <v>150000</v>
      </c>
    </row>
    <row r="655" spans="1:6" x14ac:dyDescent="0.2">
      <c r="A655" s="5" t="s">
        <v>266</v>
      </c>
      <c r="B655" s="268" t="s">
        <v>759</v>
      </c>
      <c r="C655" s="5" t="s">
        <v>1341</v>
      </c>
      <c r="D655" s="5" t="s">
        <v>1226</v>
      </c>
      <c r="E655" s="195">
        <v>2010508</v>
      </c>
      <c r="F655" s="196">
        <v>2010508</v>
      </c>
    </row>
    <row r="656" spans="1:6" x14ac:dyDescent="0.2">
      <c r="A656" s="52" t="s">
        <v>222</v>
      </c>
      <c r="B656" s="268" t="s">
        <v>759</v>
      </c>
      <c r="C656" s="5" t="s">
        <v>1341</v>
      </c>
      <c r="D656" s="5" t="s">
        <v>432</v>
      </c>
      <c r="E656" s="195">
        <v>2010508</v>
      </c>
      <c r="F656" s="196">
        <v>2010508</v>
      </c>
    </row>
    <row r="657" spans="1:6" ht="63.75" x14ac:dyDescent="0.2">
      <c r="A657" s="52" t="s">
        <v>1683</v>
      </c>
      <c r="B657" s="268" t="s">
        <v>1684</v>
      </c>
      <c r="C657" s="5" t="s">
        <v>1314</v>
      </c>
      <c r="D657" s="5" t="s">
        <v>1314</v>
      </c>
      <c r="E657" s="195">
        <v>89492</v>
      </c>
      <c r="F657" s="196">
        <v>89492</v>
      </c>
    </row>
    <row r="658" spans="1:6" ht="38.25" x14ac:dyDescent="0.2">
      <c r="A658" s="52" t="s">
        <v>1510</v>
      </c>
      <c r="B658" s="268" t="s">
        <v>1684</v>
      </c>
      <c r="C658" s="5" t="s">
        <v>1511</v>
      </c>
      <c r="D658" s="5" t="s">
        <v>1314</v>
      </c>
      <c r="E658" s="195">
        <v>89492</v>
      </c>
      <c r="F658" s="196">
        <v>89492</v>
      </c>
    </row>
    <row r="659" spans="1:6" x14ac:dyDescent="0.2">
      <c r="A659" s="52" t="s">
        <v>1340</v>
      </c>
      <c r="B659" s="268" t="s">
        <v>1684</v>
      </c>
      <c r="C659" s="5" t="s">
        <v>1341</v>
      </c>
      <c r="D659" s="5" t="s">
        <v>1314</v>
      </c>
      <c r="E659" s="195">
        <v>89492</v>
      </c>
      <c r="F659" s="196">
        <v>89492</v>
      </c>
    </row>
    <row r="660" spans="1:6" x14ac:dyDescent="0.2">
      <c r="A660" s="52" t="s">
        <v>266</v>
      </c>
      <c r="B660" s="268" t="s">
        <v>1684</v>
      </c>
      <c r="C660" s="5" t="s">
        <v>1341</v>
      </c>
      <c r="D660" s="5" t="s">
        <v>1226</v>
      </c>
      <c r="E660" s="195">
        <v>89492</v>
      </c>
      <c r="F660" s="196">
        <v>89492</v>
      </c>
    </row>
    <row r="661" spans="1:6" x14ac:dyDescent="0.2">
      <c r="A661" s="52" t="s">
        <v>222</v>
      </c>
      <c r="B661" s="268" t="s">
        <v>1684</v>
      </c>
      <c r="C661" s="5" t="s">
        <v>1341</v>
      </c>
      <c r="D661" s="5" t="s">
        <v>432</v>
      </c>
      <c r="E661" s="195">
        <v>89492</v>
      </c>
      <c r="F661" s="196">
        <v>89492</v>
      </c>
    </row>
    <row r="662" spans="1:6" ht="38.25" x14ac:dyDescent="0.2">
      <c r="A662" s="52" t="s">
        <v>642</v>
      </c>
      <c r="B662" s="268" t="s">
        <v>1044</v>
      </c>
      <c r="C662" s="5" t="s">
        <v>1314</v>
      </c>
      <c r="D662" s="5" t="s">
        <v>1314</v>
      </c>
      <c r="E662" s="195">
        <v>125505428</v>
      </c>
      <c r="F662" s="196">
        <v>125505428</v>
      </c>
    </row>
    <row r="663" spans="1:6" x14ac:dyDescent="0.2">
      <c r="A663" s="5" t="s">
        <v>551</v>
      </c>
      <c r="B663" s="268" t="s">
        <v>760</v>
      </c>
      <c r="C663" s="5" t="s">
        <v>1314</v>
      </c>
      <c r="D663" s="5" t="s">
        <v>1314</v>
      </c>
      <c r="E663" s="192">
        <v>81830690</v>
      </c>
      <c r="F663" s="255">
        <v>81830690</v>
      </c>
    </row>
    <row r="664" spans="1:6" x14ac:dyDescent="0.2">
      <c r="A664" s="5" t="s">
        <v>1501</v>
      </c>
      <c r="B664" s="268" t="s">
        <v>760</v>
      </c>
      <c r="C664" s="5" t="s">
        <v>290</v>
      </c>
      <c r="D664" s="5" t="s">
        <v>1314</v>
      </c>
      <c r="E664" s="195">
        <v>42339908</v>
      </c>
      <c r="F664" s="196">
        <v>42339908</v>
      </c>
    </row>
    <row r="665" spans="1:6" x14ac:dyDescent="0.2">
      <c r="A665" s="5" t="s">
        <v>1331</v>
      </c>
      <c r="B665" s="268" t="s">
        <v>760</v>
      </c>
      <c r="C665" s="5" t="s">
        <v>140</v>
      </c>
      <c r="D665" s="5" t="s">
        <v>1314</v>
      </c>
      <c r="E665" s="308">
        <v>42339908</v>
      </c>
      <c r="F665" s="309">
        <v>42339908</v>
      </c>
    </row>
    <row r="666" spans="1:6" x14ac:dyDescent="0.2">
      <c r="A666" s="52" t="s">
        <v>266</v>
      </c>
      <c r="B666" s="268" t="s">
        <v>760</v>
      </c>
      <c r="C666" s="5" t="s">
        <v>140</v>
      </c>
      <c r="D666" s="5" t="s">
        <v>1226</v>
      </c>
      <c r="E666" s="195">
        <v>42339908</v>
      </c>
      <c r="F666" s="196">
        <v>42339908</v>
      </c>
    </row>
    <row r="667" spans="1:6" ht="25.5" x14ac:dyDescent="0.2">
      <c r="A667" s="52" t="s">
        <v>0</v>
      </c>
      <c r="B667" s="268" t="s">
        <v>760</v>
      </c>
      <c r="C667" s="5" t="s">
        <v>140</v>
      </c>
      <c r="D667" s="5" t="s">
        <v>442</v>
      </c>
      <c r="E667" s="195">
        <v>42339908</v>
      </c>
      <c r="F667" s="196">
        <v>42339908</v>
      </c>
    </row>
    <row r="668" spans="1:6" ht="38.25" x14ac:dyDescent="0.2">
      <c r="A668" s="52" t="s">
        <v>1502</v>
      </c>
      <c r="B668" s="268" t="s">
        <v>760</v>
      </c>
      <c r="C668" s="5" t="s">
        <v>1503</v>
      </c>
      <c r="D668" s="5" t="s">
        <v>1314</v>
      </c>
      <c r="E668" s="195">
        <v>3269853</v>
      </c>
      <c r="F668" s="196">
        <v>3269853</v>
      </c>
    </row>
    <row r="669" spans="1:6" ht="38.25" x14ac:dyDescent="0.2">
      <c r="A669" s="52" t="s">
        <v>1338</v>
      </c>
      <c r="B669" s="268" t="s">
        <v>760</v>
      </c>
      <c r="C669" s="5" t="s">
        <v>1339</v>
      </c>
      <c r="D669" s="5" t="s">
        <v>1314</v>
      </c>
      <c r="E669" s="195">
        <v>3269853</v>
      </c>
      <c r="F669" s="196">
        <v>3269853</v>
      </c>
    </row>
    <row r="670" spans="1:6" x14ac:dyDescent="0.2">
      <c r="A670" s="52" t="s">
        <v>266</v>
      </c>
      <c r="B670" s="268" t="s">
        <v>760</v>
      </c>
      <c r="C670" s="5" t="s">
        <v>1339</v>
      </c>
      <c r="D670" s="5" t="s">
        <v>1226</v>
      </c>
      <c r="E670" s="195">
        <v>3269853</v>
      </c>
      <c r="F670" s="196">
        <v>3269853</v>
      </c>
    </row>
    <row r="671" spans="1:6" ht="25.5" x14ac:dyDescent="0.2">
      <c r="A671" s="52" t="s">
        <v>0</v>
      </c>
      <c r="B671" s="268" t="s">
        <v>760</v>
      </c>
      <c r="C671" s="5" t="s">
        <v>1339</v>
      </c>
      <c r="D671" s="5" t="s">
        <v>442</v>
      </c>
      <c r="E671" s="195">
        <v>3269853</v>
      </c>
      <c r="F671" s="196">
        <v>3269853</v>
      </c>
    </row>
    <row r="672" spans="1:6" ht="38.25" x14ac:dyDescent="0.2">
      <c r="A672" s="52" t="s">
        <v>1510</v>
      </c>
      <c r="B672" s="268" t="s">
        <v>760</v>
      </c>
      <c r="C672" s="5" t="s">
        <v>1511</v>
      </c>
      <c r="D672" s="5" t="s">
        <v>1314</v>
      </c>
      <c r="E672" s="195">
        <v>36207429</v>
      </c>
      <c r="F672" s="196">
        <v>36207429</v>
      </c>
    </row>
    <row r="673" spans="1:6" x14ac:dyDescent="0.2">
      <c r="A673" s="52" t="s">
        <v>1340</v>
      </c>
      <c r="B673" s="268" t="s">
        <v>760</v>
      </c>
      <c r="C673" s="5" t="s">
        <v>1341</v>
      </c>
      <c r="D673" s="5" t="s">
        <v>1314</v>
      </c>
      <c r="E673" s="195">
        <v>36207429</v>
      </c>
      <c r="F673" s="196">
        <v>36207429</v>
      </c>
    </row>
    <row r="674" spans="1:6" x14ac:dyDescent="0.2">
      <c r="A674" s="52" t="s">
        <v>147</v>
      </c>
      <c r="B674" s="268" t="s">
        <v>760</v>
      </c>
      <c r="C674" s="5" t="s">
        <v>1341</v>
      </c>
      <c r="D674" s="5" t="s">
        <v>1220</v>
      </c>
      <c r="E674" s="195">
        <v>36207429</v>
      </c>
      <c r="F674" s="196">
        <v>36207429</v>
      </c>
    </row>
    <row r="675" spans="1:6" x14ac:dyDescent="0.2">
      <c r="A675" s="52" t="s">
        <v>1147</v>
      </c>
      <c r="B675" s="268" t="s">
        <v>760</v>
      </c>
      <c r="C675" s="5" t="s">
        <v>1341</v>
      </c>
      <c r="D675" s="5" t="s">
        <v>1148</v>
      </c>
      <c r="E675" s="195">
        <v>36207429</v>
      </c>
      <c r="F675" s="196">
        <v>36207429</v>
      </c>
    </row>
    <row r="676" spans="1:6" x14ac:dyDescent="0.2">
      <c r="A676" s="52" t="s">
        <v>1504</v>
      </c>
      <c r="B676" s="268" t="s">
        <v>760</v>
      </c>
      <c r="C676" s="5" t="s">
        <v>1505</v>
      </c>
      <c r="D676" s="5" t="s">
        <v>1314</v>
      </c>
      <c r="E676" s="195">
        <v>13500</v>
      </c>
      <c r="F676" s="196">
        <v>13500</v>
      </c>
    </row>
    <row r="677" spans="1:6" x14ac:dyDescent="0.2">
      <c r="A677" s="52" t="s">
        <v>1343</v>
      </c>
      <c r="B677" s="268" t="s">
        <v>760</v>
      </c>
      <c r="C677" s="5" t="s">
        <v>1344</v>
      </c>
      <c r="D677" s="5" t="s">
        <v>1314</v>
      </c>
      <c r="E677" s="195">
        <v>13500</v>
      </c>
      <c r="F677" s="196">
        <v>13500</v>
      </c>
    </row>
    <row r="678" spans="1:6" x14ac:dyDescent="0.2">
      <c r="A678" s="52" t="s">
        <v>266</v>
      </c>
      <c r="B678" s="268" t="s">
        <v>760</v>
      </c>
      <c r="C678" s="5" t="s">
        <v>1344</v>
      </c>
      <c r="D678" s="5" t="s">
        <v>1226</v>
      </c>
      <c r="E678" s="195">
        <v>13500</v>
      </c>
      <c r="F678" s="196">
        <v>13500</v>
      </c>
    </row>
    <row r="679" spans="1:6" ht="25.5" x14ac:dyDescent="0.2">
      <c r="A679" s="52" t="s">
        <v>0</v>
      </c>
      <c r="B679" s="268" t="s">
        <v>760</v>
      </c>
      <c r="C679" s="5" t="s">
        <v>1344</v>
      </c>
      <c r="D679" s="5" t="s">
        <v>442</v>
      </c>
      <c r="E679" s="195">
        <v>13500</v>
      </c>
      <c r="F679" s="196">
        <v>13500</v>
      </c>
    </row>
    <row r="680" spans="1:6" ht="191.25" x14ac:dyDescent="0.2">
      <c r="A680" s="52" t="s">
        <v>552</v>
      </c>
      <c r="B680" s="268" t="s">
        <v>761</v>
      </c>
      <c r="C680" s="5" t="s">
        <v>1314</v>
      </c>
      <c r="D680" s="5" t="s">
        <v>1314</v>
      </c>
      <c r="E680" s="195">
        <v>38342000</v>
      </c>
      <c r="F680" s="196">
        <v>38342000</v>
      </c>
    </row>
    <row r="681" spans="1:6" ht="76.5" x14ac:dyDescent="0.2">
      <c r="A681" s="52" t="s">
        <v>1501</v>
      </c>
      <c r="B681" s="268" t="s">
        <v>761</v>
      </c>
      <c r="C681" s="5" t="s">
        <v>290</v>
      </c>
      <c r="D681" s="5" t="s">
        <v>1314</v>
      </c>
      <c r="E681" s="195">
        <v>32289600</v>
      </c>
      <c r="F681" s="196">
        <v>32289600</v>
      </c>
    </row>
    <row r="682" spans="1:6" ht="25.5" x14ac:dyDescent="0.2">
      <c r="A682" s="52" t="s">
        <v>1331</v>
      </c>
      <c r="B682" s="268" t="s">
        <v>761</v>
      </c>
      <c r="C682" s="5" t="s">
        <v>140</v>
      </c>
      <c r="D682" s="5" t="s">
        <v>1314</v>
      </c>
      <c r="E682" s="195">
        <v>32289600</v>
      </c>
      <c r="F682" s="196">
        <v>32289600</v>
      </c>
    </row>
    <row r="683" spans="1:6" x14ac:dyDescent="0.2">
      <c r="A683" s="52" t="s">
        <v>266</v>
      </c>
      <c r="B683" s="268" t="s">
        <v>761</v>
      </c>
      <c r="C683" s="5" t="s">
        <v>140</v>
      </c>
      <c r="D683" s="5" t="s">
        <v>1226</v>
      </c>
      <c r="E683" s="195">
        <v>32289600</v>
      </c>
      <c r="F683" s="196">
        <v>32289600</v>
      </c>
    </row>
    <row r="684" spans="1:6" ht="25.5" x14ac:dyDescent="0.2">
      <c r="A684" s="52" t="s">
        <v>0</v>
      </c>
      <c r="B684" s="268" t="s">
        <v>761</v>
      </c>
      <c r="C684" s="5" t="s">
        <v>140</v>
      </c>
      <c r="D684" s="5" t="s">
        <v>442</v>
      </c>
      <c r="E684" s="195">
        <v>32289600</v>
      </c>
      <c r="F684" s="196">
        <v>32289600</v>
      </c>
    </row>
    <row r="685" spans="1:6" ht="38.25" x14ac:dyDescent="0.2">
      <c r="A685" s="52" t="s">
        <v>1510</v>
      </c>
      <c r="B685" s="268" t="s">
        <v>761</v>
      </c>
      <c r="C685" s="5" t="s">
        <v>1511</v>
      </c>
      <c r="D685" s="5" t="s">
        <v>1314</v>
      </c>
      <c r="E685" s="195">
        <v>6052400</v>
      </c>
      <c r="F685" s="196">
        <v>6052400</v>
      </c>
    </row>
    <row r="686" spans="1:6" x14ac:dyDescent="0.2">
      <c r="A686" s="52" t="s">
        <v>1340</v>
      </c>
      <c r="B686" s="268" t="s">
        <v>761</v>
      </c>
      <c r="C686" s="5" t="s">
        <v>1341</v>
      </c>
      <c r="D686" s="5" t="s">
        <v>1314</v>
      </c>
      <c r="E686" s="195">
        <v>6052400</v>
      </c>
      <c r="F686" s="196">
        <v>6052400</v>
      </c>
    </row>
    <row r="687" spans="1:6" x14ac:dyDescent="0.2">
      <c r="A687" s="52" t="s">
        <v>147</v>
      </c>
      <c r="B687" s="268" t="s">
        <v>761</v>
      </c>
      <c r="C687" s="5" t="s">
        <v>1341</v>
      </c>
      <c r="D687" s="5" t="s">
        <v>1220</v>
      </c>
      <c r="E687" s="195">
        <v>6052400</v>
      </c>
      <c r="F687" s="196">
        <v>6052400</v>
      </c>
    </row>
    <row r="688" spans="1:6" x14ac:dyDescent="0.2">
      <c r="A688" s="52" t="s">
        <v>1147</v>
      </c>
      <c r="B688" s="268" t="s">
        <v>761</v>
      </c>
      <c r="C688" s="5" t="s">
        <v>1341</v>
      </c>
      <c r="D688" s="5" t="s">
        <v>1148</v>
      </c>
      <c r="E688" s="195">
        <v>6052400</v>
      </c>
      <c r="F688" s="196">
        <v>6052400</v>
      </c>
    </row>
    <row r="689" spans="1:6" ht="153" x14ac:dyDescent="0.2">
      <c r="A689" s="52" t="s">
        <v>613</v>
      </c>
      <c r="B689" s="268" t="s">
        <v>762</v>
      </c>
      <c r="C689" s="5" t="s">
        <v>1314</v>
      </c>
      <c r="D689" s="5" t="s">
        <v>1314</v>
      </c>
      <c r="E689" s="195">
        <v>217112</v>
      </c>
      <c r="F689" s="196">
        <v>217112</v>
      </c>
    </row>
    <row r="690" spans="1:6" ht="38.25" x14ac:dyDescent="0.2">
      <c r="A690" s="52" t="s">
        <v>1510</v>
      </c>
      <c r="B690" s="268" t="s">
        <v>762</v>
      </c>
      <c r="C690" s="5" t="s">
        <v>1511</v>
      </c>
      <c r="D690" s="5" t="s">
        <v>1314</v>
      </c>
      <c r="E690" s="195">
        <v>217112</v>
      </c>
      <c r="F690" s="196">
        <v>217112</v>
      </c>
    </row>
    <row r="691" spans="1:6" x14ac:dyDescent="0.2">
      <c r="A691" s="52" t="s">
        <v>1340</v>
      </c>
      <c r="B691" s="268" t="s">
        <v>762</v>
      </c>
      <c r="C691" s="5" t="s">
        <v>1341</v>
      </c>
      <c r="D691" s="5" t="s">
        <v>1314</v>
      </c>
      <c r="E691" s="195">
        <v>217112</v>
      </c>
      <c r="F691" s="196">
        <v>217112</v>
      </c>
    </row>
    <row r="692" spans="1:6" x14ac:dyDescent="0.2">
      <c r="A692" s="52" t="s">
        <v>147</v>
      </c>
      <c r="B692" s="268" t="s">
        <v>762</v>
      </c>
      <c r="C692" s="5" t="s">
        <v>1341</v>
      </c>
      <c r="D692" s="5" t="s">
        <v>1220</v>
      </c>
      <c r="E692" s="195">
        <v>217112</v>
      </c>
      <c r="F692" s="196">
        <v>217112</v>
      </c>
    </row>
    <row r="693" spans="1:6" x14ac:dyDescent="0.2">
      <c r="A693" s="52" t="s">
        <v>1147</v>
      </c>
      <c r="B693" s="268" t="s">
        <v>762</v>
      </c>
      <c r="C693" s="5" t="s">
        <v>1341</v>
      </c>
      <c r="D693" s="5" t="s">
        <v>1148</v>
      </c>
      <c r="E693" s="195">
        <v>217112</v>
      </c>
      <c r="F693" s="196">
        <v>217112</v>
      </c>
    </row>
    <row r="694" spans="1:6" ht="127.5" x14ac:dyDescent="0.2">
      <c r="A694" s="52" t="s">
        <v>553</v>
      </c>
      <c r="B694" s="268" t="s">
        <v>763</v>
      </c>
      <c r="C694" s="5" t="s">
        <v>1314</v>
      </c>
      <c r="D694" s="5" t="s">
        <v>1314</v>
      </c>
      <c r="E694" s="195">
        <v>1055388</v>
      </c>
      <c r="F694" s="196">
        <v>1055388</v>
      </c>
    </row>
    <row r="695" spans="1:6" ht="76.5" x14ac:dyDescent="0.2">
      <c r="A695" s="52" t="s">
        <v>1501</v>
      </c>
      <c r="B695" s="268" t="s">
        <v>763</v>
      </c>
      <c r="C695" s="5" t="s">
        <v>290</v>
      </c>
      <c r="D695" s="5" t="s">
        <v>1314</v>
      </c>
      <c r="E695" s="195">
        <v>450388</v>
      </c>
      <c r="F695" s="196">
        <v>450388</v>
      </c>
    </row>
    <row r="696" spans="1:6" ht="25.5" x14ac:dyDescent="0.2">
      <c r="A696" s="52" t="s">
        <v>1331</v>
      </c>
      <c r="B696" s="268" t="s">
        <v>763</v>
      </c>
      <c r="C696" s="5" t="s">
        <v>140</v>
      </c>
      <c r="D696" s="5" t="s">
        <v>1314</v>
      </c>
      <c r="E696" s="195">
        <v>450388</v>
      </c>
      <c r="F696" s="196">
        <v>450388</v>
      </c>
    </row>
    <row r="697" spans="1:6" x14ac:dyDescent="0.2">
      <c r="A697" s="52" t="s">
        <v>266</v>
      </c>
      <c r="B697" s="268" t="s">
        <v>763</v>
      </c>
      <c r="C697" s="5" t="s">
        <v>140</v>
      </c>
      <c r="D697" s="5" t="s">
        <v>1226</v>
      </c>
      <c r="E697" s="195">
        <v>450388</v>
      </c>
      <c r="F697" s="196">
        <v>450388</v>
      </c>
    </row>
    <row r="698" spans="1:6" ht="25.5" x14ac:dyDescent="0.2">
      <c r="A698" s="52" t="s">
        <v>0</v>
      </c>
      <c r="B698" s="268" t="s">
        <v>763</v>
      </c>
      <c r="C698" s="5" t="s">
        <v>140</v>
      </c>
      <c r="D698" s="5" t="s">
        <v>442</v>
      </c>
      <c r="E698" s="195">
        <v>450388</v>
      </c>
      <c r="F698" s="196">
        <v>450388</v>
      </c>
    </row>
    <row r="699" spans="1:6" ht="38.25" x14ac:dyDescent="0.2">
      <c r="A699" s="52" t="s">
        <v>1510</v>
      </c>
      <c r="B699" s="268" t="s">
        <v>763</v>
      </c>
      <c r="C699" s="5" t="s">
        <v>1511</v>
      </c>
      <c r="D699" s="5" t="s">
        <v>1314</v>
      </c>
      <c r="E699" s="195">
        <v>605000</v>
      </c>
      <c r="F699" s="196">
        <v>605000</v>
      </c>
    </row>
    <row r="700" spans="1:6" x14ac:dyDescent="0.2">
      <c r="A700" s="52" t="s">
        <v>1340</v>
      </c>
      <c r="B700" s="268" t="s">
        <v>763</v>
      </c>
      <c r="C700" s="5" t="s">
        <v>1341</v>
      </c>
      <c r="D700" s="5" t="s">
        <v>1314</v>
      </c>
      <c r="E700" s="195">
        <v>605000</v>
      </c>
      <c r="F700" s="196">
        <v>605000</v>
      </c>
    </row>
    <row r="701" spans="1:6" x14ac:dyDescent="0.2">
      <c r="A701" s="52" t="s">
        <v>147</v>
      </c>
      <c r="B701" s="268" t="s">
        <v>763</v>
      </c>
      <c r="C701" s="5" t="s">
        <v>1341</v>
      </c>
      <c r="D701" s="5" t="s">
        <v>1220</v>
      </c>
      <c r="E701" s="195">
        <v>605000</v>
      </c>
      <c r="F701" s="196">
        <v>605000</v>
      </c>
    </row>
    <row r="702" spans="1:6" x14ac:dyDescent="0.2">
      <c r="A702" s="52" t="s">
        <v>1147</v>
      </c>
      <c r="B702" s="268" t="s">
        <v>763</v>
      </c>
      <c r="C702" s="5" t="s">
        <v>1341</v>
      </c>
      <c r="D702" s="5" t="s">
        <v>1148</v>
      </c>
      <c r="E702" s="195">
        <v>605000</v>
      </c>
      <c r="F702" s="196">
        <v>605000</v>
      </c>
    </row>
    <row r="703" spans="1:6" ht="140.25" x14ac:dyDescent="0.2">
      <c r="A703" s="52" t="s">
        <v>614</v>
      </c>
      <c r="B703" s="268" t="s">
        <v>764</v>
      </c>
      <c r="C703" s="5" t="s">
        <v>1314</v>
      </c>
      <c r="D703" s="5" t="s">
        <v>1314</v>
      </c>
      <c r="E703" s="195">
        <v>3387238</v>
      </c>
      <c r="F703" s="196">
        <v>3387238</v>
      </c>
    </row>
    <row r="704" spans="1:6" ht="38.25" x14ac:dyDescent="0.2">
      <c r="A704" s="52" t="s">
        <v>1502</v>
      </c>
      <c r="B704" s="268" t="s">
        <v>764</v>
      </c>
      <c r="C704" s="5" t="s">
        <v>1503</v>
      </c>
      <c r="D704" s="5" t="s">
        <v>1314</v>
      </c>
      <c r="E704" s="195">
        <v>370000</v>
      </c>
      <c r="F704" s="196">
        <v>370000</v>
      </c>
    </row>
    <row r="705" spans="1:6" ht="38.25" x14ac:dyDescent="0.2">
      <c r="A705" s="52" t="s">
        <v>1338</v>
      </c>
      <c r="B705" s="268" t="s">
        <v>764</v>
      </c>
      <c r="C705" s="5" t="s">
        <v>1339</v>
      </c>
      <c r="D705" s="5" t="s">
        <v>1314</v>
      </c>
      <c r="E705" s="195">
        <v>370000</v>
      </c>
      <c r="F705" s="196">
        <v>370000</v>
      </c>
    </row>
    <row r="706" spans="1:6" x14ac:dyDescent="0.2">
      <c r="A706" s="52" t="s">
        <v>266</v>
      </c>
      <c r="B706" s="268" t="s">
        <v>764</v>
      </c>
      <c r="C706" s="5" t="s">
        <v>1339</v>
      </c>
      <c r="D706" s="5" t="s">
        <v>1226</v>
      </c>
      <c r="E706" s="195">
        <v>370000</v>
      </c>
      <c r="F706" s="196">
        <v>370000</v>
      </c>
    </row>
    <row r="707" spans="1:6" ht="25.5" x14ac:dyDescent="0.2">
      <c r="A707" s="52" t="s">
        <v>0</v>
      </c>
      <c r="B707" s="268" t="s">
        <v>764</v>
      </c>
      <c r="C707" s="5" t="s">
        <v>1339</v>
      </c>
      <c r="D707" s="5" t="s">
        <v>442</v>
      </c>
      <c r="E707" s="195">
        <v>370000</v>
      </c>
      <c r="F707" s="196">
        <v>370000</v>
      </c>
    </row>
    <row r="708" spans="1:6" ht="38.25" x14ac:dyDescent="0.2">
      <c r="A708" s="52" t="s">
        <v>1510</v>
      </c>
      <c r="B708" s="268" t="s">
        <v>764</v>
      </c>
      <c r="C708" s="5" t="s">
        <v>1511</v>
      </c>
      <c r="D708" s="5" t="s">
        <v>1314</v>
      </c>
      <c r="E708" s="195">
        <v>3017238</v>
      </c>
      <c r="F708" s="196">
        <v>3017238</v>
      </c>
    </row>
    <row r="709" spans="1:6" x14ac:dyDescent="0.2">
      <c r="A709" s="52" t="s">
        <v>1340</v>
      </c>
      <c r="B709" s="268" t="s">
        <v>764</v>
      </c>
      <c r="C709" s="5" t="s">
        <v>1341</v>
      </c>
      <c r="D709" s="5" t="s">
        <v>1314</v>
      </c>
      <c r="E709" s="195">
        <v>3017238</v>
      </c>
      <c r="F709" s="196">
        <v>3017238</v>
      </c>
    </row>
    <row r="710" spans="1:6" x14ac:dyDescent="0.2">
      <c r="A710" s="52" t="s">
        <v>147</v>
      </c>
      <c r="B710" s="268" t="s">
        <v>764</v>
      </c>
      <c r="C710" s="5" t="s">
        <v>1341</v>
      </c>
      <c r="D710" s="5" t="s">
        <v>1220</v>
      </c>
      <c r="E710" s="195">
        <v>3017238</v>
      </c>
      <c r="F710" s="196">
        <v>3017238</v>
      </c>
    </row>
    <row r="711" spans="1:6" x14ac:dyDescent="0.2">
      <c r="A711" s="52" t="s">
        <v>1147</v>
      </c>
      <c r="B711" s="268" t="s">
        <v>764</v>
      </c>
      <c r="C711" s="5" t="s">
        <v>1341</v>
      </c>
      <c r="D711" s="5" t="s">
        <v>1148</v>
      </c>
      <c r="E711" s="195">
        <v>3017238</v>
      </c>
      <c r="F711" s="196">
        <v>3017238</v>
      </c>
    </row>
    <row r="712" spans="1:6" ht="102" x14ac:dyDescent="0.2">
      <c r="A712" s="52" t="s">
        <v>1910</v>
      </c>
      <c r="B712" s="268" t="s">
        <v>1911</v>
      </c>
      <c r="C712" s="5" t="s">
        <v>1314</v>
      </c>
      <c r="D712" s="5" t="s">
        <v>1314</v>
      </c>
      <c r="E712" s="195">
        <v>62000</v>
      </c>
      <c r="F712" s="196">
        <v>62000</v>
      </c>
    </row>
    <row r="713" spans="1:6" ht="38.25" x14ac:dyDescent="0.2">
      <c r="A713" s="52" t="s">
        <v>1502</v>
      </c>
      <c r="B713" s="268" t="s">
        <v>1911</v>
      </c>
      <c r="C713" s="5" t="s">
        <v>1503</v>
      </c>
      <c r="D713" s="5" t="s">
        <v>1314</v>
      </c>
      <c r="E713" s="195">
        <v>13000</v>
      </c>
      <c r="F713" s="196">
        <v>13000</v>
      </c>
    </row>
    <row r="714" spans="1:6" ht="38.25" x14ac:dyDescent="0.2">
      <c r="A714" s="52" t="s">
        <v>1338</v>
      </c>
      <c r="B714" s="268" t="s">
        <v>1911</v>
      </c>
      <c r="C714" s="5" t="s">
        <v>1339</v>
      </c>
      <c r="D714" s="5" t="s">
        <v>1314</v>
      </c>
      <c r="E714" s="195">
        <v>13000</v>
      </c>
      <c r="F714" s="196">
        <v>13000</v>
      </c>
    </row>
    <row r="715" spans="1:6" x14ac:dyDescent="0.2">
      <c r="A715" s="52" t="s">
        <v>266</v>
      </c>
      <c r="B715" s="268" t="s">
        <v>1911</v>
      </c>
      <c r="C715" s="5" t="s">
        <v>1339</v>
      </c>
      <c r="D715" s="5" t="s">
        <v>1226</v>
      </c>
      <c r="E715" s="195">
        <v>13000</v>
      </c>
      <c r="F715" s="196">
        <v>13000</v>
      </c>
    </row>
    <row r="716" spans="1:6" ht="25.5" x14ac:dyDescent="0.2">
      <c r="A716" s="52" t="s">
        <v>0</v>
      </c>
      <c r="B716" s="268" t="s">
        <v>1911</v>
      </c>
      <c r="C716" s="5" t="s">
        <v>1339</v>
      </c>
      <c r="D716" s="5" t="s">
        <v>442</v>
      </c>
      <c r="E716" s="195">
        <v>13000</v>
      </c>
      <c r="F716" s="196">
        <v>13000</v>
      </c>
    </row>
    <row r="717" spans="1:6" ht="38.25" x14ac:dyDescent="0.2">
      <c r="A717" s="52" t="s">
        <v>1510</v>
      </c>
      <c r="B717" s="268" t="s">
        <v>1911</v>
      </c>
      <c r="C717" s="5" t="s">
        <v>1511</v>
      </c>
      <c r="D717" s="5" t="s">
        <v>1314</v>
      </c>
      <c r="E717" s="195">
        <v>49000</v>
      </c>
      <c r="F717" s="196">
        <v>49000</v>
      </c>
    </row>
    <row r="718" spans="1:6" x14ac:dyDescent="0.2">
      <c r="A718" s="52" t="s">
        <v>1340</v>
      </c>
      <c r="B718" s="268" t="s">
        <v>1911</v>
      </c>
      <c r="C718" s="5" t="s">
        <v>1341</v>
      </c>
      <c r="D718" s="5" t="s">
        <v>1314</v>
      </c>
      <c r="E718" s="195">
        <v>49000</v>
      </c>
      <c r="F718" s="196">
        <v>49000</v>
      </c>
    </row>
    <row r="719" spans="1:6" x14ac:dyDescent="0.2">
      <c r="A719" s="52" t="s">
        <v>147</v>
      </c>
      <c r="B719" s="268" t="s">
        <v>1911</v>
      </c>
      <c r="C719" s="5" t="s">
        <v>1341</v>
      </c>
      <c r="D719" s="5" t="s">
        <v>1220</v>
      </c>
      <c r="E719" s="195">
        <v>49000</v>
      </c>
      <c r="F719" s="196">
        <v>49000</v>
      </c>
    </row>
    <row r="720" spans="1:6" x14ac:dyDescent="0.2">
      <c r="A720" s="52" t="s">
        <v>1147</v>
      </c>
      <c r="B720" s="268" t="s">
        <v>1911</v>
      </c>
      <c r="C720" s="5" t="s">
        <v>1341</v>
      </c>
      <c r="D720" s="5" t="s">
        <v>1148</v>
      </c>
      <c r="E720" s="195">
        <v>49000</v>
      </c>
      <c r="F720" s="196">
        <v>49000</v>
      </c>
    </row>
    <row r="721" spans="1:6" ht="127.5" x14ac:dyDescent="0.2">
      <c r="A721" s="52" t="s">
        <v>1016</v>
      </c>
      <c r="B721" s="268" t="s">
        <v>1017</v>
      </c>
      <c r="C721" s="5" t="s">
        <v>1314</v>
      </c>
      <c r="D721" s="5" t="s">
        <v>1314</v>
      </c>
      <c r="E721" s="195">
        <v>611000</v>
      </c>
      <c r="F721" s="196">
        <v>611000</v>
      </c>
    </row>
    <row r="722" spans="1:6" ht="38.25" x14ac:dyDescent="0.2">
      <c r="A722" s="52" t="s">
        <v>1502</v>
      </c>
      <c r="B722" s="268" t="s">
        <v>1017</v>
      </c>
      <c r="C722" s="5" t="s">
        <v>1503</v>
      </c>
      <c r="D722" s="5" t="s">
        <v>1314</v>
      </c>
      <c r="E722" s="195">
        <v>230000</v>
      </c>
      <c r="F722" s="196">
        <v>230000</v>
      </c>
    </row>
    <row r="723" spans="1:6" ht="38.25" x14ac:dyDescent="0.2">
      <c r="A723" s="52" t="s">
        <v>1338</v>
      </c>
      <c r="B723" s="268" t="s">
        <v>1017</v>
      </c>
      <c r="C723" s="5" t="s">
        <v>1339</v>
      </c>
      <c r="D723" s="5" t="s">
        <v>1314</v>
      </c>
      <c r="E723" s="195">
        <v>230000</v>
      </c>
      <c r="F723" s="196">
        <v>230000</v>
      </c>
    </row>
    <row r="724" spans="1:6" x14ac:dyDescent="0.2">
      <c r="A724" s="52" t="s">
        <v>266</v>
      </c>
      <c r="B724" s="268" t="s">
        <v>1017</v>
      </c>
      <c r="C724" s="5" t="s">
        <v>1339</v>
      </c>
      <c r="D724" s="5" t="s">
        <v>1226</v>
      </c>
      <c r="E724" s="195">
        <v>230000</v>
      </c>
      <c r="F724" s="196">
        <v>230000</v>
      </c>
    </row>
    <row r="725" spans="1:6" ht="25.5" x14ac:dyDescent="0.2">
      <c r="A725" s="52" t="s">
        <v>0</v>
      </c>
      <c r="B725" s="268" t="s">
        <v>1017</v>
      </c>
      <c r="C725" s="5" t="s">
        <v>1339</v>
      </c>
      <c r="D725" s="5" t="s">
        <v>442</v>
      </c>
      <c r="E725" s="195">
        <v>230000</v>
      </c>
      <c r="F725" s="196">
        <v>230000</v>
      </c>
    </row>
    <row r="726" spans="1:6" ht="38.25" x14ac:dyDescent="0.2">
      <c r="A726" s="52" t="s">
        <v>1510</v>
      </c>
      <c r="B726" s="268" t="s">
        <v>1017</v>
      </c>
      <c r="C726" s="5" t="s">
        <v>1511</v>
      </c>
      <c r="D726" s="5" t="s">
        <v>1314</v>
      </c>
      <c r="E726" s="195">
        <v>381000</v>
      </c>
      <c r="F726" s="196">
        <v>381000</v>
      </c>
    </row>
    <row r="727" spans="1:6" x14ac:dyDescent="0.2">
      <c r="A727" s="52" t="s">
        <v>1340</v>
      </c>
      <c r="B727" s="268" t="s">
        <v>1017</v>
      </c>
      <c r="C727" s="5" t="s">
        <v>1341</v>
      </c>
      <c r="D727" s="5" t="s">
        <v>1314</v>
      </c>
      <c r="E727" s="195">
        <v>381000</v>
      </c>
      <c r="F727" s="196">
        <v>381000</v>
      </c>
    </row>
    <row r="728" spans="1:6" x14ac:dyDescent="0.2">
      <c r="A728" s="52" t="s">
        <v>147</v>
      </c>
      <c r="B728" s="268" t="s">
        <v>1017</v>
      </c>
      <c r="C728" s="5" t="s">
        <v>1341</v>
      </c>
      <c r="D728" s="5" t="s">
        <v>1220</v>
      </c>
      <c r="E728" s="195">
        <v>381000</v>
      </c>
      <c r="F728" s="196">
        <v>381000</v>
      </c>
    </row>
    <row r="729" spans="1:6" x14ac:dyDescent="0.2">
      <c r="A729" s="52" t="s">
        <v>1147</v>
      </c>
      <c r="B729" s="268" t="s">
        <v>1017</v>
      </c>
      <c r="C729" s="5" t="s">
        <v>1341</v>
      </c>
      <c r="D729" s="5" t="s">
        <v>1148</v>
      </c>
      <c r="E729" s="195">
        <v>381000</v>
      </c>
      <c r="F729" s="196">
        <v>381000</v>
      </c>
    </row>
    <row r="730" spans="1:6" ht="25.5" x14ac:dyDescent="0.2">
      <c r="A730" s="52" t="s">
        <v>507</v>
      </c>
      <c r="B730" s="268" t="s">
        <v>1045</v>
      </c>
      <c r="C730" s="5" t="s">
        <v>1314</v>
      </c>
      <c r="D730" s="5" t="s">
        <v>1314</v>
      </c>
      <c r="E730" s="195">
        <v>13117533</v>
      </c>
      <c r="F730" s="196">
        <v>13117533</v>
      </c>
    </row>
    <row r="731" spans="1:6" ht="38.25" x14ac:dyDescent="0.2">
      <c r="A731" s="52" t="s">
        <v>508</v>
      </c>
      <c r="B731" s="268" t="s">
        <v>1046</v>
      </c>
      <c r="C731" s="5" t="s">
        <v>1314</v>
      </c>
      <c r="D731" s="5" t="s">
        <v>1314</v>
      </c>
      <c r="E731" s="195">
        <v>3038350</v>
      </c>
      <c r="F731" s="196">
        <v>3038350</v>
      </c>
    </row>
    <row r="732" spans="1:6" ht="63.75" x14ac:dyDescent="0.2">
      <c r="A732" s="52" t="s">
        <v>1014</v>
      </c>
      <c r="B732" s="268" t="s">
        <v>1015</v>
      </c>
      <c r="C732" s="5" t="s">
        <v>1314</v>
      </c>
      <c r="D732" s="5" t="s">
        <v>1314</v>
      </c>
      <c r="E732" s="195">
        <v>50000</v>
      </c>
      <c r="F732" s="196">
        <v>50000</v>
      </c>
    </row>
    <row r="733" spans="1:6" ht="38.25" x14ac:dyDescent="0.2">
      <c r="A733" s="52" t="s">
        <v>1510</v>
      </c>
      <c r="B733" s="268" t="s">
        <v>1015</v>
      </c>
      <c r="C733" s="5" t="s">
        <v>1511</v>
      </c>
      <c r="D733" s="5" t="s">
        <v>1314</v>
      </c>
      <c r="E733" s="195">
        <v>50000</v>
      </c>
      <c r="F733" s="196">
        <v>50000</v>
      </c>
    </row>
    <row r="734" spans="1:6" x14ac:dyDescent="0.2">
      <c r="A734" s="52" t="s">
        <v>1340</v>
      </c>
      <c r="B734" s="268" t="s">
        <v>1015</v>
      </c>
      <c r="C734" s="5" t="s">
        <v>1341</v>
      </c>
      <c r="D734" s="5" t="s">
        <v>1314</v>
      </c>
      <c r="E734" s="195">
        <v>50000</v>
      </c>
      <c r="F734" s="196">
        <v>50000</v>
      </c>
    </row>
    <row r="735" spans="1:6" x14ac:dyDescent="0.2">
      <c r="A735" s="52" t="s">
        <v>147</v>
      </c>
      <c r="B735" s="268" t="s">
        <v>1015</v>
      </c>
      <c r="C735" s="5" t="s">
        <v>1341</v>
      </c>
      <c r="D735" s="5" t="s">
        <v>1220</v>
      </c>
      <c r="E735" s="195">
        <v>50000</v>
      </c>
      <c r="F735" s="196">
        <v>50000</v>
      </c>
    </row>
    <row r="736" spans="1:6" x14ac:dyDescent="0.2">
      <c r="A736" s="52" t="s">
        <v>1145</v>
      </c>
      <c r="B736" s="268" t="s">
        <v>1015</v>
      </c>
      <c r="C736" s="5" t="s">
        <v>1341</v>
      </c>
      <c r="D736" s="5" t="s">
        <v>405</v>
      </c>
      <c r="E736" s="195">
        <v>50000</v>
      </c>
      <c r="F736" s="196">
        <v>50000</v>
      </c>
    </row>
    <row r="737" spans="1:6" ht="89.25" x14ac:dyDescent="0.2">
      <c r="A737" s="52" t="s">
        <v>1681</v>
      </c>
      <c r="B737" s="268" t="s">
        <v>1682</v>
      </c>
      <c r="C737" s="5" t="s">
        <v>1314</v>
      </c>
      <c r="D737" s="5" t="s">
        <v>1314</v>
      </c>
      <c r="E737" s="195">
        <v>282030</v>
      </c>
      <c r="F737" s="196">
        <v>282030</v>
      </c>
    </row>
    <row r="738" spans="1:6" ht="38.25" x14ac:dyDescent="0.2">
      <c r="A738" s="52" t="s">
        <v>1510</v>
      </c>
      <c r="B738" s="268" t="s">
        <v>1682</v>
      </c>
      <c r="C738" s="5" t="s">
        <v>1511</v>
      </c>
      <c r="D738" s="5" t="s">
        <v>1314</v>
      </c>
      <c r="E738" s="195">
        <v>282030</v>
      </c>
      <c r="F738" s="196">
        <v>282030</v>
      </c>
    </row>
    <row r="739" spans="1:6" x14ac:dyDescent="0.2">
      <c r="A739" s="52" t="s">
        <v>1340</v>
      </c>
      <c r="B739" s="268" t="s">
        <v>1682</v>
      </c>
      <c r="C739" s="5" t="s">
        <v>1341</v>
      </c>
      <c r="D739" s="5" t="s">
        <v>1314</v>
      </c>
      <c r="E739" s="195">
        <v>282030</v>
      </c>
      <c r="F739" s="196">
        <v>282030</v>
      </c>
    </row>
    <row r="740" spans="1:6" x14ac:dyDescent="0.2">
      <c r="A740" s="52" t="s">
        <v>147</v>
      </c>
      <c r="B740" s="268" t="s">
        <v>1682</v>
      </c>
      <c r="C740" s="5" t="s">
        <v>1341</v>
      </c>
      <c r="D740" s="5" t="s">
        <v>1220</v>
      </c>
      <c r="E740" s="195">
        <v>282030</v>
      </c>
      <c r="F740" s="196">
        <v>282030</v>
      </c>
    </row>
    <row r="741" spans="1:6" x14ac:dyDescent="0.2">
      <c r="A741" s="52" t="s">
        <v>1145</v>
      </c>
      <c r="B741" s="268" t="s">
        <v>1682</v>
      </c>
      <c r="C741" s="5" t="s">
        <v>1341</v>
      </c>
      <c r="D741" s="5" t="s">
        <v>405</v>
      </c>
      <c r="E741" s="195">
        <v>282030</v>
      </c>
      <c r="F741" s="196">
        <v>282030</v>
      </c>
    </row>
    <row r="742" spans="1:6" ht="76.5" x14ac:dyDescent="0.2">
      <c r="A742" s="52" t="s">
        <v>1748</v>
      </c>
      <c r="B742" s="268" t="s">
        <v>739</v>
      </c>
      <c r="C742" s="5" t="s">
        <v>1314</v>
      </c>
      <c r="D742" s="5" t="s">
        <v>1314</v>
      </c>
      <c r="E742" s="195">
        <v>206320</v>
      </c>
      <c r="F742" s="196">
        <v>206320</v>
      </c>
    </row>
    <row r="743" spans="1:6" ht="38.25" x14ac:dyDescent="0.2">
      <c r="A743" s="52" t="s">
        <v>1510</v>
      </c>
      <c r="B743" s="268" t="s">
        <v>739</v>
      </c>
      <c r="C743" s="5" t="s">
        <v>1511</v>
      </c>
      <c r="D743" s="5" t="s">
        <v>1314</v>
      </c>
      <c r="E743" s="195">
        <v>206320</v>
      </c>
      <c r="F743" s="196">
        <v>206320</v>
      </c>
    </row>
    <row r="744" spans="1:6" x14ac:dyDescent="0.2">
      <c r="A744" s="52" t="s">
        <v>1340</v>
      </c>
      <c r="B744" s="268" t="s">
        <v>739</v>
      </c>
      <c r="C744" s="5" t="s">
        <v>1341</v>
      </c>
      <c r="D744" s="5" t="s">
        <v>1314</v>
      </c>
      <c r="E744" s="195">
        <v>206320</v>
      </c>
      <c r="F744" s="196">
        <v>206320</v>
      </c>
    </row>
    <row r="745" spans="1:6" x14ac:dyDescent="0.2">
      <c r="A745" s="52" t="s">
        <v>147</v>
      </c>
      <c r="B745" s="268" t="s">
        <v>739</v>
      </c>
      <c r="C745" s="5" t="s">
        <v>1341</v>
      </c>
      <c r="D745" s="5" t="s">
        <v>1220</v>
      </c>
      <c r="E745" s="195">
        <v>206320</v>
      </c>
      <c r="F745" s="196">
        <v>206320</v>
      </c>
    </row>
    <row r="746" spans="1:6" x14ac:dyDescent="0.2">
      <c r="A746" s="52" t="s">
        <v>1145</v>
      </c>
      <c r="B746" s="268" t="s">
        <v>739</v>
      </c>
      <c r="C746" s="5" t="s">
        <v>1341</v>
      </c>
      <c r="D746" s="5" t="s">
        <v>405</v>
      </c>
      <c r="E746" s="195">
        <v>206320</v>
      </c>
      <c r="F746" s="196">
        <v>206320</v>
      </c>
    </row>
    <row r="747" spans="1:6" ht="153" x14ac:dyDescent="0.2">
      <c r="A747" s="52" t="s">
        <v>1698</v>
      </c>
      <c r="B747" s="268" t="s">
        <v>856</v>
      </c>
      <c r="C747" s="5" t="s">
        <v>1314</v>
      </c>
      <c r="D747" s="5" t="s">
        <v>1314</v>
      </c>
      <c r="E747" s="195">
        <v>2500000</v>
      </c>
      <c r="F747" s="196">
        <v>2500000</v>
      </c>
    </row>
    <row r="748" spans="1:6" x14ac:dyDescent="0.2">
      <c r="A748" s="52" t="s">
        <v>1512</v>
      </c>
      <c r="B748" s="268" t="s">
        <v>856</v>
      </c>
      <c r="C748" s="5" t="s">
        <v>1513</v>
      </c>
      <c r="D748" s="5" t="s">
        <v>1314</v>
      </c>
      <c r="E748" s="195">
        <v>2500000</v>
      </c>
      <c r="F748" s="196">
        <v>2500000</v>
      </c>
    </row>
    <row r="749" spans="1:6" x14ac:dyDescent="0.2">
      <c r="A749" s="52" t="s">
        <v>72</v>
      </c>
      <c r="B749" s="268" t="s">
        <v>856</v>
      </c>
      <c r="C749" s="5" t="s">
        <v>470</v>
      </c>
      <c r="D749" s="5" t="s">
        <v>1314</v>
      </c>
      <c r="E749" s="195">
        <v>2500000</v>
      </c>
      <c r="F749" s="196">
        <v>2500000</v>
      </c>
    </row>
    <row r="750" spans="1:6" x14ac:dyDescent="0.2">
      <c r="A750" s="52" t="s">
        <v>147</v>
      </c>
      <c r="B750" s="268" t="s">
        <v>856</v>
      </c>
      <c r="C750" s="5" t="s">
        <v>470</v>
      </c>
      <c r="D750" s="5" t="s">
        <v>1220</v>
      </c>
      <c r="E750" s="195">
        <v>2500000</v>
      </c>
      <c r="F750" s="196">
        <v>2500000</v>
      </c>
    </row>
    <row r="751" spans="1:6" x14ac:dyDescent="0.2">
      <c r="A751" s="52" t="s">
        <v>1145</v>
      </c>
      <c r="B751" s="268" t="s">
        <v>856</v>
      </c>
      <c r="C751" s="5" t="s">
        <v>470</v>
      </c>
      <c r="D751" s="5" t="s">
        <v>405</v>
      </c>
      <c r="E751" s="195">
        <v>2500000</v>
      </c>
      <c r="F751" s="196">
        <v>2500000</v>
      </c>
    </row>
    <row r="752" spans="1:6" ht="38.25" x14ac:dyDescent="0.2">
      <c r="A752" s="52" t="s">
        <v>510</v>
      </c>
      <c r="B752" s="268" t="s">
        <v>1153</v>
      </c>
      <c r="C752" s="5" t="s">
        <v>1314</v>
      </c>
      <c r="D752" s="5" t="s">
        <v>1314</v>
      </c>
      <c r="E752" s="195">
        <v>170000</v>
      </c>
      <c r="F752" s="196">
        <v>170000</v>
      </c>
    </row>
    <row r="753" spans="1:6" ht="63.75" x14ac:dyDescent="0.2">
      <c r="A753" s="52" t="s">
        <v>409</v>
      </c>
      <c r="B753" s="268" t="s">
        <v>740</v>
      </c>
      <c r="C753" s="5" t="s">
        <v>1314</v>
      </c>
      <c r="D753" s="5" t="s">
        <v>1314</v>
      </c>
      <c r="E753" s="195">
        <v>150000</v>
      </c>
      <c r="F753" s="196">
        <v>150000</v>
      </c>
    </row>
    <row r="754" spans="1:6" ht="38.25" x14ac:dyDescent="0.2">
      <c r="A754" s="52" t="s">
        <v>1510</v>
      </c>
      <c r="B754" s="268" t="s">
        <v>740</v>
      </c>
      <c r="C754" s="5" t="s">
        <v>1511</v>
      </c>
      <c r="D754" s="5" t="s">
        <v>1314</v>
      </c>
      <c r="E754" s="195">
        <v>150000</v>
      </c>
      <c r="F754" s="196">
        <v>150000</v>
      </c>
    </row>
    <row r="755" spans="1:6" x14ac:dyDescent="0.2">
      <c r="A755" s="52" t="s">
        <v>1340</v>
      </c>
      <c r="B755" s="268" t="s">
        <v>740</v>
      </c>
      <c r="C755" s="5" t="s">
        <v>1341</v>
      </c>
      <c r="D755" s="5" t="s">
        <v>1314</v>
      </c>
      <c r="E755" s="195">
        <v>150000</v>
      </c>
      <c r="F755" s="196">
        <v>150000</v>
      </c>
    </row>
    <row r="756" spans="1:6" x14ac:dyDescent="0.2">
      <c r="A756" s="52" t="s">
        <v>147</v>
      </c>
      <c r="B756" s="268" t="s">
        <v>740</v>
      </c>
      <c r="C756" s="5" t="s">
        <v>1341</v>
      </c>
      <c r="D756" s="5" t="s">
        <v>1220</v>
      </c>
      <c r="E756" s="195">
        <v>150000</v>
      </c>
      <c r="F756" s="196">
        <v>150000</v>
      </c>
    </row>
    <row r="757" spans="1:6" x14ac:dyDescent="0.2">
      <c r="A757" s="52" t="s">
        <v>1145</v>
      </c>
      <c r="B757" s="268" t="s">
        <v>740</v>
      </c>
      <c r="C757" s="5" t="s">
        <v>1341</v>
      </c>
      <c r="D757" s="5" t="s">
        <v>405</v>
      </c>
      <c r="E757" s="195">
        <v>150000</v>
      </c>
      <c r="F757" s="196">
        <v>150000</v>
      </c>
    </row>
    <row r="758" spans="1:6" ht="102" x14ac:dyDescent="0.2">
      <c r="A758" s="52" t="s">
        <v>1750</v>
      </c>
      <c r="B758" s="268" t="s">
        <v>1733</v>
      </c>
      <c r="C758" s="5" t="s">
        <v>1314</v>
      </c>
      <c r="D758" s="5" t="s">
        <v>1314</v>
      </c>
      <c r="E758" s="195">
        <v>20000</v>
      </c>
      <c r="F758" s="196">
        <v>20000</v>
      </c>
    </row>
    <row r="759" spans="1:6" ht="38.25" x14ac:dyDescent="0.2">
      <c r="A759" s="52" t="s">
        <v>1510</v>
      </c>
      <c r="B759" s="268" t="s">
        <v>1733</v>
      </c>
      <c r="C759" s="5" t="s">
        <v>1511</v>
      </c>
      <c r="D759" s="5" t="s">
        <v>1314</v>
      </c>
      <c r="E759" s="195">
        <v>20000</v>
      </c>
      <c r="F759" s="196">
        <v>20000</v>
      </c>
    </row>
    <row r="760" spans="1:6" x14ac:dyDescent="0.2">
      <c r="A760" s="52" t="s">
        <v>1340</v>
      </c>
      <c r="B760" s="268" t="s">
        <v>1733</v>
      </c>
      <c r="C760" s="5" t="s">
        <v>1341</v>
      </c>
      <c r="D760" s="5" t="s">
        <v>1314</v>
      </c>
      <c r="E760" s="195">
        <v>20000</v>
      </c>
      <c r="F760" s="196">
        <v>20000</v>
      </c>
    </row>
    <row r="761" spans="1:6" x14ac:dyDescent="0.2">
      <c r="A761" s="52" t="s">
        <v>147</v>
      </c>
      <c r="B761" s="268" t="s">
        <v>1733</v>
      </c>
      <c r="C761" s="5" t="s">
        <v>1341</v>
      </c>
      <c r="D761" s="5" t="s">
        <v>1220</v>
      </c>
      <c r="E761" s="195">
        <v>20000</v>
      </c>
      <c r="F761" s="196">
        <v>20000</v>
      </c>
    </row>
    <row r="762" spans="1:6" x14ac:dyDescent="0.2">
      <c r="A762" s="52" t="s">
        <v>1145</v>
      </c>
      <c r="B762" s="268" t="s">
        <v>1733</v>
      </c>
      <c r="C762" s="5" t="s">
        <v>1341</v>
      </c>
      <c r="D762" s="5" t="s">
        <v>405</v>
      </c>
      <c r="E762" s="195">
        <v>20000</v>
      </c>
      <c r="F762" s="196">
        <v>20000</v>
      </c>
    </row>
    <row r="763" spans="1:6" ht="38.25" x14ac:dyDescent="0.2">
      <c r="A763" s="52" t="s">
        <v>488</v>
      </c>
      <c r="B763" s="268" t="s">
        <v>1048</v>
      </c>
      <c r="C763" s="5" t="s">
        <v>1314</v>
      </c>
      <c r="D763" s="5" t="s">
        <v>1314</v>
      </c>
      <c r="E763" s="195">
        <v>9709183</v>
      </c>
      <c r="F763" s="196">
        <v>9709183</v>
      </c>
    </row>
    <row r="764" spans="1:6" ht="127.5" x14ac:dyDescent="0.2">
      <c r="A764" s="52" t="s">
        <v>411</v>
      </c>
      <c r="B764" s="268" t="s">
        <v>742</v>
      </c>
      <c r="C764" s="5" t="s">
        <v>1314</v>
      </c>
      <c r="D764" s="5" t="s">
        <v>1314</v>
      </c>
      <c r="E764" s="195">
        <v>6655583</v>
      </c>
      <c r="F764" s="196">
        <v>6655583</v>
      </c>
    </row>
    <row r="765" spans="1:6" ht="38.25" x14ac:dyDescent="0.2">
      <c r="A765" s="52" t="s">
        <v>1510</v>
      </c>
      <c r="B765" s="268" t="s">
        <v>742</v>
      </c>
      <c r="C765" s="5" t="s">
        <v>1511</v>
      </c>
      <c r="D765" s="5" t="s">
        <v>1314</v>
      </c>
      <c r="E765" s="195">
        <v>6655583</v>
      </c>
      <c r="F765" s="196">
        <v>6655583</v>
      </c>
    </row>
    <row r="766" spans="1:6" x14ac:dyDescent="0.2">
      <c r="A766" s="52" t="s">
        <v>1340</v>
      </c>
      <c r="B766" s="268" t="s">
        <v>742</v>
      </c>
      <c r="C766" s="5" t="s">
        <v>1341</v>
      </c>
      <c r="D766" s="5" t="s">
        <v>1314</v>
      </c>
      <c r="E766" s="195">
        <v>6655583</v>
      </c>
      <c r="F766" s="196">
        <v>6655583</v>
      </c>
    </row>
    <row r="767" spans="1:6" x14ac:dyDescent="0.2">
      <c r="A767" s="52" t="s">
        <v>147</v>
      </c>
      <c r="B767" s="268" t="s">
        <v>742</v>
      </c>
      <c r="C767" s="5" t="s">
        <v>1341</v>
      </c>
      <c r="D767" s="5" t="s">
        <v>1220</v>
      </c>
      <c r="E767" s="195">
        <v>6655583</v>
      </c>
      <c r="F767" s="196">
        <v>6655583</v>
      </c>
    </row>
    <row r="768" spans="1:6" x14ac:dyDescent="0.2">
      <c r="A768" s="52" t="s">
        <v>1145</v>
      </c>
      <c r="B768" s="268" t="s">
        <v>742</v>
      </c>
      <c r="C768" s="5" t="s">
        <v>1341</v>
      </c>
      <c r="D768" s="5" t="s">
        <v>405</v>
      </c>
      <c r="E768" s="195">
        <v>6655583</v>
      </c>
      <c r="F768" s="196">
        <v>6655583</v>
      </c>
    </row>
    <row r="769" spans="1:6" ht="178.5" x14ac:dyDescent="0.2">
      <c r="A769" s="52" t="s">
        <v>412</v>
      </c>
      <c r="B769" s="268" t="s">
        <v>743</v>
      </c>
      <c r="C769" s="5" t="s">
        <v>1314</v>
      </c>
      <c r="D769" s="5" t="s">
        <v>1314</v>
      </c>
      <c r="E769" s="195">
        <v>1000000</v>
      </c>
      <c r="F769" s="196">
        <v>1000000</v>
      </c>
    </row>
    <row r="770" spans="1:6" ht="38.25" x14ac:dyDescent="0.2">
      <c r="A770" s="52" t="s">
        <v>1510</v>
      </c>
      <c r="B770" s="268" t="s">
        <v>743</v>
      </c>
      <c r="C770" s="5" t="s">
        <v>1511</v>
      </c>
      <c r="D770" s="5" t="s">
        <v>1314</v>
      </c>
      <c r="E770" s="195">
        <v>1000000</v>
      </c>
      <c r="F770" s="196">
        <v>1000000</v>
      </c>
    </row>
    <row r="771" spans="1:6" x14ac:dyDescent="0.2">
      <c r="A771" s="52" t="s">
        <v>1340</v>
      </c>
      <c r="B771" s="268" t="s">
        <v>743</v>
      </c>
      <c r="C771" s="5" t="s">
        <v>1341</v>
      </c>
      <c r="D771" s="5" t="s">
        <v>1314</v>
      </c>
      <c r="E771" s="195">
        <v>1000000</v>
      </c>
      <c r="F771" s="196">
        <v>1000000</v>
      </c>
    </row>
    <row r="772" spans="1:6" x14ac:dyDescent="0.2">
      <c r="A772" s="52" t="s">
        <v>147</v>
      </c>
      <c r="B772" s="268" t="s">
        <v>743</v>
      </c>
      <c r="C772" s="5" t="s">
        <v>1341</v>
      </c>
      <c r="D772" s="5" t="s">
        <v>1220</v>
      </c>
      <c r="E772" s="195">
        <v>1000000</v>
      </c>
      <c r="F772" s="196">
        <v>1000000</v>
      </c>
    </row>
    <row r="773" spans="1:6" x14ac:dyDescent="0.2">
      <c r="A773" s="52" t="s">
        <v>1145</v>
      </c>
      <c r="B773" s="268" t="s">
        <v>743</v>
      </c>
      <c r="C773" s="5" t="s">
        <v>1341</v>
      </c>
      <c r="D773" s="5" t="s">
        <v>405</v>
      </c>
      <c r="E773" s="195">
        <v>1000000</v>
      </c>
      <c r="F773" s="196">
        <v>1000000</v>
      </c>
    </row>
    <row r="774" spans="1:6" ht="127.5" x14ac:dyDescent="0.2">
      <c r="A774" s="52" t="s">
        <v>964</v>
      </c>
      <c r="B774" s="268" t="s">
        <v>963</v>
      </c>
      <c r="C774" s="5" t="s">
        <v>1314</v>
      </c>
      <c r="D774" s="5" t="s">
        <v>1314</v>
      </c>
      <c r="E774" s="195">
        <v>30000</v>
      </c>
      <c r="F774" s="196">
        <v>30000</v>
      </c>
    </row>
    <row r="775" spans="1:6" ht="38.25" x14ac:dyDescent="0.2">
      <c r="A775" s="52" t="s">
        <v>1510</v>
      </c>
      <c r="B775" s="268" t="s">
        <v>963</v>
      </c>
      <c r="C775" s="5" t="s">
        <v>1511</v>
      </c>
      <c r="D775" s="5" t="s">
        <v>1314</v>
      </c>
      <c r="E775" s="195">
        <v>30000</v>
      </c>
      <c r="F775" s="196">
        <v>30000</v>
      </c>
    </row>
    <row r="776" spans="1:6" x14ac:dyDescent="0.2">
      <c r="A776" s="52" t="s">
        <v>1340</v>
      </c>
      <c r="B776" s="268" t="s">
        <v>963</v>
      </c>
      <c r="C776" s="5" t="s">
        <v>1341</v>
      </c>
      <c r="D776" s="5" t="s">
        <v>1314</v>
      </c>
      <c r="E776" s="195">
        <v>30000</v>
      </c>
      <c r="F776" s="196">
        <v>30000</v>
      </c>
    </row>
    <row r="777" spans="1:6" x14ac:dyDescent="0.2">
      <c r="A777" s="52" t="s">
        <v>147</v>
      </c>
      <c r="B777" s="268" t="s">
        <v>963</v>
      </c>
      <c r="C777" s="5" t="s">
        <v>1341</v>
      </c>
      <c r="D777" s="5" t="s">
        <v>1220</v>
      </c>
      <c r="E777" s="195">
        <v>30000</v>
      </c>
      <c r="F777" s="196">
        <v>30000</v>
      </c>
    </row>
    <row r="778" spans="1:6" x14ac:dyDescent="0.2">
      <c r="A778" s="52" t="s">
        <v>1145</v>
      </c>
      <c r="B778" s="268" t="s">
        <v>963</v>
      </c>
      <c r="C778" s="5" t="s">
        <v>1341</v>
      </c>
      <c r="D778" s="5" t="s">
        <v>405</v>
      </c>
      <c r="E778" s="195">
        <v>30000</v>
      </c>
      <c r="F778" s="196">
        <v>30000</v>
      </c>
    </row>
    <row r="779" spans="1:6" ht="102" x14ac:dyDescent="0.2">
      <c r="A779" s="52" t="s">
        <v>1362</v>
      </c>
      <c r="B779" s="268" t="s">
        <v>1363</v>
      </c>
      <c r="C779" s="5" t="s">
        <v>1314</v>
      </c>
      <c r="D779" s="5" t="s">
        <v>1314</v>
      </c>
      <c r="E779" s="195">
        <v>700000</v>
      </c>
      <c r="F779" s="196">
        <v>700000</v>
      </c>
    </row>
    <row r="780" spans="1:6" ht="38.25" x14ac:dyDescent="0.2">
      <c r="A780" s="52" t="s">
        <v>1510</v>
      </c>
      <c r="B780" s="268" t="s">
        <v>1363</v>
      </c>
      <c r="C780" s="5" t="s">
        <v>1511</v>
      </c>
      <c r="D780" s="5" t="s">
        <v>1314</v>
      </c>
      <c r="E780" s="195">
        <v>700000</v>
      </c>
      <c r="F780" s="196">
        <v>700000</v>
      </c>
    </row>
    <row r="781" spans="1:6" x14ac:dyDescent="0.2">
      <c r="A781" s="52" t="s">
        <v>1340</v>
      </c>
      <c r="B781" s="268" t="s">
        <v>1363</v>
      </c>
      <c r="C781" s="5" t="s">
        <v>1341</v>
      </c>
      <c r="D781" s="5" t="s">
        <v>1314</v>
      </c>
      <c r="E781" s="195">
        <v>700000</v>
      </c>
      <c r="F781" s="196">
        <v>700000</v>
      </c>
    </row>
    <row r="782" spans="1:6" x14ac:dyDescent="0.2">
      <c r="A782" s="52" t="s">
        <v>147</v>
      </c>
      <c r="B782" s="268" t="s">
        <v>1363</v>
      </c>
      <c r="C782" s="5" t="s">
        <v>1341</v>
      </c>
      <c r="D782" s="5" t="s">
        <v>1220</v>
      </c>
      <c r="E782" s="195">
        <v>700000</v>
      </c>
      <c r="F782" s="196">
        <v>700000</v>
      </c>
    </row>
    <row r="783" spans="1:6" x14ac:dyDescent="0.2">
      <c r="A783" s="52" t="s">
        <v>1145</v>
      </c>
      <c r="B783" s="268" t="s">
        <v>1363</v>
      </c>
      <c r="C783" s="5" t="s">
        <v>1341</v>
      </c>
      <c r="D783" s="5" t="s">
        <v>405</v>
      </c>
      <c r="E783" s="195">
        <v>700000</v>
      </c>
      <c r="F783" s="196">
        <v>700000</v>
      </c>
    </row>
    <row r="784" spans="1:6" ht="114.75" x14ac:dyDescent="0.2">
      <c r="A784" s="52" t="s">
        <v>1912</v>
      </c>
      <c r="B784" s="268" t="s">
        <v>1913</v>
      </c>
      <c r="C784" s="5" t="s">
        <v>1314</v>
      </c>
      <c r="D784" s="5" t="s">
        <v>1314</v>
      </c>
      <c r="E784" s="195">
        <v>42000</v>
      </c>
      <c r="F784" s="196">
        <v>42000</v>
      </c>
    </row>
    <row r="785" spans="1:6" ht="38.25" x14ac:dyDescent="0.2">
      <c r="A785" s="52" t="s">
        <v>1510</v>
      </c>
      <c r="B785" s="268" t="s">
        <v>1913</v>
      </c>
      <c r="C785" s="5" t="s">
        <v>1511</v>
      </c>
      <c r="D785" s="5" t="s">
        <v>1314</v>
      </c>
      <c r="E785" s="195">
        <v>42000</v>
      </c>
      <c r="F785" s="196">
        <v>42000</v>
      </c>
    </row>
    <row r="786" spans="1:6" x14ac:dyDescent="0.2">
      <c r="A786" s="52" t="s">
        <v>1340</v>
      </c>
      <c r="B786" s="268" t="s">
        <v>1913</v>
      </c>
      <c r="C786" s="5" t="s">
        <v>1341</v>
      </c>
      <c r="D786" s="5" t="s">
        <v>1314</v>
      </c>
      <c r="E786" s="195">
        <v>42000</v>
      </c>
      <c r="F786" s="196">
        <v>42000</v>
      </c>
    </row>
    <row r="787" spans="1:6" x14ac:dyDescent="0.2">
      <c r="A787" s="52" t="s">
        <v>147</v>
      </c>
      <c r="B787" s="268" t="s">
        <v>1913</v>
      </c>
      <c r="C787" s="5" t="s">
        <v>1341</v>
      </c>
      <c r="D787" s="5" t="s">
        <v>1220</v>
      </c>
      <c r="E787" s="195">
        <v>42000</v>
      </c>
      <c r="F787" s="196">
        <v>42000</v>
      </c>
    </row>
    <row r="788" spans="1:6" x14ac:dyDescent="0.2">
      <c r="A788" s="52" t="s">
        <v>1145</v>
      </c>
      <c r="B788" s="268" t="s">
        <v>1913</v>
      </c>
      <c r="C788" s="5" t="s">
        <v>1341</v>
      </c>
      <c r="D788" s="5" t="s">
        <v>405</v>
      </c>
      <c r="E788" s="195">
        <v>42000</v>
      </c>
      <c r="F788" s="196">
        <v>42000</v>
      </c>
    </row>
    <row r="789" spans="1:6" ht="89.25" x14ac:dyDescent="0.2">
      <c r="A789" s="52" t="s">
        <v>1364</v>
      </c>
      <c r="B789" s="268" t="s">
        <v>1365</v>
      </c>
      <c r="C789" s="5" t="s">
        <v>1314</v>
      </c>
      <c r="D789" s="5" t="s">
        <v>1314</v>
      </c>
      <c r="E789" s="195">
        <v>250000</v>
      </c>
      <c r="F789" s="196">
        <v>250000</v>
      </c>
    </row>
    <row r="790" spans="1:6" ht="38.25" x14ac:dyDescent="0.2">
      <c r="A790" s="52" t="s">
        <v>1510</v>
      </c>
      <c r="B790" s="268" t="s">
        <v>1365</v>
      </c>
      <c r="C790" s="5" t="s">
        <v>1511</v>
      </c>
      <c r="D790" s="5" t="s">
        <v>1314</v>
      </c>
      <c r="E790" s="195">
        <v>250000</v>
      </c>
      <c r="F790" s="196">
        <v>250000</v>
      </c>
    </row>
    <row r="791" spans="1:6" x14ac:dyDescent="0.2">
      <c r="A791" s="52" t="s">
        <v>1340</v>
      </c>
      <c r="B791" s="268" t="s">
        <v>1365</v>
      </c>
      <c r="C791" s="5" t="s">
        <v>1341</v>
      </c>
      <c r="D791" s="5" t="s">
        <v>1314</v>
      </c>
      <c r="E791" s="195">
        <v>250000</v>
      </c>
      <c r="F791" s="196">
        <v>250000</v>
      </c>
    </row>
    <row r="792" spans="1:6" x14ac:dyDescent="0.2">
      <c r="A792" s="52" t="s">
        <v>147</v>
      </c>
      <c r="B792" s="268" t="s">
        <v>1365</v>
      </c>
      <c r="C792" s="5" t="s">
        <v>1341</v>
      </c>
      <c r="D792" s="5" t="s">
        <v>1220</v>
      </c>
      <c r="E792" s="195">
        <v>250000</v>
      </c>
      <c r="F792" s="196">
        <v>250000</v>
      </c>
    </row>
    <row r="793" spans="1:6" x14ac:dyDescent="0.2">
      <c r="A793" s="52" t="s">
        <v>1145</v>
      </c>
      <c r="B793" s="268" t="s">
        <v>1365</v>
      </c>
      <c r="C793" s="5" t="s">
        <v>1341</v>
      </c>
      <c r="D793" s="5" t="s">
        <v>405</v>
      </c>
      <c r="E793" s="195">
        <v>250000</v>
      </c>
      <c r="F793" s="196">
        <v>250000</v>
      </c>
    </row>
    <row r="794" spans="1:6" ht="76.5" x14ac:dyDescent="0.2">
      <c r="A794" s="52" t="s">
        <v>410</v>
      </c>
      <c r="B794" s="268" t="s">
        <v>1539</v>
      </c>
      <c r="C794" s="5" t="s">
        <v>1314</v>
      </c>
      <c r="D794" s="5" t="s">
        <v>1314</v>
      </c>
      <c r="E794" s="195">
        <v>1031600</v>
      </c>
      <c r="F794" s="196">
        <v>1031600</v>
      </c>
    </row>
    <row r="795" spans="1:6" ht="38.25" x14ac:dyDescent="0.2">
      <c r="A795" s="52" t="s">
        <v>1510</v>
      </c>
      <c r="B795" s="268" t="s">
        <v>1539</v>
      </c>
      <c r="C795" s="5" t="s">
        <v>1511</v>
      </c>
      <c r="D795" s="5" t="s">
        <v>1314</v>
      </c>
      <c r="E795" s="195">
        <v>1031600</v>
      </c>
      <c r="F795" s="196">
        <v>1031600</v>
      </c>
    </row>
    <row r="796" spans="1:6" x14ac:dyDescent="0.2">
      <c r="A796" s="52" t="s">
        <v>1340</v>
      </c>
      <c r="B796" s="268" t="s">
        <v>1539</v>
      </c>
      <c r="C796" s="5" t="s">
        <v>1341</v>
      </c>
      <c r="D796" s="5" t="s">
        <v>1314</v>
      </c>
      <c r="E796" s="195">
        <v>1031600</v>
      </c>
      <c r="F796" s="196">
        <v>1031600</v>
      </c>
    </row>
    <row r="797" spans="1:6" x14ac:dyDescent="0.2">
      <c r="A797" s="52" t="s">
        <v>147</v>
      </c>
      <c r="B797" s="268" t="s">
        <v>1539</v>
      </c>
      <c r="C797" s="5" t="s">
        <v>1341</v>
      </c>
      <c r="D797" s="5" t="s">
        <v>1220</v>
      </c>
      <c r="E797" s="195">
        <v>1031600</v>
      </c>
      <c r="F797" s="196">
        <v>1031600</v>
      </c>
    </row>
    <row r="798" spans="1:6" x14ac:dyDescent="0.2">
      <c r="A798" s="52" t="s">
        <v>1145</v>
      </c>
      <c r="B798" s="268" t="s">
        <v>1539</v>
      </c>
      <c r="C798" s="5" t="s">
        <v>1341</v>
      </c>
      <c r="D798" s="5" t="s">
        <v>405</v>
      </c>
      <c r="E798" s="195">
        <v>1031600</v>
      </c>
      <c r="F798" s="196">
        <v>1031600</v>
      </c>
    </row>
    <row r="799" spans="1:6" ht="38.25" x14ac:dyDescent="0.2">
      <c r="A799" s="52" t="s">
        <v>2060</v>
      </c>
      <c r="B799" s="268" t="s">
        <v>2061</v>
      </c>
      <c r="C799" s="5" t="s">
        <v>1314</v>
      </c>
      <c r="D799" s="5" t="s">
        <v>1314</v>
      </c>
      <c r="E799" s="195">
        <v>200000</v>
      </c>
      <c r="F799" s="196">
        <v>200000</v>
      </c>
    </row>
    <row r="800" spans="1:6" ht="102" x14ac:dyDescent="0.2">
      <c r="A800" s="52" t="s">
        <v>2062</v>
      </c>
      <c r="B800" s="268" t="s">
        <v>2063</v>
      </c>
      <c r="C800" s="5" t="s">
        <v>1314</v>
      </c>
      <c r="D800" s="5" t="s">
        <v>1314</v>
      </c>
      <c r="E800" s="195">
        <v>150000</v>
      </c>
      <c r="F800" s="196">
        <v>150000</v>
      </c>
    </row>
    <row r="801" spans="1:6" ht="38.25" x14ac:dyDescent="0.2">
      <c r="A801" s="52" t="s">
        <v>1510</v>
      </c>
      <c r="B801" s="268" t="s">
        <v>2063</v>
      </c>
      <c r="C801" s="5" t="s">
        <v>1511</v>
      </c>
      <c r="D801" s="5" t="s">
        <v>1314</v>
      </c>
      <c r="E801" s="195">
        <v>150000</v>
      </c>
      <c r="F801" s="196">
        <v>150000</v>
      </c>
    </row>
    <row r="802" spans="1:6" x14ac:dyDescent="0.2">
      <c r="A802" s="52" t="s">
        <v>1340</v>
      </c>
      <c r="B802" s="268" t="s">
        <v>2063</v>
      </c>
      <c r="C802" s="5" t="s">
        <v>1341</v>
      </c>
      <c r="D802" s="5" t="s">
        <v>1314</v>
      </c>
      <c r="E802" s="195">
        <v>150000</v>
      </c>
      <c r="F802" s="196">
        <v>150000</v>
      </c>
    </row>
    <row r="803" spans="1:6" x14ac:dyDescent="0.2">
      <c r="A803" s="52" t="s">
        <v>147</v>
      </c>
      <c r="B803" s="268" t="s">
        <v>2063</v>
      </c>
      <c r="C803" s="5" t="s">
        <v>1341</v>
      </c>
      <c r="D803" s="5" t="s">
        <v>1220</v>
      </c>
      <c r="E803" s="195">
        <v>150000</v>
      </c>
      <c r="F803" s="196">
        <v>150000</v>
      </c>
    </row>
    <row r="804" spans="1:6" x14ac:dyDescent="0.2">
      <c r="A804" s="52" t="s">
        <v>1145</v>
      </c>
      <c r="B804" s="268" t="s">
        <v>2063</v>
      </c>
      <c r="C804" s="5" t="s">
        <v>1341</v>
      </c>
      <c r="D804" s="5" t="s">
        <v>405</v>
      </c>
      <c r="E804" s="195">
        <v>150000</v>
      </c>
      <c r="F804" s="196">
        <v>150000</v>
      </c>
    </row>
    <row r="805" spans="1:6" ht="89.25" x14ac:dyDescent="0.2">
      <c r="A805" s="52" t="s">
        <v>2064</v>
      </c>
      <c r="B805" s="268" t="s">
        <v>2065</v>
      </c>
      <c r="C805" s="5" t="s">
        <v>1314</v>
      </c>
      <c r="D805" s="5" t="s">
        <v>1314</v>
      </c>
      <c r="E805" s="195">
        <v>50000</v>
      </c>
      <c r="F805" s="196">
        <v>50000</v>
      </c>
    </row>
    <row r="806" spans="1:6" ht="38.25" x14ac:dyDescent="0.2">
      <c r="A806" s="52" t="s">
        <v>1510</v>
      </c>
      <c r="B806" s="268" t="s">
        <v>2065</v>
      </c>
      <c r="C806" s="5" t="s">
        <v>1511</v>
      </c>
      <c r="D806" s="5" t="s">
        <v>1314</v>
      </c>
      <c r="E806" s="195">
        <v>50000</v>
      </c>
      <c r="F806" s="196">
        <v>50000</v>
      </c>
    </row>
    <row r="807" spans="1:6" x14ac:dyDescent="0.2">
      <c r="A807" s="52" t="s">
        <v>1340</v>
      </c>
      <c r="B807" s="268" t="s">
        <v>2065</v>
      </c>
      <c r="C807" s="5" t="s">
        <v>1341</v>
      </c>
      <c r="D807" s="5" t="s">
        <v>1314</v>
      </c>
      <c r="E807" s="195">
        <v>50000</v>
      </c>
      <c r="F807" s="196">
        <v>50000</v>
      </c>
    </row>
    <row r="808" spans="1:6" x14ac:dyDescent="0.2">
      <c r="A808" s="52" t="s">
        <v>147</v>
      </c>
      <c r="B808" s="268" t="s">
        <v>2065</v>
      </c>
      <c r="C808" s="5" t="s">
        <v>1341</v>
      </c>
      <c r="D808" s="5" t="s">
        <v>1220</v>
      </c>
      <c r="E808" s="195">
        <v>50000</v>
      </c>
      <c r="F808" s="196">
        <v>50000</v>
      </c>
    </row>
    <row r="809" spans="1:6" x14ac:dyDescent="0.2">
      <c r="A809" s="52" t="s">
        <v>1145</v>
      </c>
      <c r="B809" s="268" t="s">
        <v>2065</v>
      </c>
      <c r="C809" s="5" t="s">
        <v>1341</v>
      </c>
      <c r="D809" s="5" t="s">
        <v>405</v>
      </c>
      <c r="E809" s="195">
        <v>50000</v>
      </c>
      <c r="F809" s="196">
        <v>50000</v>
      </c>
    </row>
    <row r="810" spans="1:6" ht="38.25" x14ac:dyDescent="0.2">
      <c r="A810" s="52" t="s">
        <v>1542</v>
      </c>
      <c r="B810" s="268" t="s">
        <v>1049</v>
      </c>
      <c r="C810" s="5" t="s">
        <v>1314</v>
      </c>
      <c r="D810" s="5" t="s">
        <v>1314</v>
      </c>
      <c r="E810" s="195">
        <v>13871072</v>
      </c>
      <c r="F810" s="196">
        <v>13871072</v>
      </c>
    </row>
    <row r="811" spans="1:6" ht="25.5" x14ac:dyDescent="0.2">
      <c r="A811" s="52" t="s">
        <v>516</v>
      </c>
      <c r="B811" s="268" t="s">
        <v>1050</v>
      </c>
      <c r="C811" s="5" t="s">
        <v>1314</v>
      </c>
      <c r="D811" s="5" t="s">
        <v>1314</v>
      </c>
      <c r="E811" s="195">
        <v>13671072</v>
      </c>
      <c r="F811" s="196">
        <v>13671072</v>
      </c>
    </row>
    <row r="812" spans="1:6" ht="140.25" x14ac:dyDescent="0.2">
      <c r="A812" s="52" t="s">
        <v>1317</v>
      </c>
      <c r="B812" s="268" t="s">
        <v>1318</v>
      </c>
      <c r="C812" s="5" t="s">
        <v>1314</v>
      </c>
      <c r="D812" s="5" t="s">
        <v>1314</v>
      </c>
      <c r="E812" s="195">
        <v>8443842</v>
      </c>
      <c r="F812" s="196">
        <v>8443842</v>
      </c>
    </row>
    <row r="813" spans="1:6" ht="38.25" x14ac:dyDescent="0.2">
      <c r="A813" s="52" t="s">
        <v>1510</v>
      </c>
      <c r="B813" s="268" t="s">
        <v>1318</v>
      </c>
      <c r="C813" s="5" t="s">
        <v>1511</v>
      </c>
      <c r="D813" s="5" t="s">
        <v>1314</v>
      </c>
      <c r="E813" s="195">
        <v>8443842</v>
      </c>
      <c r="F813" s="196">
        <v>8443842</v>
      </c>
    </row>
    <row r="814" spans="1:6" x14ac:dyDescent="0.2">
      <c r="A814" s="52" t="s">
        <v>1340</v>
      </c>
      <c r="B814" s="268" t="s">
        <v>1318</v>
      </c>
      <c r="C814" s="5" t="s">
        <v>1341</v>
      </c>
      <c r="D814" s="5" t="s">
        <v>1314</v>
      </c>
      <c r="E814" s="195">
        <v>8443842</v>
      </c>
      <c r="F814" s="196">
        <v>8443842</v>
      </c>
    </row>
    <row r="815" spans="1:6" x14ac:dyDescent="0.2">
      <c r="A815" s="52" t="s">
        <v>265</v>
      </c>
      <c r="B815" s="268" t="s">
        <v>1318</v>
      </c>
      <c r="C815" s="5" t="s">
        <v>1341</v>
      </c>
      <c r="D815" s="5" t="s">
        <v>1222</v>
      </c>
      <c r="E815" s="195">
        <v>8443842</v>
      </c>
      <c r="F815" s="196">
        <v>8443842</v>
      </c>
    </row>
    <row r="816" spans="1:6" x14ac:dyDescent="0.2">
      <c r="A816" s="52" t="s">
        <v>1384</v>
      </c>
      <c r="B816" s="268" t="s">
        <v>1318</v>
      </c>
      <c r="C816" s="5" t="s">
        <v>1341</v>
      </c>
      <c r="D816" s="5" t="s">
        <v>1385</v>
      </c>
      <c r="E816" s="195">
        <v>8443842</v>
      </c>
      <c r="F816" s="196">
        <v>8443842</v>
      </c>
    </row>
    <row r="817" spans="1:6" ht="191.25" x14ac:dyDescent="0.2">
      <c r="A817" s="52" t="s">
        <v>1319</v>
      </c>
      <c r="B817" s="268" t="s">
        <v>1320</v>
      </c>
      <c r="C817" s="5" t="s">
        <v>1314</v>
      </c>
      <c r="D817" s="5" t="s">
        <v>1314</v>
      </c>
      <c r="E817" s="195">
        <v>2000000</v>
      </c>
      <c r="F817" s="196">
        <v>2000000</v>
      </c>
    </row>
    <row r="818" spans="1:6" ht="38.25" x14ac:dyDescent="0.2">
      <c r="A818" s="52" t="s">
        <v>1510</v>
      </c>
      <c r="B818" s="268" t="s">
        <v>1320</v>
      </c>
      <c r="C818" s="5" t="s">
        <v>1511</v>
      </c>
      <c r="D818" s="5" t="s">
        <v>1314</v>
      </c>
      <c r="E818" s="195">
        <v>2000000</v>
      </c>
      <c r="F818" s="196">
        <v>2000000</v>
      </c>
    </row>
    <row r="819" spans="1:6" x14ac:dyDescent="0.2">
      <c r="A819" s="52" t="s">
        <v>1340</v>
      </c>
      <c r="B819" s="268" t="s">
        <v>1320</v>
      </c>
      <c r="C819" s="5" t="s">
        <v>1341</v>
      </c>
      <c r="D819" s="5" t="s">
        <v>1314</v>
      </c>
      <c r="E819" s="195">
        <v>2000000</v>
      </c>
      <c r="F819" s="196">
        <v>2000000</v>
      </c>
    </row>
    <row r="820" spans="1:6" x14ac:dyDescent="0.2">
      <c r="A820" s="52" t="s">
        <v>265</v>
      </c>
      <c r="B820" s="268" t="s">
        <v>1320</v>
      </c>
      <c r="C820" s="5" t="s">
        <v>1341</v>
      </c>
      <c r="D820" s="5" t="s">
        <v>1222</v>
      </c>
      <c r="E820" s="195">
        <v>2000000</v>
      </c>
      <c r="F820" s="196">
        <v>2000000</v>
      </c>
    </row>
    <row r="821" spans="1:6" x14ac:dyDescent="0.2">
      <c r="A821" s="52" t="s">
        <v>1384</v>
      </c>
      <c r="B821" s="268" t="s">
        <v>1320</v>
      </c>
      <c r="C821" s="5" t="s">
        <v>1341</v>
      </c>
      <c r="D821" s="5" t="s">
        <v>1385</v>
      </c>
      <c r="E821" s="195">
        <v>2000000</v>
      </c>
      <c r="F821" s="196">
        <v>2000000</v>
      </c>
    </row>
    <row r="822" spans="1:6" ht="140.25" x14ac:dyDescent="0.2">
      <c r="A822" s="52" t="s">
        <v>1321</v>
      </c>
      <c r="B822" s="268" t="s">
        <v>1322</v>
      </c>
      <c r="C822" s="5" t="s">
        <v>1314</v>
      </c>
      <c r="D822" s="5" t="s">
        <v>1314</v>
      </c>
      <c r="E822" s="195">
        <v>50000</v>
      </c>
      <c r="F822" s="196">
        <v>50000</v>
      </c>
    </row>
    <row r="823" spans="1:6" ht="38.25" x14ac:dyDescent="0.2">
      <c r="A823" s="52" t="s">
        <v>1510</v>
      </c>
      <c r="B823" s="268" t="s">
        <v>1322</v>
      </c>
      <c r="C823" s="5" t="s">
        <v>1511</v>
      </c>
      <c r="D823" s="5" t="s">
        <v>1314</v>
      </c>
      <c r="E823" s="195">
        <v>50000</v>
      </c>
      <c r="F823" s="196">
        <v>50000</v>
      </c>
    </row>
    <row r="824" spans="1:6" x14ac:dyDescent="0.2">
      <c r="A824" s="52" t="s">
        <v>1340</v>
      </c>
      <c r="B824" s="268" t="s">
        <v>1322</v>
      </c>
      <c r="C824" s="5" t="s">
        <v>1341</v>
      </c>
      <c r="D824" s="5" t="s">
        <v>1314</v>
      </c>
      <c r="E824" s="195">
        <v>50000</v>
      </c>
      <c r="F824" s="196">
        <v>50000</v>
      </c>
    </row>
    <row r="825" spans="1:6" x14ac:dyDescent="0.2">
      <c r="A825" s="52" t="s">
        <v>265</v>
      </c>
      <c r="B825" s="268" t="s">
        <v>1322</v>
      </c>
      <c r="C825" s="5" t="s">
        <v>1341</v>
      </c>
      <c r="D825" s="5" t="s">
        <v>1222</v>
      </c>
      <c r="E825" s="195">
        <v>50000</v>
      </c>
      <c r="F825" s="196">
        <v>50000</v>
      </c>
    </row>
    <row r="826" spans="1:6" x14ac:dyDescent="0.2">
      <c r="A826" s="52" t="s">
        <v>1384</v>
      </c>
      <c r="B826" s="268" t="s">
        <v>1322</v>
      </c>
      <c r="C826" s="5" t="s">
        <v>1341</v>
      </c>
      <c r="D826" s="5" t="s">
        <v>1385</v>
      </c>
      <c r="E826" s="195">
        <v>50000</v>
      </c>
      <c r="F826" s="196">
        <v>50000</v>
      </c>
    </row>
    <row r="827" spans="1:6" ht="140.25" x14ac:dyDescent="0.2">
      <c r="A827" s="52" t="s">
        <v>1323</v>
      </c>
      <c r="B827" s="268" t="s">
        <v>1324</v>
      </c>
      <c r="C827" s="5" t="s">
        <v>1314</v>
      </c>
      <c r="D827" s="5" t="s">
        <v>1314</v>
      </c>
      <c r="E827" s="195">
        <v>1000000</v>
      </c>
      <c r="F827" s="196">
        <v>1000000</v>
      </c>
    </row>
    <row r="828" spans="1:6" ht="38.25" x14ac:dyDescent="0.2">
      <c r="A828" s="52" t="s">
        <v>1510</v>
      </c>
      <c r="B828" s="268" t="s">
        <v>1324</v>
      </c>
      <c r="C828" s="5" t="s">
        <v>1511</v>
      </c>
      <c r="D828" s="5" t="s">
        <v>1314</v>
      </c>
      <c r="E828" s="195">
        <v>1000000</v>
      </c>
      <c r="F828" s="196">
        <v>1000000</v>
      </c>
    </row>
    <row r="829" spans="1:6" x14ac:dyDescent="0.2">
      <c r="A829" s="52" t="s">
        <v>1340</v>
      </c>
      <c r="B829" s="268" t="s">
        <v>1324</v>
      </c>
      <c r="C829" s="5" t="s">
        <v>1341</v>
      </c>
      <c r="D829" s="5" t="s">
        <v>1314</v>
      </c>
      <c r="E829" s="195">
        <v>1000000</v>
      </c>
      <c r="F829" s="196">
        <v>1000000</v>
      </c>
    </row>
    <row r="830" spans="1:6" x14ac:dyDescent="0.2">
      <c r="A830" s="52" t="s">
        <v>265</v>
      </c>
      <c r="B830" s="268" t="s">
        <v>1324</v>
      </c>
      <c r="C830" s="5" t="s">
        <v>1341</v>
      </c>
      <c r="D830" s="5" t="s">
        <v>1222</v>
      </c>
      <c r="E830" s="195">
        <v>1000000</v>
      </c>
      <c r="F830" s="196">
        <v>1000000</v>
      </c>
    </row>
    <row r="831" spans="1:6" x14ac:dyDescent="0.2">
      <c r="A831" s="52" t="s">
        <v>1384</v>
      </c>
      <c r="B831" s="268" t="s">
        <v>1324</v>
      </c>
      <c r="C831" s="5" t="s">
        <v>1341</v>
      </c>
      <c r="D831" s="5" t="s">
        <v>1385</v>
      </c>
      <c r="E831" s="195">
        <v>1000000</v>
      </c>
      <c r="F831" s="196">
        <v>1000000</v>
      </c>
    </row>
    <row r="832" spans="1:6" ht="153" x14ac:dyDescent="0.2">
      <c r="A832" s="52" t="s">
        <v>1922</v>
      </c>
      <c r="B832" s="268" t="s">
        <v>1923</v>
      </c>
      <c r="C832" s="5" t="s">
        <v>1314</v>
      </c>
      <c r="D832" s="5" t="s">
        <v>1314</v>
      </c>
      <c r="E832" s="195">
        <v>30000</v>
      </c>
      <c r="F832" s="196">
        <v>30000</v>
      </c>
    </row>
    <row r="833" spans="1:6" ht="38.25" x14ac:dyDescent="0.2">
      <c r="A833" s="52" t="s">
        <v>1510</v>
      </c>
      <c r="B833" s="268" t="s">
        <v>1923</v>
      </c>
      <c r="C833" s="5" t="s">
        <v>1511</v>
      </c>
      <c r="D833" s="5" t="s">
        <v>1314</v>
      </c>
      <c r="E833" s="195">
        <v>30000</v>
      </c>
      <c r="F833" s="196">
        <v>30000</v>
      </c>
    </row>
    <row r="834" spans="1:6" x14ac:dyDescent="0.2">
      <c r="A834" s="52" t="s">
        <v>1340</v>
      </c>
      <c r="B834" s="268" t="s">
        <v>1923</v>
      </c>
      <c r="C834" s="5" t="s">
        <v>1341</v>
      </c>
      <c r="D834" s="5" t="s">
        <v>1314</v>
      </c>
      <c r="E834" s="195">
        <v>30000</v>
      </c>
      <c r="F834" s="196">
        <v>30000</v>
      </c>
    </row>
    <row r="835" spans="1:6" x14ac:dyDescent="0.2">
      <c r="A835" s="52" t="s">
        <v>265</v>
      </c>
      <c r="B835" s="268" t="s">
        <v>1923</v>
      </c>
      <c r="C835" s="5" t="s">
        <v>1341</v>
      </c>
      <c r="D835" s="5" t="s">
        <v>1222</v>
      </c>
      <c r="E835" s="195">
        <v>30000</v>
      </c>
      <c r="F835" s="196">
        <v>30000</v>
      </c>
    </row>
    <row r="836" spans="1:6" x14ac:dyDescent="0.2">
      <c r="A836" s="52" t="s">
        <v>1384</v>
      </c>
      <c r="B836" s="268" t="s">
        <v>1923</v>
      </c>
      <c r="C836" s="5" t="s">
        <v>1341</v>
      </c>
      <c r="D836" s="5" t="s">
        <v>1385</v>
      </c>
      <c r="E836" s="195">
        <v>30000</v>
      </c>
      <c r="F836" s="196">
        <v>30000</v>
      </c>
    </row>
    <row r="837" spans="1:6" ht="127.5" x14ac:dyDescent="0.2">
      <c r="A837" s="52" t="s">
        <v>1325</v>
      </c>
      <c r="B837" s="268" t="s">
        <v>1326</v>
      </c>
      <c r="C837" s="5" t="s">
        <v>1314</v>
      </c>
      <c r="D837" s="5" t="s">
        <v>1314</v>
      </c>
      <c r="E837" s="195">
        <v>500000</v>
      </c>
      <c r="F837" s="196">
        <v>500000</v>
      </c>
    </row>
    <row r="838" spans="1:6" ht="38.25" x14ac:dyDescent="0.2">
      <c r="A838" s="52" t="s">
        <v>1510</v>
      </c>
      <c r="B838" s="268" t="s">
        <v>1326</v>
      </c>
      <c r="C838" s="5" t="s">
        <v>1511</v>
      </c>
      <c r="D838" s="5" t="s">
        <v>1314</v>
      </c>
      <c r="E838" s="195">
        <v>500000</v>
      </c>
      <c r="F838" s="196">
        <v>500000</v>
      </c>
    </row>
    <row r="839" spans="1:6" x14ac:dyDescent="0.2">
      <c r="A839" s="52" t="s">
        <v>1340</v>
      </c>
      <c r="B839" s="268" t="s">
        <v>1326</v>
      </c>
      <c r="C839" s="5" t="s">
        <v>1341</v>
      </c>
      <c r="D839" s="5" t="s">
        <v>1314</v>
      </c>
      <c r="E839" s="195">
        <v>500000</v>
      </c>
      <c r="F839" s="196">
        <v>500000</v>
      </c>
    </row>
    <row r="840" spans="1:6" x14ac:dyDescent="0.2">
      <c r="A840" s="52" t="s">
        <v>265</v>
      </c>
      <c r="B840" s="268" t="s">
        <v>1326</v>
      </c>
      <c r="C840" s="5" t="s">
        <v>1341</v>
      </c>
      <c r="D840" s="5" t="s">
        <v>1222</v>
      </c>
      <c r="E840" s="195">
        <v>500000</v>
      </c>
      <c r="F840" s="196">
        <v>500000</v>
      </c>
    </row>
    <row r="841" spans="1:6" x14ac:dyDescent="0.2">
      <c r="A841" s="52" t="s">
        <v>1384</v>
      </c>
      <c r="B841" s="268" t="s">
        <v>1326</v>
      </c>
      <c r="C841" s="5" t="s">
        <v>1341</v>
      </c>
      <c r="D841" s="5" t="s">
        <v>1385</v>
      </c>
      <c r="E841" s="195">
        <v>500000</v>
      </c>
      <c r="F841" s="196">
        <v>500000</v>
      </c>
    </row>
    <row r="842" spans="1:6" ht="102" x14ac:dyDescent="0.2">
      <c r="A842" s="52" t="s">
        <v>423</v>
      </c>
      <c r="B842" s="268" t="s">
        <v>746</v>
      </c>
      <c r="C842" s="5" t="s">
        <v>1314</v>
      </c>
      <c r="D842" s="5" t="s">
        <v>1314</v>
      </c>
      <c r="E842" s="195">
        <v>747230</v>
      </c>
      <c r="F842" s="196">
        <v>747230</v>
      </c>
    </row>
    <row r="843" spans="1:6" ht="38.25" x14ac:dyDescent="0.2">
      <c r="A843" s="52" t="s">
        <v>1510</v>
      </c>
      <c r="B843" s="268" t="s">
        <v>746</v>
      </c>
      <c r="C843" s="5" t="s">
        <v>1511</v>
      </c>
      <c r="D843" s="5" t="s">
        <v>1314</v>
      </c>
      <c r="E843" s="195">
        <v>747230</v>
      </c>
      <c r="F843" s="196">
        <v>747230</v>
      </c>
    </row>
    <row r="844" spans="1:6" x14ac:dyDescent="0.2">
      <c r="A844" s="52" t="s">
        <v>1340</v>
      </c>
      <c r="B844" s="268" t="s">
        <v>746</v>
      </c>
      <c r="C844" s="5" t="s">
        <v>1341</v>
      </c>
      <c r="D844" s="5" t="s">
        <v>1314</v>
      </c>
      <c r="E844" s="195">
        <v>747230</v>
      </c>
      <c r="F844" s="196">
        <v>747230</v>
      </c>
    </row>
    <row r="845" spans="1:6" x14ac:dyDescent="0.2">
      <c r="A845" s="52" t="s">
        <v>265</v>
      </c>
      <c r="B845" s="268" t="s">
        <v>746</v>
      </c>
      <c r="C845" s="5" t="s">
        <v>1341</v>
      </c>
      <c r="D845" s="5" t="s">
        <v>1222</v>
      </c>
      <c r="E845" s="195">
        <v>747230</v>
      </c>
      <c r="F845" s="196">
        <v>747230</v>
      </c>
    </row>
    <row r="846" spans="1:6" x14ac:dyDescent="0.2">
      <c r="A846" s="52" t="s">
        <v>226</v>
      </c>
      <c r="B846" s="268" t="s">
        <v>746</v>
      </c>
      <c r="C846" s="5" t="s">
        <v>1341</v>
      </c>
      <c r="D846" s="5" t="s">
        <v>421</v>
      </c>
      <c r="E846" s="195">
        <v>747230</v>
      </c>
      <c r="F846" s="196">
        <v>747230</v>
      </c>
    </row>
    <row r="847" spans="1:6" ht="102" x14ac:dyDescent="0.2">
      <c r="A847" s="52" t="s">
        <v>1327</v>
      </c>
      <c r="B847" s="268" t="s">
        <v>1328</v>
      </c>
      <c r="C847" s="5" t="s">
        <v>1314</v>
      </c>
      <c r="D847" s="5" t="s">
        <v>1314</v>
      </c>
      <c r="E847" s="195">
        <v>900000</v>
      </c>
      <c r="F847" s="196">
        <v>900000</v>
      </c>
    </row>
    <row r="848" spans="1:6" ht="38.25" x14ac:dyDescent="0.2">
      <c r="A848" s="52" t="s">
        <v>1510</v>
      </c>
      <c r="B848" s="268" t="s">
        <v>1328</v>
      </c>
      <c r="C848" s="5" t="s">
        <v>1511</v>
      </c>
      <c r="D848" s="5" t="s">
        <v>1314</v>
      </c>
      <c r="E848" s="195">
        <v>900000</v>
      </c>
      <c r="F848" s="196">
        <v>900000</v>
      </c>
    </row>
    <row r="849" spans="1:6" x14ac:dyDescent="0.2">
      <c r="A849" s="52" t="s">
        <v>1340</v>
      </c>
      <c r="B849" s="268" t="s">
        <v>1328</v>
      </c>
      <c r="C849" s="5" t="s">
        <v>1341</v>
      </c>
      <c r="D849" s="5" t="s">
        <v>1314</v>
      </c>
      <c r="E849" s="195">
        <v>900000</v>
      </c>
      <c r="F849" s="196">
        <v>900000</v>
      </c>
    </row>
    <row r="850" spans="1:6" x14ac:dyDescent="0.2">
      <c r="A850" s="52" t="s">
        <v>265</v>
      </c>
      <c r="B850" s="268" t="s">
        <v>1328</v>
      </c>
      <c r="C850" s="5" t="s">
        <v>1341</v>
      </c>
      <c r="D850" s="5" t="s">
        <v>1222</v>
      </c>
      <c r="E850" s="195">
        <v>900000</v>
      </c>
      <c r="F850" s="196">
        <v>900000</v>
      </c>
    </row>
    <row r="851" spans="1:6" x14ac:dyDescent="0.2">
      <c r="A851" s="52" t="s">
        <v>1384</v>
      </c>
      <c r="B851" s="268" t="s">
        <v>1328</v>
      </c>
      <c r="C851" s="5" t="s">
        <v>1341</v>
      </c>
      <c r="D851" s="5" t="s">
        <v>1385</v>
      </c>
      <c r="E851" s="195">
        <v>900000</v>
      </c>
      <c r="F851" s="196">
        <v>900000</v>
      </c>
    </row>
    <row r="852" spans="1:6" ht="25.5" x14ac:dyDescent="0.2">
      <c r="A852" s="52" t="s">
        <v>518</v>
      </c>
      <c r="B852" s="268" t="s">
        <v>1051</v>
      </c>
      <c r="C852" s="5" t="s">
        <v>1314</v>
      </c>
      <c r="D852" s="5" t="s">
        <v>1314</v>
      </c>
      <c r="E852" s="195">
        <v>200000</v>
      </c>
      <c r="F852" s="196">
        <v>200000</v>
      </c>
    </row>
    <row r="853" spans="1:6" ht="102" x14ac:dyDescent="0.2">
      <c r="A853" s="52" t="s">
        <v>546</v>
      </c>
      <c r="B853" s="268" t="s">
        <v>747</v>
      </c>
      <c r="C853" s="5" t="s">
        <v>1314</v>
      </c>
      <c r="D853" s="5" t="s">
        <v>1314</v>
      </c>
      <c r="E853" s="195">
        <v>16900</v>
      </c>
      <c r="F853" s="196">
        <v>16900</v>
      </c>
    </row>
    <row r="854" spans="1:6" ht="38.25" x14ac:dyDescent="0.2">
      <c r="A854" s="52" t="s">
        <v>1510</v>
      </c>
      <c r="B854" s="268" t="s">
        <v>747</v>
      </c>
      <c r="C854" s="5" t="s">
        <v>1511</v>
      </c>
      <c r="D854" s="5" t="s">
        <v>1314</v>
      </c>
      <c r="E854" s="195">
        <v>16900</v>
      </c>
      <c r="F854" s="196">
        <v>16900</v>
      </c>
    </row>
    <row r="855" spans="1:6" x14ac:dyDescent="0.2">
      <c r="A855" s="52" t="s">
        <v>1340</v>
      </c>
      <c r="B855" s="268" t="s">
        <v>747</v>
      </c>
      <c r="C855" s="5" t="s">
        <v>1341</v>
      </c>
      <c r="D855" s="5" t="s">
        <v>1314</v>
      </c>
      <c r="E855" s="195">
        <v>16900</v>
      </c>
      <c r="F855" s="196">
        <v>16900</v>
      </c>
    </row>
    <row r="856" spans="1:6" x14ac:dyDescent="0.2">
      <c r="A856" s="52" t="s">
        <v>265</v>
      </c>
      <c r="B856" s="268" t="s">
        <v>747</v>
      </c>
      <c r="C856" s="5" t="s">
        <v>1341</v>
      </c>
      <c r="D856" s="5" t="s">
        <v>1222</v>
      </c>
      <c r="E856" s="195">
        <v>16900</v>
      </c>
      <c r="F856" s="196">
        <v>16900</v>
      </c>
    </row>
    <row r="857" spans="1:6" x14ac:dyDescent="0.2">
      <c r="A857" s="52" t="s">
        <v>226</v>
      </c>
      <c r="B857" s="268" t="s">
        <v>747</v>
      </c>
      <c r="C857" s="5" t="s">
        <v>1341</v>
      </c>
      <c r="D857" s="5" t="s">
        <v>421</v>
      </c>
      <c r="E857" s="195">
        <v>16900</v>
      </c>
      <c r="F857" s="196">
        <v>16900</v>
      </c>
    </row>
    <row r="858" spans="1:6" ht="89.25" x14ac:dyDescent="0.2">
      <c r="A858" s="52" t="s">
        <v>424</v>
      </c>
      <c r="B858" s="268" t="s">
        <v>748</v>
      </c>
      <c r="C858" s="5" t="s">
        <v>1314</v>
      </c>
      <c r="D858" s="5" t="s">
        <v>1314</v>
      </c>
      <c r="E858" s="195">
        <v>176400</v>
      </c>
      <c r="F858" s="196">
        <v>176400</v>
      </c>
    </row>
    <row r="859" spans="1:6" ht="38.25" x14ac:dyDescent="0.2">
      <c r="A859" s="52" t="s">
        <v>1510</v>
      </c>
      <c r="B859" s="268" t="s">
        <v>748</v>
      </c>
      <c r="C859" s="5" t="s">
        <v>1511</v>
      </c>
      <c r="D859" s="5" t="s">
        <v>1314</v>
      </c>
      <c r="E859" s="195">
        <v>176400</v>
      </c>
      <c r="F859" s="196">
        <v>176400</v>
      </c>
    </row>
    <row r="860" spans="1:6" x14ac:dyDescent="0.2">
      <c r="A860" s="52" t="s">
        <v>1340</v>
      </c>
      <c r="B860" s="268" t="s">
        <v>748</v>
      </c>
      <c r="C860" s="5" t="s">
        <v>1341</v>
      </c>
      <c r="D860" s="5" t="s">
        <v>1314</v>
      </c>
      <c r="E860" s="195">
        <v>176400</v>
      </c>
      <c r="F860" s="196">
        <v>176400</v>
      </c>
    </row>
    <row r="861" spans="1:6" x14ac:dyDescent="0.2">
      <c r="A861" s="52" t="s">
        <v>265</v>
      </c>
      <c r="B861" s="268" t="s">
        <v>748</v>
      </c>
      <c r="C861" s="5" t="s">
        <v>1341</v>
      </c>
      <c r="D861" s="5" t="s">
        <v>1222</v>
      </c>
      <c r="E861" s="195">
        <v>176400</v>
      </c>
      <c r="F861" s="196">
        <v>176400</v>
      </c>
    </row>
    <row r="862" spans="1:6" x14ac:dyDescent="0.2">
      <c r="A862" s="52" t="s">
        <v>226</v>
      </c>
      <c r="B862" s="268" t="s">
        <v>748</v>
      </c>
      <c r="C862" s="5" t="s">
        <v>1341</v>
      </c>
      <c r="D862" s="5" t="s">
        <v>421</v>
      </c>
      <c r="E862" s="195">
        <v>176400</v>
      </c>
      <c r="F862" s="196">
        <v>176400</v>
      </c>
    </row>
    <row r="863" spans="1:6" ht="140.25" x14ac:dyDescent="0.2">
      <c r="A863" s="52" t="s">
        <v>425</v>
      </c>
      <c r="B863" s="268" t="s">
        <v>749</v>
      </c>
      <c r="C863" s="5" t="s">
        <v>1314</v>
      </c>
      <c r="D863" s="5" t="s">
        <v>1314</v>
      </c>
      <c r="E863" s="195">
        <v>6700</v>
      </c>
      <c r="F863" s="196">
        <v>6700</v>
      </c>
    </row>
    <row r="864" spans="1:6" ht="38.25" x14ac:dyDescent="0.2">
      <c r="A864" s="52" t="s">
        <v>1510</v>
      </c>
      <c r="B864" s="268" t="s">
        <v>749</v>
      </c>
      <c r="C864" s="5" t="s">
        <v>1511</v>
      </c>
      <c r="D864" s="5" t="s">
        <v>1314</v>
      </c>
      <c r="E864" s="195">
        <v>6700</v>
      </c>
      <c r="F864" s="196">
        <v>6700</v>
      </c>
    </row>
    <row r="865" spans="1:6" x14ac:dyDescent="0.2">
      <c r="A865" s="52" t="s">
        <v>1340</v>
      </c>
      <c r="B865" s="268" t="s">
        <v>749</v>
      </c>
      <c r="C865" s="5" t="s">
        <v>1341</v>
      </c>
      <c r="D865" s="5" t="s">
        <v>1314</v>
      </c>
      <c r="E865" s="195">
        <v>6700</v>
      </c>
      <c r="F865" s="196">
        <v>6700</v>
      </c>
    </row>
    <row r="866" spans="1:6" x14ac:dyDescent="0.2">
      <c r="A866" s="52" t="s">
        <v>265</v>
      </c>
      <c r="B866" s="268" t="s">
        <v>749</v>
      </c>
      <c r="C866" s="5" t="s">
        <v>1341</v>
      </c>
      <c r="D866" s="5" t="s">
        <v>1222</v>
      </c>
      <c r="E866" s="195">
        <v>6700</v>
      </c>
      <c r="F866" s="196">
        <v>6700</v>
      </c>
    </row>
    <row r="867" spans="1:6" x14ac:dyDescent="0.2">
      <c r="A867" s="52" t="s">
        <v>226</v>
      </c>
      <c r="B867" s="268" t="s">
        <v>749</v>
      </c>
      <c r="C867" s="5" t="s">
        <v>1341</v>
      </c>
      <c r="D867" s="5" t="s">
        <v>421</v>
      </c>
      <c r="E867" s="195">
        <v>6700</v>
      </c>
      <c r="F867" s="196">
        <v>6700</v>
      </c>
    </row>
    <row r="868" spans="1:6" ht="51" x14ac:dyDescent="0.2">
      <c r="A868" s="52" t="s">
        <v>1406</v>
      </c>
      <c r="B868" s="268" t="s">
        <v>1052</v>
      </c>
      <c r="C868" s="5" t="s">
        <v>1314</v>
      </c>
      <c r="D868" s="5" t="s">
        <v>1314</v>
      </c>
      <c r="E868" s="195">
        <v>763000</v>
      </c>
      <c r="F868" s="196">
        <v>763000</v>
      </c>
    </row>
    <row r="869" spans="1:6" ht="38.25" x14ac:dyDescent="0.2">
      <c r="A869" s="52" t="s">
        <v>521</v>
      </c>
      <c r="B869" s="268" t="s">
        <v>1053</v>
      </c>
      <c r="C869" s="5" t="s">
        <v>1314</v>
      </c>
      <c r="D869" s="5" t="s">
        <v>1314</v>
      </c>
      <c r="E869" s="195">
        <v>760000</v>
      </c>
      <c r="F869" s="196">
        <v>760000</v>
      </c>
    </row>
    <row r="870" spans="1:6" ht="127.5" x14ac:dyDescent="0.2">
      <c r="A870" s="52" t="s">
        <v>1492</v>
      </c>
      <c r="B870" s="268" t="s">
        <v>729</v>
      </c>
      <c r="C870" s="5" t="s">
        <v>1314</v>
      </c>
      <c r="D870" s="5" t="s">
        <v>1314</v>
      </c>
      <c r="E870" s="195">
        <v>10000</v>
      </c>
      <c r="F870" s="196">
        <v>10000</v>
      </c>
    </row>
    <row r="871" spans="1:6" ht="38.25" x14ac:dyDescent="0.2">
      <c r="A871" s="52" t="s">
        <v>1502</v>
      </c>
      <c r="B871" s="268" t="s">
        <v>729</v>
      </c>
      <c r="C871" s="5" t="s">
        <v>1503</v>
      </c>
      <c r="D871" s="5" t="s">
        <v>1314</v>
      </c>
      <c r="E871" s="195">
        <v>10000</v>
      </c>
      <c r="F871" s="196">
        <v>10000</v>
      </c>
    </row>
    <row r="872" spans="1:6" ht="38.25" x14ac:dyDescent="0.2">
      <c r="A872" s="52" t="s">
        <v>1338</v>
      </c>
      <c r="B872" s="268" t="s">
        <v>729</v>
      </c>
      <c r="C872" s="5" t="s">
        <v>1339</v>
      </c>
      <c r="D872" s="5" t="s">
        <v>1314</v>
      </c>
      <c r="E872" s="195">
        <v>10000</v>
      </c>
      <c r="F872" s="196">
        <v>10000</v>
      </c>
    </row>
    <row r="873" spans="1:6" x14ac:dyDescent="0.2">
      <c r="A873" s="52" t="s">
        <v>190</v>
      </c>
      <c r="B873" s="268" t="s">
        <v>729</v>
      </c>
      <c r="C873" s="5" t="s">
        <v>1339</v>
      </c>
      <c r="D873" s="5" t="s">
        <v>1218</v>
      </c>
      <c r="E873" s="195">
        <v>10000</v>
      </c>
      <c r="F873" s="196">
        <v>10000</v>
      </c>
    </row>
    <row r="874" spans="1:6" ht="25.5" x14ac:dyDescent="0.2">
      <c r="A874" s="52" t="s">
        <v>152</v>
      </c>
      <c r="B874" s="268" t="s">
        <v>729</v>
      </c>
      <c r="C874" s="5" t="s">
        <v>1339</v>
      </c>
      <c r="D874" s="5" t="s">
        <v>400</v>
      </c>
      <c r="E874" s="195">
        <v>10000</v>
      </c>
      <c r="F874" s="196">
        <v>10000</v>
      </c>
    </row>
    <row r="875" spans="1:6" ht="140.25" x14ac:dyDescent="0.2">
      <c r="A875" s="52" t="s">
        <v>1746</v>
      </c>
      <c r="B875" s="268" t="s">
        <v>1531</v>
      </c>
      <c r="C875" s="5" t="s">
        <v>1314</v>
      </c>
      <c r="D875" s="5" t="s">
        <v>1314</v>
      </c>
      <c r="E875" s="195">
        <v>750000</v>
      </c>
      <c r="F875" s="196">
        <v>750000</v>
      </c>
    </row>
    <row r="876" spans="1:6" x14ac:dyDescent="0.2">
      <c r="A876" s="52" t="s">
        <v>1504</v>
      </c>
      <c r="B876" s="268" t="s">
        <v>1531</v>
      </c>
      <c r="C876" s="5" t="s">
        <v>1505</v>
      </c>
      <c r="D876" s="5" t="s">
        <v>1314</v>
      </c>
      <c r="E876" s="195">
        <v>750000</v>
      </c>
      <c r="F876" s="196">
        <v>750000</v>
      </c>
    </row>
    <row r="877" spans="1:6" ht="63.75" x14ac:dyDescent="0.2">
      <c r="A877" s="52" t="s">
        <v>1348</v>
      </c>
      <c r="B877" s="268" t="s">
        <v>1531</v>
      </c>
      <c r="C877" s="5" t="s">
        <v>394</v>
      </c>
      <c r="D877" s="5" t="s">
        <v>1314</v>
      </c>
      <c r="E877" s="195">
        <v>750000</v>
      </c>
      <c r="F877" s="196">
        <v>750000</v>
      </c>
    </row>
    <row r="878" spans="1:6" x14ac:dyDescent="0.2">
      <c r="A878" s="52" t="s">
        <v>190</v>
      </c>
      <c r="B878" s="268" t="s">
        <v>1531</v>
      </c>
      <c r="C878" s="5" t="s">
        <v>394</v>
      </c>
      <c r="D878" s="5" t="s">
        <v>1218</v>
      </c>
      <c r="E878" s="195">
        <v>750000</v>
      </c>
      <c r="F878" s="196">
        <v>750000</v>
      </c>
    </row>
    <row r="879" spans="1:6" ht="25.5" x14ac:dyDescent="0.2">
      <c r="A879" s="52" t="s">
        <v>152</v>
      </c>
      <c r="B879" s="268" t="s">
        <v>1531</v>
      </c>
      <c r="C879" s="5" t="s">
        <v>394</v>
      </c>
      <c r="D879" s="5" t="s">
        <v>400</v>
      </c>
      <c r="E879" s="195">
        <v>750000</v>
      </c>
      <c r="F879" s="196">
        <v>750000</v>
      </c>
    </row>
    <row r="880" spans="1:6" ht="38.25" x14ac:dyDescent="0.2">
      <c r="A880" s="52" t="s">
        <v>488</v>
      </c>
      <c r="B880" s="268" t="s">
        <v>1493</v>
      </c>
      <c r="C880" s="5" t="s">
        <v>1314</v>
      </c>
      <c r="D880" s="5" t="s">
        <v>1314</v>
      </c>
      <c r="E880" s="195">
        <v>3000</v>
      </c>
      <c r="F880" s="196">
        <v>3000</v>
      </c>
    </row>
    <row r="881" spans="1:6" ht="127.5" x14ac:dyDescent="0.2">
      <c r="A881" s="52" t="s">
        <v>1494</v>
      </c>
      <c r="B881" s="268" t="s">
        <v>1495</v>
      </c>
      <c r="C881" s="5" t="s">
        <v>1314</v>
      </c>
      <c r="D881" s="5" t="s">
        <v>1314</v>
      </c>
      <c r="E881" s="195">
        <v>3000</v>
      </c>
      <c r="F881" s="196">
        <v>3000</v>
      </c>
    </row>
    <row r="882" spans="1:6" ht="38.25" x14ac:dyDescent="0.2">
      <c r="A882" s="52" t="s">
        <v>1502</v>
      </c>
      <c r="B882" s="268" t="s">
        <v>1495</v>
      </c>
      <c r="C882" s="5" t="s">
        <v>1503</v>
      </c>
      <c r="D882" s="5" t="s">
        <v>1314</v>
      </c>
      <c r="E882" s="195">
        <v>3000</v>
      </c>
      <c r="F882" s="196">
        <v>3000</v>
      </c>
    </row>
    <row r="883" spans="1:6" ht="38.25" x14ac:dyDescent="0.2">
      <c r="A883" s="52" t="s">
        <v>1338</v>
      </c>
      <c r="B883" s="268" t="s">
        <v>1495</v>
      </c>
      <c r="C883" s="5" t="s">
        <v>1339</v>
      </c>
      <c r="D883" s="5" t="s">
        <v>1314</v>
      </c>
      <c r="E883" s="195">
        <v>3000</v>
      </c>
      <c r="F883" s="196">
        <v>3000</v>
      </c>
    </row>
    <row r="884" spans="1:6" x14ac:dyDescent="0.2">
      <c r="A884" s="52" t="s">
        <v>190</v>
      </c>
      <c r="B884" s="268" t="s">
        <v>1495</v>
      </c>
      <c r="C884" s="5" t="s">
        <v>1339</v>
      </c>
      <c r="D884" s="5" t="s">
        <v>1218</v>
      </c>
      <c r="E884" s="195">
        <v>3000</v>
      </c>
      <c r="F884" s="196">
        <v>3000</v>
      </c>
    </row>
    <row r="885" spans="1:6" ht="25.5" x14ac:dyDescent="0.2">
      <c r="A885" s="52" t="s">
        <v>152</v>
      </c>
      <c r="B885" s="268" t="s">
        <v>1495</v>
      </c>
      <c r="C885" s="5" t="s">
        <v>1339</v>
      </c>
      <c r="D885" s="5" t="s">
        <v>400</v>
      </c>
      <c r="E885" s="195">
        <v>3000</v>
      </c>
      <c r="F885" s="196">
        <v>3000</v>
      </c>
    </row>
    <row r="886" spans="1:6" ht="38.25" x14ac:dyDescent="0.2">
      <c r="A886" s="52" t="s">
        <v>524</v>
      </c>
      <c r="B886" s="268" t="s">
        <v>1054</v>
      </c>
      <c r="C886" s="5" t="s">
        <v>1314</v>
      </c>
      <c r="D886" s="5" t="s">
        <v>1314</v>
      </c>
      <c r="E886" s="195">
        <v>65980800</v>
      </c>
      <c r="F886" s="196">
        <v>66338400</v>
      </c>
    </row>
    <row r="887" spans="1:6" ht="25.5" x14ac:dyDescent="0.2">
      <c r="A887" s="52" t="s">
        <v>525</v>
      </c>
      <c r="B887" s="268" t="s">
        <v>1055</v>
      </c>
      <c r="C887" s="5" t="s">
        <v>1314</v>
      </c>
      <c r="D887" s="5" t="s">
        <v>1314</v>
      </c>
      <c r="E887" s="195">
        <v>35151900</v>
      </c>
      <c r="F887" s="196">
        <v>35509500</v>
      </c>
    </row>
    <row r="888" spans="1:6" ht="63.75" x14ac:dyDescent="0.2">
      <c r="A888" s="52" t="s">
        <v>399</v>
      </c>
      <c r="B888" s="268" t="s">
        <v>728</v>
      </c>
      <c r="C888" s="5" t="s">
        <v>1314</v>
      </c>
      <c r="D888" s="5" t="s">
        <v>1314</v>
      </c>
      <c r="E888" s="195">
        <v>38700</v>
      </c>
      <c r="F888" s="196">
        <v>40100</v>
      </c>
    </row>
    <row r="889" spans="1:6" ht="38.25" x14ac:dyDescent="0.2">
      <c r="A889" s="52" t="s">
        <v>1502</v>
      </c>
      <c r="B889" s="268" t="s">
        <v>728</v>
      </c>
      <c r="C889" s="5" t="s">
        <v>1503</v>
      </c>
      <c r="D889" s="5" t="s">
        <v>1314</v>
      </c>
      <c r="E889" s="195">
        <v>38700</v>
      </c>
      <c r="F889" s="196">
        <v>40100</v>
      </c>
    </row>
    <row r="890" spans="1:6" ht="38.25" x14ac:dyDescent="0.2">
      <c r="A890" s="52" t="s">
        <v>1338</v>
      </c>
      <c r="B890" s="268" t="s">
        <v>728</v>
      </c>
      <c r="C890" s="5" t="s">
        <v>1339</v>
      </c>
      <c r="D890" s="5" t="s">
        <v>1314</v>
      </c>
      <c r="E890" s="195">
        <v>38700</v>
      </c>
      <c r="F890" s="196">
        <v>40100</v>
      </c>
    </row>
    <row r="891" spans="1:6" x14ac:dyDescent="0.2">
      <c r="A891" s="52" t="s">
        <v>190</v>
      </c>
      <c r="B891" s="268" t="s">
        <v>728</v>
      </c>
      <c r="C891" s="5" t="s">
        <v>1339</v>
      </c>
      <c r="D891" s="5" t="s">
        <v>1218</v>
      </c>
      <c r="E891" s="195">
        <v>38700</v>
      </c>
      <c r="F891" s="196">
        <v>40100</v>
      </c>
    </row>
    <row r="892" spans="1:6" x14ac:dyDescent="0.2">
      <c r="A892" s="52" t="s">
        <v>269</v>
      </c>
      <c r="B892" s="268" t="s">
        <v>728</v>
      </c>
      <c r="C892" s="5" t="s">
        <v>1339</v>
      </c>
      <c r="D892" s="5" t="s">
        <v>398</v>
      </c>
      <c r="E892" s="195">
        <v>38700</v>
      </c>
      <c r="F892" s="196">
        <v>40100</v>
      </c>
    </row>
    <row r="893" spans="1:6" ht="102" x14ac:dyDescent="0.2">
      <c r="A893" s="52" t="s">
        <v>1697</v>
      </c>
      <c r="B893" s="268" t="s">
        <v>1383</v>
      </c>
      <c r="C893" s="5" t="s">
        <v>1314</v>
      </c>
      <c r="D893" s="5" t="s">
        <v>1314</v>
      </c>
      <c r="E893" s="195">
        <v>8788200</v>
      </c>
      <c r="F893" s="196">
        <v>9145700</v>
      </c>
    </row>
    <row r="894" spans="1:6" x14ac:dyDescent="0.2">
      <c r="A894" s="52" t="s">
        <v>1512</v>
      </c>
      <c r="B894" s="268" t="s">
        <v>1383</v>
      </c>
      <c r="C894" s="5" t="s">
        <v>1513</v>
      </c>
      <c r="D894" s="5" t="s">
        <v>1314</v>
      </c>
      <c r="E894" s="195">
        <v>8788200</v>
      </c>
      <c r="F894" s="196">
        <v>9145700</v>
      </c>
    </row>
    <row r="895" spans="1:6" x14ac:dyDescent="0.2">
      <c r="A895" s="52" t="s">
        <v>1567</v>
      </c>
      <c r="B895" s="268" t="s">
        <v>1383</v>
      </c>
      <c r="C895" s="5" t="s">
        <v>1568</v>
      </c>
      <c r="D895" s="5" t="s">
        <v>1314</v>
      </c>
      <c r="E895" s="195">
        <v>8788200</v>
      </c>
      <c r="F895" s="196">
        <v>9145700</v>
      </c>
    </row>
    <row r="896" spans="1:6" x14ac:dyDescent="0.2">
      <c r="A896" s="52" t="s">
        <v>190</v>
      </c>
      <c r="B896" s="268" t="s">
        <v>1383</v>
      </c>
      <c r="C896" s="5" t="s">
        <v>1568</v>
      </c>
      <c r="D896" s="5" t="s">
        <v>1218</v>
      </c>
      <c r="E896" s="195">
        <v>8788200</v>
      </c>
      <c r="F896" s="196">
        <v>9145700</v>
      </c>
    </row>
    <row r="897" spans="1:6" x14ac:dyDescent="0.2">
      <c r="A897" s="52" t="s">
        <v>269</v>
      </c>
      <c r="B897" s="268" t="s">
        <v>1383</v>
      </c>
      <c r="C897" s="5" t="s">
        <v>1568</v>
      </c>
      <c r="D897" s="5" t="s">
        <v>398</v>
      </c>
      <c r="E897" s="195">
        <v>8788200</v>
      </c>
      <c r="F897" s="196">
        <v>9145700</v>
      </c>
    </row>
    <row r="898" spans="1:6" ht="89.25" x14ac:dyDescent="0.2">
      <c r="A898" s="52" t="s">
        <v>1679</v>
      </c>
      <c r="B898" s="268" t="s">
        <v>1680</v>
      </c>
      <c r="C898" s="5" t="s">
        <v>1314</v>
      </c>
      <c r="D898" s="5" t="s">
        <v>1314</v>
      </c>
      <c r="E898" s="195">
        <v>117500</v>
      </c>
      <c r="F898" s="196">
        <v>116200</v>
      </c>
    </row>
    <row r="899" spans="1:6" ht="38.25" x14ac:dyDescent="0.2">
      <c r="A899" s="52" t="s">
        <v>1502</v>
      </c>
      <c r="B899" s="268" t="s">
        <v>1680</v>
      </c>
      <c r="C899" s="5" t="s">
        <v>1503</v>
      </c>
      <c r="D899" s="5" t="s">
        <v>1314</v>
      </c>
      <c r="E899" s="195">
        <v>117500</v>
      </c>
      <c r="F899" s="196">
        <v>116200</v>
      </c>
    </row>
    <row r="900" spans="1:6" ht="38.25" x14ac:dyDescent="0.2">
      <c r="A900" s="52" t="s">
        <v>1338</v>
      </c>
      <c r="B900" s="268" t="s">
        <v>1680</v>
      </c>
      <c r="C900" s="5" t="s">
        <v>1339</v>
      </c>
      <c r="D900" s="5" t="s">
        <v>1314</v>
      </c>
      <c r="E900" s="195">
        <v>117500</v>
      </c>
      <c r="F900" s="196">
        <v>116200</v>
      </c>
    </row>
    <row r="901" spans="1:6" x14ac:dyDescent="0.2">
      <c r="A901" s="52" t="s">
        <v>190</v>
      </c>
      <c r="B901" s="268" t="s">
        <v>1680</v>
      </c>
      <c r="C901" s="5" t="s">
        <v>1339</v>
      </c>
      <c r="D901" s="5" t="s">
        <v>1218</v>
      </c>
      <c r="E901" s="195">
        <v>117500</v>
      </c>
      <c r="F901" s="196">
        <v>116200</v>
      </c>
    </row>
    <row r="902" spans="1:6" x14ac:dyDescent="0.2">
      <c r="A902" s="52" t="s">
        <v>269</v>
      </c>
      <c r="B902" s="268" t="s">
        <v>1680</v>
      </c>
      <c r="C902" s="5" t="s">
        <v>1339</v>
      </c>
      <c r="D902" s="5" t="s">
        <v>398</v>
      </c>
      <c r="E902" s="195">
        <v>117500</v>
      </c>
      <c r="F902" s="196">
        <v>116200</v>
      </c>
    </row>
    <row r="903" spans="1:6" ht="127.5" x14ac:dyDescent="0.2">
      <c r="A903" s="52" t="s">
        <v>1571</v>
      </c>
      <c r="B903" s="268" t="s">
        <v>1572</v>
      </c>
      <c r="C903" s="5" t="s">
        <v>1314</v>
      </c>
      <c r="D903" s="5" t="s">
        <v>1314</v>
      </c>
      <c r="E903" s="195">
        <v>26207500</v>
      </c>
      <c r="F903" s="196">
        <v>26207500</v>
      </c>
    </row>
    <row r="904" spans="1:6" x14ac:dyDescent="0.2">
      <c r="A904" s="52" t="s">
        <v>1512</v>
      </c>
      <c r="B904" s="268" t="s">
        <v>1572</v>
      </c>
      <c r="C904" s="5" t="s">
        <v>1513</v>
      </c>
      <c r="D904" s="5" t="s">
        <v>1314</v>
      </c>
      <c r="E904" s="195">
        <v>26207500</v>
      </c>
      <c r="F904" s="196">
        <v>26207500</v>
      </c>
    </row>
    <row r="905" spans="1:6" x14ac:dyDescent="0.2">
      <c r="A905" s="52" t="s">
        <v>1567</v>
      </c>
      <c r="B905" s="268" t="s">
        <v>1572</v>
      </c>
      <c r="C905" s="5" t="s">
        <v>1568</v>
      </c>
      <c r="D905" s="5" t="s">
        <v>1314</v>
      </c>
      <c r="E905" s="195">
        <v>26207500</v>
      </c>
      <c r="F905" s="196">
        <v>26207500</v>
      </c>
    </row>
    <row r="906" spans="1:6" x14ac:dyDescent="0.2">
      <c r="A906" s="52" t="s">
        <v>190</v>
      </c>
      <c r="B906" s="268" t="s">
        <v>1572</v>
      </c>
      <c r="C906" s="5" t="s">
        <v>1568</v>
      </c>
      <c r="D906" s="5" t="s">
        <v>1218</v>
      </c>
      <c r="E906" s="195">
        <v>26207500</v>
      </c>
      <c r="F906" s="196">
        <v>26207500</v>
      </c>
    </row>
    <row r="907" spans="1:6" x14ac:dyDescent="0.2">
      <c r="A907" s="52" t="s">
        <v>269</v>
      </c>
      <c r="B907" s="268" t="s">
        <v>1572</v>
      </c>
      <c r="C907" s="5" t="s">
        <v>1568</v>
      </c>
      <c r="D907" s="5" t="s">
        <v>398</v>
      </c>
      <c r="E907" s="195">
        <v>26207500</v>
      </c>
      <c r="F907" s="196">
        <v>26207500</v>
      </c>
    </row>
    <row r="908" spans="1:6" ht="25.5" x14ac:dyDescent="0.2">
      <c r="A908" s="52" t="s">
        <v>527</v>
      </c>
      <c r="B908" s="268" t="s">
        <v>1056</v>
      </c>
      <c r="C908" s="5" t="s">
        <v>1314</v>
      </c>
      <c r="D908" s="5" t="s">
        <v>1314</v>
      </c>
      <c r="E908" s="195">
        <v>30390000</v>
      </c>
      <c r="F908" s="196">
        <v>30390000</v>
      </c>
    </row>
    <row r="909" spans="1:6" ht="89.25" x14ac:dyDescent="0.2">
      <c r="A909" s="52" t="s">
        <v>882</v>
      </c>
      <c r="B909" s="268" t="s">
        <v>1008</v>
      </c>
      <c r="C909" s="5" t="s">
        <v>1314</v>
      </c>
      <c r="D909" s="5" t="s">
        <v>1314</v>
      </c>
      <c r="E909" s="195">
        <v>390000</v>
      </c>
      <c r="F909" s="196">
        <v>390000</v>
      </c>
    </row>
    <row r="910" spans="1:6" x14ac:dyDescent="0.2">
      <c r="A910" s="52" t="s">
        <v>1504</v>
      </c>
      <c r="B910" s="268" t="s">
        <v>1008</v>
      </c>
      <c r="C910" s="5" t="s">
        <v>1505</v>
      </c>
      <c r="D910" s="5" t="s">
        <v>1314</v>
      </c>
      <c r="E910" s="195">
        <v>390000</v>
      </c>
      <c r="F910" s="196">
        <v>390000</v>
      </c>
    </row>
    <row r="911" spans="1:6" ht="63.75" x14ac:dyDescent="0.2">
      <c r="A911" s="52" t="s">
        <v>1348</v>
      </c>
      <c r="B911" s="268" t="s">
        <v>1008</v>
      </c>
      <c r="C911" s="5" t="s">
        <v>394</v>
      </c>
      <c r="D911" s="5" t="s">
        <v>1314</v>
      </c>
      <c r="E911" s="195">
        <v>390000</v>
      </c>
      <c r="F911" s="196">
        <v>390000</v>
      </c>
    </row>
    <row r="912" spans="1:6" x14ac:dyDescent="0.2">
      <c r="A912" s="52" t="s">
        <v>190</v>
      </c>
      <c r="B912" s="268" t="s">
        <v>1008</v>
      </c>
      <c r="C912" s="5" t="s">
        <v>394</v>
      </c>
      <c r="D912" s="5" t="s">
        <v>1218</v>
      </c>
      <c r="E912" s="195">
        <v>390000</v>
      </c>
      <c r="F912" s="196">
        <v>390000</v>
      </c>
    </row>
    <row r="913" spans="1:6" x14ac:dyDescent="0.2">
      <c r="A913" s="52" t="s">
        <v>192</v>
      </c>
      <c r="B913" s="268" t="s">
        <v>1008</v>
      </c>
      <c r="C913" s="5" t="s">
        <v>394</v>
      </c>
      <c r="D913" s="5" t="s">
        <v>396</v>
      </c>
      <c r="E913" s="195">
        <v>390000</v>
      </c>
      <c r="F913" s="196">
        <v>390000</v>
      </c>
    </row>
    <row r="914" spans="1:6" ht="89.25" x14ac:dyDescent="0.2">
      <c r="A914" s="52" t="s">
        <v>397</v>
      </c>
      <c r="B914" s="268" t="s">
        <v>727</v>
      </c>
      <c r="C914" s="5" t="s">
        <v>1314</v>
      </c>
      <c r="D914" s="5" t="s">
        <v>1314</v>
      </c>
      <c r="E914" s="195">
        <v>30000000</v>
      </c>
      <c r="F914" s="196">
        <v>30000000</v>
      </c>
    </row>
    <row r="915" spans="1:6" x14ac:dyDescent="0.2">
      <c r="A915" s="52" t="s">
        <v>1504</v>
      </c>
      <c r="B915" s="268" t="s">
        <v>727</v>
      </c>
      <c r="C915" s="5" t="s">
        <v>1505</v>
      </c>
      <c r="D915" s="5" t="s">
        <v>1314</v>
      </c>
      <c r="E915" s="195">
        <v>30000000</v>
      </c>
      <c r="F915" s="196">
        <v>30000000</v>
      </c>
    </row>
    <row r="916" spans="1:6" ht="63.75" x14ac:dyDescent="0.2">
      <c r="A916" s="52" t="s">
        <v>1348</v>
      </c>
      <c r="B916" s="268" t="s">
        <v>727</v>
      </c>
      <c r="C916" s="5" t="s">
        <v>394</v>
      </c>
      <c r="D916" s="5" t="s">
        <v>1314</v>
      </c>
      <c r="E916" s="195">
        <v>30000000</v>
      </c>
      <c r="F916" s="196">
        <v>30000000</v>
      </c>
    </row>
    <row r="917" spans="1:6" x14ac:dyDescent="0.2">
      <c r="A917" s="52" t="s">
        <v>190</v>
      </c>
      <c r="B917" s="268" t="s">
        <v>727</v>
      </c>
      <c r="C917" s="5" t="s">
        <v>394</v>
      </c>
      <c r="D917" s="5" t="s">
        <v>1218</v>
      </c>
      <c r="E917" s="195">
        <v>30000000</v>
      </c>
      <c r="F917" s="196">
        <v>30000000</v>
      </c>
    </row>
    <row r="918" spans="1:6" x14ac:dyDescent="0.2">
      <c r="A918" s="52" t="s">
        <v>192</v>
      </c>
      <c r="B918" s="268" t="s">
        <v>727</v>
      </c>
      <c r="C918" s="5" t="s">
        <v>394</v>
      </c>
      <c r="D918" s="5" t="s">
        <v>396</v>
      </c>
      <c r="E918" s="195">
        <v>30000000</v>
      </c>
      <c r="F918" s="196">
        <v>30000000</v>
      </c>
    </row>
    <row r="919" spans="1:6" ht="25.5" x14ac:dyDescent="0.2">
      <c r="A919" s="52" t="s">
        <v>529</v>
      </c>
      <c r="B919" s="268" t="s">
        <v>1057</v>
      </c>
      <c r="C919" s="5" t="s">
        <v>1314</v>
      </c>
      <c r="D919" s="5" t="s">
        <v>1314</v>
      </c>
      <c r="E919" s="195">
        <v>438900</v>
      </c>
      <c r="F919" s="196">
        <v>438900</v>
      </c>
    </row>
    <row r="920" spans="1:6" ht="76.5" x14ac:dyDescent="0.2">
      <c r="A920" s="52" t="s">
        <v>447</v>
      </c>
      <c r="B920" s="268" t="s">
        <v>2072</v>
      </c>
      <c r="C920" s="5" t="s">
        <v>1314</v>
      </c>
      <c r="D920" s="5" t="s">
        <v>1314</v>
      </c>
      <c r="E920" s="195">
        <v>80000</v>
      </c>
      <c r="F920" s="196">
        <v>80000</v>
      </c>
    </row>
    <row r="921" spans="1:6" ht="38.25" x14ac:dyDescent="0.2">
      <c r="A921" s="52" t="s">
        <v>1502</v>
      </c>
      <c r="B921" s="268" t="s">
        <v>2072</v>
      </c>
      <c r="C921" s="5" t="s">
        <v>1503</v>
      </c>
      <c r="D921" s="5" t="s">
        <v>1314</v>
      </c>
      <c r="E921" s="195">
        <v>80000</v>
      </c>
      <c r="F921" s="196">
        <v>80000</v>
      </c>
    </row>
    <row r="922" spans="1:6" ht="38.25" x14ac:dyDescent="0.2">
      <c r="A922" s="52" t="s">
        <v>1338</v>
      </c>
      <c r="B922" s="268" t="s">
        <v>2072</v>
      </c>
      <c r="C922" s="5" t="s">
        <v>1339</v>
      </c>
      <c r="D922" s="5" t="s">
        <v>1314</v>
      </c>
      <c r="E922" s="195">
        <v>80000</v>
      </c>
      <c r="F922" s="196">
        <v>80000</v>
      </c>
    </row>
    <row r="923" spans="1:6" x14ac:dyDescent="0.2">
      <c r="A923" s="52" t="s">
        <v>147</v>
      </c>
      <c r="B923" s="268" t="s">
        <v>2072</v>
      </c>
      <c r="C923" s="5" t="s">
        <v>1339</v>
      </c>
      <c r="D923" s="5" t="s">
        <v>1220</v>
      </c>
      <c r="E923" s="195">
        <v>80000</v>
      </c>
      <c r="F923" s="196">
        <v>80000</v>
      </c>
    </row>
    <row r="924" spans="1:6" x14ac:dyDescent="0.2">
      <c r="A924" s="52" t="s">
        <v>1147</v>
      </c>
      <c r="B924" s="268" t="s">
        <v>2072</v>
      </c>
      <c r="C924" s="5" t="s">
        <v>1339</v>
      </c>
      <c r="D924" s="5" t="s">
        <v>1148</v>
      </c>
      <c r="E924" s="195">
        <v>80000</v>
      </c>
      <c r="F924" s="196">
        <v>80000</v>
      </c>
    </row>
    <row r="925" spans="1:6" ht="114.75" x14ac:dyDescent="0.2">
      <c r="A925" s="52" t="s">
        <v>1734</v>
      </c>
      <c r="B925" s="268" t="s">
        <v>1735</v>
      </c>
      <c r="C925" s="5" t="s">
        <v>1314</v>
      </c>
      <c r="D925" s="5" t="s">
        <v>1314</v>
      </c>
      <c r="E925" s="195">
        <v>358900</v>
      </c>
      <c r="F925" s="196">
        <v>358900</v>
      </c>
    </row>
    <row r="926" spans="1:6" x14ac:dyDescent="0.2">
      <c r="A926" s="52" t="s">
        <v>1512</v>
      </c>
      <c r="B926" s="268" t="s">
        <v>1735</v>
      </c>
      <c r="C926" s="5" t="s">
        <v>1513</v>
      </c>
      <c r="D926" s="5" t="s">
        <v>1314</v>
      </c>
      <c r="E926" s="195">
        <v>358900</v>
      </c>
      <c r="F926" s="196">
        <v>358900</v>
      </c>
    </row>
    <row r="927" spans="1:6" x14ac:dyDescent="0.2">
      <c r="A927" s="52" t="s">
        <v>1567</v>
      </c>
      <c r="B927" s="268" t="s">
        <v>1735</v>
      </c>
      <c r="C927" s="5" t="s">
        <v>1568</v>
      </c>
      <c r="D927" s="5" t="s">
        <v>1314</v>
      </c>
      <c r="E927" s="195">
        <v>358900</v>
      </c>
      <c r="F927" s="196">
        <v>358900</v>
      </c>
    </row>
    <row r="928" spans="1:6" x14ac:dyDescent="0.2">
      <c r="A928" s="52" t="s">
        <v>190</v>
      </c>
      <c r="B928" s="268" t="s">
        <v>1735</v>
      </c>
      <c r="C928" s="5" t="s">
        <v>1568</v>
      </c>
      <c r="D928" s="5" t="s">
        <v>1218</v>
      </c>
      <c r="E928" s="195">
        <v>358900</v>
      </c>
      <c r="F928" s="196">
        <v>358900</v>
      </c>
    </row>
    <row r="929" spans="1:6" x14ac:dyDescent="0.2">
      <c r="A929" s="52" t="s">
        <v>269</v>
      </c>
      <c r="B929" s="268" t="s">
        <v>1735</v>
      </c>
      <c r="C929" s="5" t="s">
        <v>1568</v>
      </c>
      <c r="D929" s="5" t="s">
        <v>398</v>
      </c>
      <c r="E929" s="195">
        <v>358900</v>
      </c>
      <c r="F929" s="196">
        <v>358900</v>
      </c>
    </row>
    <row r="930" spans="1:6" ht="38.25" x14ac:dyDescent="0.2">
      <c r="A930" s="52" t="s">
        <v>643</v>
      </c>
      <c r="B930" s="268" t="s">
        <v>1058</v>
      </c>
      <c r="C930" s="5" t="s">
        <v>1314</v>
      </c>
      <c r="D930" s="5" t="s">
        <v>1314</v>
      </c>
      <c r="E930" s="195">
        <v>1100000</v>
      </c>
      <c r="F930" s="196">
        <v>20636200</v>
      </c>
    </row>
    <row r="931" spans="1:6" ht="51" x14ac:dyDescent="0.2">
      <c r="A931" s="52" t="s">
        <v>972</v>
      </c>
      <c r="B931" s="268" t="s">
        <v>2077</v>
      </c>
      <c r="C931" s="5" t="s">
        <v>1314</v>
      </c>
      <c r="D931" s="5" t="s">
        <v>1314</v>
      </c>
      <c r="E931" s="195">
        <v>0</v>
      </c>
      <c r="F931" s="196">
        <v>19536200</v>
      </c>
    </row>
    <row r="932" spans="1:6" ht="178.5" x14ac:dyDescent="0.2">
      <c r="A932" s="52" t="s">
        <v>2078</v>
      </c>
      <c r="B932" s="268" t="s">
        <v>2079</v>
      </c>
      <c r="C932" s="5" t="s">
        <v>1314</v>
      </c>
      <c r="D932" s="5" t="s">
        <v>1314</v>
      </c>
      <c r="E932" s="195">
        <v>0</v>
      </c>
      <c r="F932" s="196">
        <v>14352100</v>
      </c>
    </row>
    <row r="933" spans="1:6" x14ac:dyDescent="0.2">
      <c r="A933" s="52" t="s">
        <v>1512</v>
      </c>
      <c r="B933" s="268" t="s">
        <v>2079</v>
      </c>
      <c r="C933" s="5" t="s">
        <v>1513</v>
      </c>
      <c r="D933" s="5" t="s">
        <v>1314</v>
      </c>
      <c r="E933" s="195">
        <v>0</v>
      </c>
      <c r="F933" s="196">
        <v>14352100</v>
      </c>
    </row>
    <row r="934" spans="1:6" x14ac:dyDescent="0.2">
      <c r="A934" s="52" t="s">
        <v>1567</v>
      </c>
      <c r="B934" s="268" t="s">
        <v>2079</v>
      </c>
      <c r="C934" s="5" t="s">
        <v>1568</v>
      </c>
      <c r="D934" s="5" t="s">
        <v>1314</v>
      </c>
      <c r="E934" s="195">
        <v>0</v>
      </c>
      <c r="F934" s="196">
        <v>14352100</v>
      </c>
    </row>
    <row r="935" spans="1:6" ht="25.5" x14ac:dyDescent="0.2">
      <c r="A935" s="52" t="s">
        <v>255</v>
      </c>
      <c r="B935" s="268" t="s">
        <v>2079</v>
      </c>
      <c r="C935" s="5" t="s">
        <v>1568</v>
      </c>
      <c r="D935" s="5" t="s">
        <v>1219</v>
      </c>
      <c r="E935" s="195">
        <v>0</v>
      </c>
      <c r="F935" s="196">
        <v>14352100</v>
      </c>
    </row>
    <row r="936" spans="1:6" x14ac:dyDescent="0.2">
      <c r="A936" s="52" t="s">
        <v>3</v>
      </c>
      <c r="B936" s="268" t="s">
        <v>2079</v>
      </c>
      <c r="C936" s="5" t="s">
        <v>1568</v>
      </c>
      <c r="D936" s="5" t="s">
        <v>426</v>
      </c>
      <c r="E936" s="195">
        <v>0</v>
      </c>
      <c r="F936" s="196">
        <v>14352100</v>
      </c>
    </row>
    <row r="937" spans="1:6" ht="140.25" x14ac:dyDescent="0.2">
      <c r="A937" s="52" t="s">
        <v>2080</v>
      </c>
      <c r="B937" s="268" t="s">
        <v>2081</v>
      </c>
      <c r="C937" s="5" t="s">
        <v>1314</v>
      </c>
      <c r="D937" s="5" t="s">
        <v>1314</v>
      </c>
      <c r="E937" s="195">
        <v>0</v>
      </c>
      <c r="F937" s="196">
        <v>5184100</v>
      </c>
    </row>
    <row r="938" spans="1:6" x14ac:dyDescent="0.2">
      <c r="A938" s="52" t="s">
        <v>1512</v>
      </c>
      <c r="B938" s="268" t="s">
        <v>2081</v>
      </c>
      <c r="C938" s="5" t="s">
        <v>1513</v>
      </c>
      <c r="D938" s="5" t="s">
        <v>1314</v>
      </c>
      <c r="E938" s="195">
        <v>0</v>
      </c>
      <c r="F938" s="196">
        <v>5184100</v>
      </c>
    </row>
    <row r="939" spans="1:6" x14ac:dyDescent="0.2">
      <c r="A939" s="52" t="s">
        <v>1567</v>
      </c>
      <c r="B939" s="268" t="s">
        <v>2081</v>
      </c>
      <c r="C939" s="5" t="s">
        <v>1568</v>
      </c>
      <c r="D939" s="5" t="s">
        <v>1314</v>
      </c>
      <c r="E939" s="195">
        <v>0</v>
      </c>
      <c r="F939" s="196">
        <v>5184100</v>
      </c>
    </row>
    <row r="940" spans="1:6" ht="25.5" x14ac:dyDescent="0.2">
      <c r="A940" s="52" t="s">
        <v>255</v>
      </c>
      <c r="B940" s="268" t="s">
        <v>2081</v>
      </c>
      <c r="C940" s="5" t="s">
        <v>1568</v>
      </c>
      <c r="D940" s="5" t="s">
        <v>1219</v>
      </c>
      <c r="E940" s="195">
        <v>0</v>
      </c>
      <c r="F940" s="196">
        <v>5184100</v>
      </c>
    </row>
    <row r="941" spans="1:6" x14ac:dyDescent="0.2">
      <c r="A941" s="52" t="s">
        <v>3</v>
      </c>
      <c r="B941" s="268" t="s">
        <v>2081</v>
      </c>
      <c r="C941" s="5" t="s">
        <v>1568</v>
      </c>
      <c r="D941" s="5" t="s">
        <v>426</v>
      </c>
      <c r="E941" s="195">
        <v>0</v>
      </c>
      <c r="F941" s="196">
        <v>5184100</v>
      </c>
    </row>
    <row r="942" spans="1:6" ht="38.25" x14ac:dyDescent="0.2">
      <c r="A942" s="52" t="s">
        <v>1310</v>
      </c>
      <c r="B942" s="268" t="s">
        <v>1311</v>
      </c>
      <c r="C942" s="5" t="s">
        <v>1314</v>
      </c>
      <c r="D942" s="5" t="s">
        <v>1314</v>
      </c>
      <c r="E942" s="195">
        <v>500000</v>
      </c>
      <c r="F942" s="196">
        <v>500000</v>
      </c>
    </row>
    <row r="943" spans="1:6" ht="89.25" x14ac:dyDescent="0.2">
      <c r="A943" s="52" t="s">
        <v>1392</v>
      </c>
      <c r="B943" s="268" t="s">
        <v>1393</v>
      </c>
      <c r="C943" s="5" t="s">
        <v>1314</v>
      </c>
      <c r="D943" s="5" t="s">
        <v>1314</v>
      </c>
      <c r="E943" s="195">
        <v>500000</v>
      </c>
      <c r="F943" s="196">
        <v>500000</v>
      </c>
    </row>
    <row r="944" spans="1:6" ht="38.25" x14ac:dyDescent="0.2">
      <c r="A944" s="52" t="s">
        <v>1502</v>
      </c>
      <c r="B944" s="268" t="s">
        <v>1393</v>
      </c>
      <c r="C944" s="5" t="s">
        <v>1503</v>
      </c>
      <c r="D944" s="5" t="s">
        <v>1314</v>
      </c>
      <c r="E944" s="195">
        <v>500000</v>
      </c>
      <c r="F944" s="196">
        <v>500000</v>
      </c>
    </row>
    <row r="945" spans="1:6" ht="38.25" x14ac:dyDescent="0.2">
      <c r="A945" s="52" t="s">
        <v>1338</v>
      </c>
      <c r="B945" s="268" t="s">
        <v>1393</v>
      </c>
      <c r="C945" s="5" t="s">
        <v>1339</v>
      </c>
      <c r="D945" s="5" t="s">
        <v>1314</v>
      </c>
      <c r="E945" s="195">
        <v>500000</v>
      </c>
      <c r="F945" s="196">
        <v>500000</v>
      </c>
    </row>
    <row r="946" spans="1:6" x14ac:dyDescent="0.2">
      <c r="A946" s="52" t="s">
        <v>190</v>
      </c>
      <c r="B946" s="268" t="s">
        <v>1393</v>
      </c>
      <c r="C946" s="5" t="s">
        <v>1339</v>
      </c>
      <c r="D946" s="5" t="s">
        <v>1218</v>
      </c>
      <c r="E946" s="195">
        <v>500000</v>
      </c>
      <c r="F946" s="196">
        <v>500000</v>
      </c>
    </row>
    <row r="947" spans="1:6" ht="25.5" x14ac:dyDescent="0.2">
      <c r="A947" s="52" t="s">
        <v>152</v>
      </c>
      <c r="B947" s="268" t="s">
        <v>1393</v>
      </c>
      <c r="C947" s="5" t="s">
        <v>1339</v>
      </c>
      <c r="D947" s="5" t="s">
        <v>400</v>
      </c>
      <c r="E947" s="195">
        <v>500000</v>
      </c>
      <c r="F947" s="196">
        <v>500000</v>
      </c>
    </row>
    <row r="948" spans="1:6" ht="38.25" x14ac:dyDescent="0.2">
      <c r="A948" s="52" t="s">
        <v>644</v>
      </c>
      <c r="B948" s="268" t="s">
        <v>1059</v>
      </c>
      <c r="C948" s="5" t="s">
        <v>1314</v>
      </c>
      <c r="D948" s="5" t="s">
        <v>1314</v>
      </c>
      <c r="E948" s="195">
        <v>600000</v>
      </c>
      <c r="F948" s="196">
        <v>600000</v>
      </c>
    </row>
    <row r="949" spans="1:6" ht="89.25" x14ac:dyDescent="0.2">
      <c r="A949" s="52" t="s">
        <v>570</v>
      </c>
      <c r="B949" s="268" t="s">
        <v>793</v>
      </c>
      <c r="C949" s="5" t="s">
        <v>1314</v>
      </c>
      <c r="D949" s="5" t="s">
        <v>1314</v>
      </c>
      <c r="E949" s="195">
        <v>600000</v>
      </c>
      <c r="F949" s="196">
        <v>600000</v>
      </c>
    </row>
    <row r="950" spans="1:6" ht="25.5" x14ac:dyDescent="0.2">
      <c r="A950" s="52" t="s">
        <v>1506</v>
      </c>
      <c r="B950" s="268" t="s">
        <v>793</v>
      </c>
      <c r="C950" s="5" t="s">
        <v>1507</v>
      </c>
      <c r="D950" s="5" t="s">
        <v>1314</v>
      </c>
      <c r="E950" s="195">
        <v>600000</v>
      </c>
      <c r="F950" s="196">
        <v>600000</v>
      </c>
    </row>
    <row r="951" spans="1:6" x14ac:dyDescent="0.2">
      <c r="A951" s="52" t="s">
        <v>573</v>
      </c>
      <c r="B951" s="268" t="s">
        <v>793</v>
      </c>
      <c r="C951" s="5" t="s">
        <v>574</v>
      </c>
      <c r="D951" s="5" t="s">
        <v>1314</v>
      </c>
      <c r="E951" s="195">
        <v>600000</v>
      </c>
      <c r="F951" s="196">
        <v>600000</v>
      </c>
    </row>
    <row r="952" spans="1:6" ht="25.5" x14ac:dyDescent="0.2">
      <c r="A952" s="52" t="s">
        <v>255</v>
      </c>
      <c r="B952" s="268" t="s">
        <v>793</v>
      </c>
      <c r="C952" s="5" t="s">
        <v>574</v>
      </c>
      <c r="D952" s="5" t="s">
        <v>1219</v>
      </c>
      <c r="E952" s="195">
        <v>600000</v>
      </c>
      <c r="F952" s="196">
        <v>600000</v>
      </c>
    </row>
    <row r="953" spans="1:6" x14ac:dyDescent="0.2">
      <c r="A953" s="52" t="s">
        <v>3</v>
      </c>
      <c r="B953" s="268" t="s">
        <v>793</v>
      </c>
      <c r="C953" s="5" t="s">
        <v>574</v>
      </c>
      <c r="D953" s="5" t="s">
        <v>426</v>
      </c>
      <c r="E953" s="195">
        <v>600000</v>
      </c>
      <c r="F953" s="196">
        <v>600000</v>
      </c>
    </row>
    <row r="954" spans="1:6" ht="38.25" x14ac:dyDescent="0.2">
      <c r="A954" s="52" t="s">
        <v>1563</v>
      </c>
      <c r="B954" s="268" t="s">
        <v>1060</v>
      </c>
      <c r="C954" s="5" t="s">
        <v>1314</v>
      </c>
      <c r="D954" s="5" t="s">
        <v>1314</v>
      </c>
      <c r="E954" s="195">
        <v>127350105</v>
      </c>
      <c r="F954" s="196">
        <v>122253105</v>
      </c>
    </row>
    <row r="955" spans="1:6" ht="76.5" x14ac:dyDescent="0.2">
      <c r="A955" s="52" t="s">
        <v>1566</v>
      </c>
      <c r="B955" s="268" t="s">
        <v>1061</v>
      </c>
      <c r="C955" s="5" t="s">
        <v>1314</v>
      </c>
      <c r="D955" s="5" t="s">
        <v>1314</v>
      </c>
      <c r="E955" s="195">
        <v>108447000</v>
      </c>
      <c r="F955" s="196">
        <v>103350000</v>
      </c>
    </row>
    <row r="956" spans="1:6" ht="165.75" x14ac:dyDescent="0.2">
      <c r="A956" s="52" t="s">
        <v>1695</v>
      </c>
      <c r="B956" s="268" t="s">
        <v>853</v>
      </c>
      <c r="C956" s="5" t="s">
        <v>1314</v>
      </c>
      <c r="D956" s="5" t="s">
        <v>1314</v>
      </c>
      <c r="E956" s="195">
        <v>5097000</v>
      </c>
      <c r="F956" s="196">
        <v>0</v>
      </c>
    </row>
    <row r="957" spans="1:6" x14ac:dyDescent="0.2">
      <c r="A957" s="52" t="s">
        <v>1512</v>
      </c>
      <c r="B957" s="268" t="s">
        <v>853</v>
      </c>
      <c r="C957" s="5" t="s">
        <v>1513</v>
      </c>
      <c r="D957" s="5" t="s">
        <v>1314</v>
      </c>
      <c r="E957" s="195">
        <v>5097000</v>
      </c>
      <c r="F957" s="196">
        <v>0</v>
      </c>
    </row>
    <row r="958" spans="1:6" x14ac:dyDescent="0.2">
      <c r="A958" s="52" t="s">
        <v>474</v>
      </c>
      <c r="B958" s="268" t="s">
        <v>853</v>
      </c>
      <c r="C958" s="5" t="s">
        <v>475</v>
      </c>
      <c r="D958" s="5" t="s">
        <v>1314</v>
      </c>
      <c r="E958" s="195">
        <v>5097000</v>
      </c>
      <c r="F958" s="196">
        <v>0</v>
      </c>
    </row>
    <row r="959" spans="1:6" x14ac:dyDescent="0.2">
      <c r="A959" s="52" t="s">
        <v>200</v>
      </c>
      <c r="B959" s="268" t="s">
        <v>853</v>
      </c>
      <c r="C959" s="5" t="s">
        <v>475</v>
      </c>
      <c r="D959" s="5" t="s">
        <v>1233</v>
      </c>
      <c r="E959" s="195">
        <v>5097000</v>
      </c>
      <c r="F959" s="196">
        <v>0</v>
      </c>
    </row>
    <row r="960" spans="1:6" ht="25.5" x14ac:dyDescent="0.2">
      <c r="A960" s="52" t="s">
        <v>201</v>
      </c>
      <c r="B960" s="268" t="s">
        <v>853</v>
      </c>
      <c r="C960" s="5" t="s">
        <v>475</v>
      </c>
      <c r="D960" s="5" t="s">
        <v>473</v>
      </c>
      <c r="E960" s="195">
        <v>5097000</v>
      </c>
      <c r="F960" s="196">
        <v>0</v>
      </c>
    </row>
    <row r="961" spans="1:6" ht="165.75" x14ac:dyDescent="0.2">
      <c r="A961" s="52" t="s">
        <v>1694</v>
      </c>
      <c r="B961" s="268" t="s">
        <v>851</v>
      </c>
      <c r="C961" s="5" t="s">
        <v>1314</v>
      </c>
      <c r="D961" s="5" t="s">
        <v>1314</v>
      </c>
      <c r="E961" s="195">
        <v>265800</v>
      </c>
      <c r="F961" s="196">
        <v>265800</v>
      </c>
    </row>
    <row r="962" spans="1:6" x14ac:dyDescent="0.2">
      <c r="A962" s="52" t="s">
        <v>1512</v>
      </c>
      <c r="B962" s="268" t="s">
        <v>851</v>
      </c>
      <c r="C962" s="5" t="s">
        <v>1513</v>
      </c>
      <c r="D962" s="5" t="s">
        <v>1314</v>
      </c>
      <c r="E962" s="195">
        <v>265800</v>
      </c>
      <c r="F962" s="196">
        <v>265800</v>
      </c>
    </row>
    <row r="963" spans="1:6" x14ac:dyDescent="0.2">
      <c r="A963" s="52" t="s">
        <v>474</v>
      </c>
      <c r="B963" s="268" t="s">
        <v>851</v>
      </c>
      <c r="C963" s="5" t="s">
        <v>475</v>
      </c>
      <c r="D963" s="5" t="s">
        <v>1314</v>
      </c>
      <c r="E963" s="195">
        <v>265800</v>
      </c>
      <c r="F963" s="196">
        <v>265800</v>
      </c>
    </row>
    <row r="964" spans="1:6" x14ac:dyDescent="0.2">
      <c r="A964" s="52" t="s">
        <v>250</v>
      </c>
      <c r="B964" s="268" t="s">
        <v>851</v>
      </c>
      <c r="C964" s="5" t="s">
        <v>475</v>
      </c>
      <c r="D964" s="5" t="s">
        <v>1212</v>
      </c>
      <c r="E964" s="195">
        <v>265800</v>
      </c>
      <c r="F964" s="196">
        <v>265800</v>
      </c>
    </row>
    <row r="965" spans="1:6" x14ac:dyDescent="0.2">
      <c r="A965" s="52" t="s">
        <v>233</v>
      </c>
      <c r="B965" s="268" t="s">
        <v>851</v>
      </c>
      <c r="C965" s="5" t="s">
        <v>475</v>
      </c>
      <c r="D965" s="5" t="s">
        <v>376</v>
      </c>
      <c r="E965" s="195">
        <v>265800</v>
      </c>
      <c r="F965" s="196">
        <v>265800</v>
      </c>
    </row>
    <row r="966" spans="1:6" ht="178.5" x14ac:dyDescent="0.2">
      <c r="A966" s="52" t="s">
        <v>1573</v>
      </c>
      <c r="B966" s="268" t="s">
        <v>858</v>
      </c>
      <c r="C966" s="5" t="s">
        <v>1314</v>
      </c>
      <c r="D966" s="5" t="s">
        <v>1314</v>
      </c>
      <c r="E966" s="195">
        <v>34224500</v>
      </c>
      <c r="F966" s="196">
        <v>34224500</v>
      </c>
    </row>
    <row r="967" spans="1:6" x14ac:dyDescent="0.2">
      <c r="A967" s="52" t="s">
        <v>1512</v>
      </c>
      <c r="B967" s="268" t="s">
        <v>858</v>
      </c>
      <c r="C967" s="5" t="s">
        <v>1513</v>
      </c>
      <c r="D967" s="5" t="s">
        <v>1314</v>
      </c>
      <c r="E967" s="195">
        <v>34224500</v>
      </c>
      <c r="F967" s="196">
        <v>34224500</v>
      </c>
    </row>
    <row r="968" spans="1:6" x14ac:dyDescent="0.2">
      <c r="A968" s="52" t="s">
        <v>1350</v>
      </c>
      <c r="B968" s="268" t="s">
        <v>858</v>
      </c>
      <c r="C968" s="5" t="s">
        <v>1351</v>
      </c>
      <c r="D968" s="5" t="s">
        <v>1314</v>
      </c>
      <c r="E968" s="195">
        <v>34224500</v>
      </c>
      <c r="F968" s="196">
        <v>34224500</v>
      </c>
    </row>
    <row r="969" spans="1:6" ht="51" x14ac:dyDescent="0.2">
      <c r="A969" s="52" t="s">
        <v>1236</v>
      </c>
      <c r="B969" s="268" t="s">
        <v>858</v>
      </c>
      <c r="C969" s="5" t="s">
        <v>1351</v>
      </c>
      <c r="D969" s="5" t="s">
        <v>1237</v>
      </c>
      <c r="E969" s="195">
        <v>34224500</v>
      </c>
      <c r="F969" s="196">
        <v>34224500</v>
      </c>
    </row>
    <row r="970" spans="1:6" ht="51" x14ac:dyDescent="0.2">
      <c r="A970" s="52" t="s">
        <v>227</v>
      </c>
      <c r="B970" s="268" t="s">
        <v>858</v>
      </c>
      <c r="C970" s="5" t="s">
        <v>1351</v>
      </c>
      <c r="D970" s="5" t="s">
        <v>477</v>
      </c>
      <c r="E970" s="195">
        <v>34224500</v>
      </c>
      <c r="F970" s="196">
        <v>34224500</v>
      </c>
    </row>
    <row r="971" spans="1:6" ht="140.25" x14ac:dyDescent="0.2">
      <c r="A971" s="52" t="s">
        <v>1702</v>
      </c>
      <c r="B971" s="268" t="s">
        <v>860</v>
      </c>
      <c r="C971" s="5" t="s">
        <v>1314</v>
      </c>
      <c r="D971" s="5" t="s">
        <v>1314</v>
      </c>
      <c r="E971" s="195">
        <v>28250000</v>
      </c>
      <c r="F971" s="196">
        <v>28250000</v>
      </c>
    </row>
    <row r="972" spans="1:6" x14ac:dyDescent="0.2">
      <c r="A972" s="52" t="s">
        <v>1512</v>
      </c>
      <c r="B972" s="268" t="s">
        <v>860</v>
      </c>
      <c r="C972" s="5" t="s">
        <v>1513</v>
      </c>
      <c r="D972" s="5" t="s">
        <v>1314</v>
      </c>
      <c r="E972" s="195">
        <v>28250000</v>
      </c>
      <c r="F972" s="196">
        <v>28250000</v>
      </c>
    </row>
    <row r="973" spans="1:6" x14ac:dyDescent="0.2">
      <c r="A973" s="52" t="s">
        <v>72</v>
      </c>
      <c r="B973" s="268" t="s">
        <v>860</v>
      </c>
      <c r="C973" s="5" t="s">
        <v>470</v>
      </c>
      <c r="D973" s="5" t="s">
        <v>1314</v>
      </c>
      <c r="E973" s="195">
        <v>28250000</v>
      </c>
      <c r="F973" s="196">
        <v>28250000</v>
      </c>
    </row>
    <row r="974" spans="1:6" ht="51" x14ac:dyDescent="0.2">
      <c r="A974" s="52" t="s">
        <v>1236</v>
      </c>
      <c r="B974" s="268" t="s">
        <v>860</v>
      </c>
      <c r="C974" s="5" t="s">
        <v>470</v>
      </c>
      <c r="D974" s="5" t="s">
        <v>1237</v>
      </c>
      <c r="E974" s="195">
        <v>28250000</v>
      </c>
      <c r="F974" s="196">
        <v>28250000</v>
      </c>
    </row>
    <row r="975" spans="1:6" ht="25.5" x14ac:dyDescent="0.2">
      <c r="A975" s="52" t="s">
        <v>267</v>
      </c>
      <c r="B975" s="268" t="s">
        <v>860</v>
      </c>
      <c r="C975" s="5" t="s">
        <v>470</v>
      </c>
      <c r="D975" s="5" t="s">
        <v>479</v>
      </c>
      <c r="E975" s="195">
        <v>28250000</v>
      </c>
      <c r="F975" s="196">
        <v>28250000</v>
      </c>
    </row>
    <row r="976" spans="1:6" ht="127.5" x14ac:dyDescent="0.2">
      <c r="A976" s="52" t="s">
        <v>582</v>
      </c>
      <c r="B976" s="268" t="s">
        <v>859</v>
      </c>
      <c r="C976" s="5" t="s">
        <v>1314</v>
      </c>
      <c r="D976" s="5" t="s">
        <v>1314</v>
      </c>
      <c r="E976" s="195">
        <v>40515000</v>
      </c>
      <c r="F976" s="196">
        <v>40515000</v>
      </c>
    </row>
    <row r="977" spans="1:6" x14ac:dyDescent="0.2">
      <c r="A977" s="52" t="s">
        <v>1512</v>
      </c>
      <c r="B977" s="268" t="s">
        <v>859</v>
      </c>
      <c r="C977" s="5" t="s">
        <v>1513</v>
      </c>
      <c r="D977" s="5" t="s">
        <v>1314</v>
      </c>
      <c r="E977" s="195">
        <v>40515000</v>
      </c>
      <c r="F977" s="196">
        <v>40515000</v>
      </c>
    </row>
    <row r="978" spans="1:6" x14ac:dyDescent="0.2">
      <c r="A978" s="52" t="s">
        <v>1350</v>
      </c>
      <c r="B978" s="268" t="s">
        <v>859</v>
      </c>
      <c r="C978" s="5" t="s">
        <v>1351</v>
      </c>
      <c r="D978" s="5" t="s">
        <v>1314</v>
      </c>
      <c r="E978" s="195">
        <v>40515000</v>
      </c>
      <c r="F978" s="196">
        <v>40515000</v>
      </c>
    </row>
    <row r="979" spans="1:6" ht="51" x14ac:dyDescent="0.2">
      <c r="A979" s="52" t="s">
        <v>1236</v>
      </c>
      <c r="B979" s="268" t="s">
        <v>859</v>
      </c>
      <c r="C979" s="5" t="s">
        <v>1351</v>
      </c>
      <c r="D979" s="5" t="s">
        <v>1237</v>
      </c>
      <c r="E979" s="195">
        <v>40515000</v>
      </c>
      <c r="F979" s="196">
        <v>40515000</v>
      </c>
    </row>
    <row r="980" spans="1:6" ht="51" x14ac:dyDescent="0.2">
      <c r="A980" s="52" t="s">
        <v>227</v>
      </c>
      <c r="B980" s="268" t="s">
        <v>859</v>
      </c>
      <c r="C980" s="5" t="s">
        <v>1351</v>
      </c>
      <c r="D980" s="5" t="s">
        <v>477</v>
      </c>
      <c r="E980" s="195">
        <v>40515000</v>
      </c>
      <c r="F980" s="196">
        <v>40515000</v>
      </c>
    </row>
    <row r="981" spans="1:6" ht="140.25" x14ac:dyDescent="0.2">
      <c r="A981" s="52" t="s">
        <v>1699</v>
      </c>
      <c r="B981" s="268" t="s">
        <v>1700</v>
      </c>
      <c r="C981" s="5" t="s">
        <v>1314</v>
      </c>
      <c r="D981" s="5" t="s">
        <v>1314</v>
      </c>
      <c r="E981" s="195">
        <v>94700</v>
      </c>
      <c r="F981" s="196">
        <v>94700</v>
      </c>
    </row>
    <row r="982" spans="1:6" x14ac:dyDescent="0.2">
      <c r="A982" s="52" t="s">
        <v>1512</v>
      </c>
      <c r="B982" s="268" t="s">
        <v>1700</v>
      </c>
      <c r="C982" s="5" t="s">
        <v>1513</v>
      </c>
      <c r="D982" s="5" t="s">
        <v>1314</v>
      </c>
      <c r="E982" s="195">
        <v>94700</v>
      </c>
      <c r="F982" s="196">
        <v>94700</v>
      </c>
    </row>
    <row r="983" spans="1:6" x14ac:dyDescent="0.2">
      <c r="A983" s="52" t="s">
        <v>1567</v>
      </c>
      <c r="B983" s="268" t="s">
        <v>1700</v>
      </c>
      <c r="C983" s="5" t="s">
        <v>1568</v>
      </c>
      <c r="D983" s="5" t="s">
        <v>1314</v>
      </c>
      <c r="E983" s="195">
        <v>94700</v>
      </c>
      <c r="F983" s="196">
        <v>94700</v>
      </c>
    </row>
    <row r="984" spans="1:6" x14ac:dyDescent="0.2">
      <c r="A984" s="52" t="s">
        <v>264</v>
      </c>
      <c r="B984" s="268" t="s">
        <v>1700</v>
      </c>
      <c r="C984" s="5" t="s">
        <v>1568</v>
      </c>
      <c r="D984" s="5" t="s">
        <v>1234</v>
      </c>
      <c r="E984" s="195">
        <v>94700</v>
      </c>
      <c r="F984" s="196">
        <v>94700</v>
      </c>
    </row>
    <row r="985" spans="1:6" ht="25.5" x14ac:dyDescent="0.2">
      <c r="A985" s="52" t="s">
        <v>1235</v>
      </c>
      <c r="B985" s="268" t="s">
        <v>1700</v>
      </c>
      <c r="C985" s="5" t="s">
        <v>1568</v>
      </c>
      <c r="D985" s="5" t="s">
        <v>413</v>
      </c>
      <c r="E985" s="195">
        <v>94700</v>
      </c>
      <c r="F985" s="196">
        <v>94700</v>
      </c>
    </row>
    <row r="986" spans="1:6" ht="25.5" x14ac:dyDescent="0.2">
      <c r="A986" s="52" t="s">
        <v>533</v>
      </c>
      <c r="B986" s="268" t="s">
        <v>1062</v>
      </c>
      <c r="C986" s="5" t="s">
        <v>1314</v>
      </c>
      <c r="D986" s="5" t="s">
        <v>1314</v>
      </c>
      <c r="E986" s="195">
        <v>18903105</v>
      </c>
      <c r="F986" s="196">
        <v>18903105</v>
      </c>
    </row>
    <row r="987" spans="1:6" ht="89.25" x14ac:dyDescent="0.2">
      <c r="A987" s="52" t="s">
        <v>465</v>
      </c>
      <c r="B987" s="268" t="s">
        <v>845</v>
      </c>
      <c r="C987" s="5" t="s">
        <v>1314</v>
      </c>
      <c r="D987" s="5" t="s">
        <v>1314</v>
      </c>
      <c r="E987" s="195">
        <v>14793383</v>
      </c>
      <c r="F987" s="196">
        <v>14793383</v>
      </c>
    </row>
    <row r="988" spans="1:6" ht="76.5" x14ac:dyDescent="0.2">
      <c r="A988" s="52" t="s">
        <v>1501</v>
      </c>
      <c r="B988" s="268" t="s">
        <v>845</v>
      </c>
      <c r="C988" s="5" t="s">
        <v>290</v>
      </c>
      <c r="D988" s="5" t="s">
        <v>1314</v>
      </c>
      <c r="E988" s="195">
        <v>12846852</v>
      </c>
      <c r="F988" s="196">
        <v>12846852</v>
      </c>
    </row>
    <row r="989" spans="1:6" ht="38.25" x14ac:dyDescent="0.2">
      <c r="A989" s="52" t="s">
        <v>1345</v>
      </c>
      <c r="B989" s="268" t="s">
        <v>845</v>
      </c>
      <c r="C989" s="5" t="s">
        <v>30</v>
      </c>
      <c r="D989" s="5" t="s">
        <v>1314</v>
      </c>
      <c r="E989" s="195">
        <v>12846852</v>
      </c>
      <c r="F989" s="196">
        <v>12846852</v>
      </c>
    </row>
    <row r="990" spans="1:6" x14ac:dyDescent="0.2">
      <c r="A990" s="52" t="s">
        <v>250</v>
      </c>
      <c r="B990" s="268" t="s">
        <v>845</v>
      </c>
      <c r="C990" s="5" t="s">
        <v>30</v>
      </c>
      <c r="D990" s="5" t="s">
        <v>1212</v>
      </c>
      <c r="E990" s="195">
        <v>12846852</v>
      </c>
      <c r="F990" s="196">
        <v>12846852</v>
      </c>
    </row>
    <row r="991" spans="1:6" ht="51" x14ac:dyDescent="0.2">
      <c r="A991" s="52" t="s">
        <v>232</v>
      </c>
      <c r="B991" s="268" t="s">
        <v>845</v>
      </c>
      <c r="C991" s="5" t="s">
        <v>30</v>
      </c>
      <c r="D991" s="5" t="s">
        <v>370</v>
      </c>
      <c r="E991" s="195">
        <v>12846852</v>
      </c>
      <c r="F991" s="196">
        <v>12846852</v>
      </c>
    </row>
    <row r="992" spans="1:6" ht="38.25" x14ac:dyDescent="0.2">
      <c r="A992" s="52" t="s">
        <v>1502</v>
      </c>
      <c r="B992" s="268" t="s">
        <v>845</v>
      </c>
      <c r="C992" s="5" t="s">
        <v>1503</v>
      </c>
      <c r="D992" s="5" t="s">
        <v>1314</v>
      </c>
      <c r="E992" s="195">
        <v>1934031</v>
      </c>
      <c r="F992" s="196">
        <v>1934031</v>
      </c>
    </row>
    <row r="993" spans="1:6" ht="38.25" x14ac:dyDescent="0.2">
      <c r="A993" s="52" t="s">
        <v>1338</v>
      </c>
      <c r="B993" s="268" t="s">
        <v>845</v>
      </c>
      <c r="C993" s="5" t="s">
        <v>1339</v>
      </c>
      <c r="D993" s="5" t="s">
        <v>1314</v>
      </c>
      <c r="E993" s="195">
        <v>1934031</v>
      </c>
      <c r="F993" s="196">
        <v>1934031</v>
      </c>
    </row>
    <row r="994" spans="1:6" x14ac:dyDescent="0.2">
      <c r="A994" s="52" t="s">
        <v>250</v>
      </c>
      <c r="B994" s="268" t="s">
        <v>845</v>
      </c>
      <c r="C994" s="5" t="s">
        <v>1339</v>
      </c>
      <c r="D994" s="5" t="s">
        <v>1212</v>
      </c>
      <c r="E994" s="195">
        <v>1934031</v>
      </c>
      <c r="F994" s="196">
        <v>1934031</v>
      </c>
    </row>
    <row r="995" spans="1:6" ht="51" x14ac:dyDescent="0.2">
      <c r="A995" s="52" t="s">
        <v>232</v>
      </c>
      <c r="B995" s="268" t="s">
        <v>845</v>
      </c>
      <c r="C995" s="5" t="s">
        <v>1339</v>
      </c>
      <c r="D995" s="5" t="s">
        <v>370</v>
      </c>
      <c r="E995" s="195">
        <v>1934031</v>
      </c>
      <c r="F995" s="196">
        <v>1934031</v>
      </c>
    </row>
    <row r="996" spans="1:6" x14ac:dyDescent="0.2">
      <c r="A996" s="52" t="s">
        <v>1504</v>
      </c>
      <c r="B996" s="268" t="s">
        <v>845</v>
      </c>
      <c r="C996" s="5" t="s">
        <v>1505</v>
      </c>
      <c r="D996" s="5" t="s">
        <v>1314</v>
      </c>
      <c r="E996" s="195">
        <v>12500</v>
      </c>
      <c r="F996" s="196">
        <v>12500</v>
      </c>
    </row>
    <row r="997" spans="1:6" x14ac:dyDescent="0.2">
      <c r="A997" s="52" t="s">
        <v>1343</v>
      </c>
      <c r="B997" s="268" t="s">
        <v>845</v>
      </c>
      <c r="C997" s="5" t="s">
        <v>1344</v>
      </c>
      <c r="D997" s="5" t="s">
        <v>1314</v>
      </c>
      <c r="E997" s="195">
        <v>12500</v>
      </c>
      <c r="F997" s="196">
        <v>12500</v>
      </c>
    </row>
    <row r="998" spans="1:6" x14ac:dyDescent="0.2">
      <c r="A998" s="52" t="s">
        <v>250</v>
      </c>
      <c r="B998" s="268" t="s">
        <v>845</v>
      </c>
      <c r="C998" s="5" t="s">
        <v>1344</v>
      </c>
      <c r="D998" s="5" t="s">
        <v>1212</v>
      </c>
      <c r="E998" s="195">
        <v>12500</v>
      </c>
      <c r="F998" s="196">
        <v>12500</v>
      </c>
    </row>
    <row r="999" spans="1:6" ht="51" x14ac:dyDescent="0.2">
      <c r="A999" s="52" t="s">
        <v>232</v>
      </c>
      <c r="B999" s="268" t="s">
        <v>845</v>
      </c>
      <c r="C999" s="5" t="s">
        <v>1344</v>
      </c>
      <c r="D999" s="5" t="s">
        <v>370</v>
      </c>
      <c r="E999" s="195">
        <v>12500</v>
      </c>
      <c r="F999" s="196">
        <v>12500</v>
      </c>
    </row>
    <row r="1000" spans="1:6" ht="127.5" x14ac:dyDescent="0.2">
      <c r="A1000" s="52" t="s">
        <v>577</v>
      </c>
      <c r="B1000" s="268" t="s">
        <v>846</v>
      </c>
      <c r="C1000" s="5" t="s">
        <v>1314</v>
      </c>
      <c r="D1000" s="5" t="s">
        <v>1314</v>
      </c>
      <c r="E1000" s="195">
        <v>522000</v>
      </c>
      <c r="F1000" s="196">
        <v>522000</v>
      </c>
    </row>
    <row r="1001" spans="1:6" ht="76.5" x14ac:dyDescent="0.2">
      <c r="A1001" s="52" t="s">
        <v>1501</v>
      </c>
      <c r="B1001" s="268" t="s">
        <v>846</v>
      </c>
      <c r="C1001" s="5" t="s">
        <v>290</v>
      </c>
      <c r="D1001" s="5" t="s">
        <v>1314</v>
      </c>
      <c r="E1001" s="195">
        <v>522000</v>
      </c>
      <c r="F1001" s="196">
        <v>522000</v>
      </c>
    </row>
    <row r="1002" spans="1:6" ht="38.25" x14ac:dyDescent="0.2">
      <c r="A1002" s="52" t="s">
        <v>1345</v>
      </c>
      <c r="B1002" s="268" t="s">
        <v>846</v>
      </c>
      <c r="C1002" s="5" t="s">
        <v>30</v>
      </c>
      <c r="D1002" s="5" t="s">
        <v>1314</v>
      </c>
      <c r="E1002" s="195">
        <v>522000</v>
      </c>
      <c r="F1002" s="196">
        <v>522000</v>
      </c>
    </row>
    <row r="1003" spans="1:6" x14ac:dyDescent="0.2">
      <c r="A1003" s="52" t="s">
        <v>250</v>
      </c>
      <c r="B1003" s="268" t="s">
        <v>846</v>
      </c>
      <c r="C1003" s="5" t="s">
        <v>30</v>
      </c>
      <c r="D1003" s="5" t="s">
        <v>1212</v>
      </c>
      <c r="E1003" s="195">
        <v>522000</v>
      </c>
      <c r="F1003" s="196">
        <v>522000</v>
      </c>
    </row>
    <row r="1004" spans="1:6" ht="51" x14ac:dyDescent="0.2">
      <c r="A1004" s="52" t="s">
        <v>232</v>
      </c>
      <c r="B1004" s="268" t="s">
        <v>846</v>
      </c>
      <c r="C1004" s="5" t="s">
        <v>30</v>
      </c>
      <c r="D1004" s="5" t="s">
        <v>370</v>
      </c>
      <c r="E1004" s="195">
        <v>522000</v>
      </c>
      <c r="F1004" s="196">
        <v>522000</v>
      </c>
    </row>
    <row r="1005" spans="1:6" ht="114.75" x14ac:dyDescent="0.2">
      <c r="A1005" s="52" t="s">
        <v>632</v>
      </c>
      <c r="B1005" s="268" t="s">
        <v>847</v>
      </c>
      <c r="C1005" s="5" t="s">
        <v>1314</v>
      </c>
      <c r="D1005" s="5" t="s">
        <v>1314</v>
      </c>
      <c r="E1005" s="195">
        <v>470000</v>
      </c>
      <c r="F1005" s="196">
        <v>470000</v>
      </c>
    </row>
    <row r="1006" spans="1:6" ht="76.5" x14ac:dyDescent="0.2">
      <c r="A1006" s="52" t="s">
        <v>1501</v>
      </c>
      <c r="B1006" s="268" t="s">
        <v>847</v>
      </c>
      <c r="C1006" s="5" t="s">
        <v>290</v>
      </c>
      <c r="D1006" s="5" t="s">
        <v>1314</v>
      </c>
      <c r="E1006" s="195">
        <v>470000</v>
      </c>
      <c r="F1006" s="196">
        <v>470000</v>
      </c>
    </row>
    <row r="1007" spans="1:6" ht="38.25" x14ac:dyDescent="0.2">
      <c r="A1007" s="52" t="s">
        <v>1345</v>
      </c>
      <c r="B1007" s="268" t="s">
        <v>847</v>
      </c>
      <c r="C1007" s="5" t="s">
        <v>30</v>
      </c>
      <c r="D1007" s="5" t="s">
        <v>1314</v>
      </c>
      <c r="E1007" s="195">
        <v>470000</v>
      </c>
      <c r="F1007" s="196">
        <v>470000</v>
      </c>
    </row>
    <row r="1008" spans="1:6" x14ac:dyDescent="0.2">
      <c r="A1008" s="52" t="s">
        <v>250</v>
      </c>
      <c r="B1008" s="268" t="s">
        <v>847</v>
      </c>
      <c r="C1008" s="5" t="s">
        <v>30</v>
      </c>
      <c r="D1008" s="5" t="s">
        <v>1212</v>
      </c>
      <c r="E1008" s="195">
        <v>470000</v>
      </c>
      <c r="F1008" s="196">
        <v>470000</v>
      </c>
    </row>
    <row r="1009" spans="1:6" ht="51" x14ac:dyDescent="0.2">
      <c r="A1009" s="52" t="s">
        <v>232</v>
      </c>
      <c r="B1009" s="268" t="s">
        <v>847</v>
      </c>
      <c r="C1009" s="5" t="s">
        <v>30</v>
      </c>
      <c r="D1009" s="5" t="s">
        <v>370</v>
      </c>
      <c r="E1009" s="195">
        <v>470000</v>
      </c>
      <c r="F1009" s="196">
        <v>470000</v>
      </c>
    </row>
    <row r="1010" spans="1:6" ht="102" x14ac:dyDescent="0.2">
      <c r="A1010" s="52" t="s">
        <v>990</v>
      </c>
      <c r="B1010" s="268" t="s">
        <v>989</v>
      </c>
      <c r="C1010" s="5" t="s">
        <v>1314</v>
      </c>
      <c r="D1010" s="5" t="s">
        <v>1314</v>
      </c>
      <c r="E1010" s="195">
        <v>1682096</v>
      </c>
      <c r="F1010" s="196">
        <v>1682096</v>
      </c>
    </row>
    <row r="1011" spans="1:6" ht="76.5" x14ac:dyDescent="0.2">
      <c r="A1011" s="52" t="s">
        <v>1501</v>
      </c>
      <c r="B1011" s="268" t="s">
        <v>989</v>
      </c>
      <c r="C1011" s="5" t="s">
        <v>290</v>
      </c>
      <c r="D1011" s="5" t="s">
        <v>1314</v>
      </c>
      <c r="E1011" s="195">
        <v>1682096</v>
      </c>
      <c r="F1011" s="196">
        <v>1682096</v>
      </c>
    </row>
    <row r="1012" spans="1:6" ht="38.25" x14ac:dyDescent="0.2">
      <c r="A1012" s="52" t="s">
        <v>1345</v>
      </c>
      <c r="B1012" s="268" t="s">
        <v>989</v>
      </c>
      <c r="C1012" s="5" t="s">
        <v>30</v>
      </c>
      <c r="D1012" s="5" t="s">
        <v>1314</v>
      </c>
      <c r="E1012" s="195">
        <v>1682096</v>
      </c>
      <c r="F1012" s="196">
        <v>1682096</v>
      </c>
    </row>
    <row r="1013" spans="1:6" x14ac:dyDescent="0.2">
      <c r="A1013" s="52" t="s">
        <v>250</v>
      </c>
      <c r="B1013" s="268" t="s">
        <v>989</v>
      </c>
      <c r="C1013" s="5" t="s">
        <v>30</v>
      </c>
      <c r="D1013" s="5" t="s">
        <v>1212</v>
      </c>
      <c r="E1013" s="195">
        <v>1682096</v>
      </c>
      <c r="F1013" s="196">
        <v>1682096</v>
      </c>
    </row>
    <row r="1014" spans="1:6" ht="51" x14ac:dyDescent="0.2">
      <c r="A1014" s="52" t="s">
        <v>232</v>
      </c>
      <c r="B1014" s="268" t="s">
        <v>989</v>
      </c>
      <c r="C1014" s="5" t="s">
        <v>30</v>
      </c>
      <c r="D1014" s="5" t="s">
        <v>370</v>
      </c>
      <c r="E1014" s="195">
        <v>1682096</v>
      </c>
      <c r="F1014" s="196">
        <v>1682096</v>
      </c>
    </row>
    <row r="1015" spans="1:6" ht="76.5" x14ac:dyDescent="0.2">
      <c r="A1015" s="52" t="s">
        <v>633</v>
      </c>
      <c r="B1015" s="268" t="s">
        <v>848</v>
      </c>
      <c r="C1015" s="5" t="s">
        <v>1314</v>
      </c>
      <c r="D1015" s="5" t="s">
        <v>1314</v>
      </c>
      <c r="E1015" s="195">
        <v>603720</v>
      </c>
      <c r="F1015" s="196">
        <v>603720</v>
      </c>
    </row>
    <row r="1016" spans="1:6" ht="38.25" x14ac:dyDescent="0.2">
      <c r="A1016" s="52" t="s">
        <v>1502</v>
      </c>
      <c r="B1016" s="268" t="s">
        <v>848</v>
      </c>
      <c r="C1016" s="5" t="s">
        <v>1503</v>
      </c>
      <c r="D1016" s="5" t="s">
        <v>1314</v>
      </c>
      <c r="E1016" s="195">
        <v>603720</v>
      </c>
      <c r="F1016" s="196">
        <v>603720</v>
      </c>
    </row>
    <row r="1017" spans="1:6" ht="38.25" x14ac:dyDescent="0.2">
      <c r="A1017" s="52" t="s">
        <v>1338</v>
      </c>
      <c r="B1017" s="268" t="s">
        <v>848</v>
      </c>
      <c r="C1017" s="5" t="s">
        <v>1339</v>
      </c>
      <c r="D1017" s="5" t="s">
        <v>1314</v>
      </c>
      <c r="E1017" s="195">
        <v>603720</v>
      </c>
      <c r="F1017" s="196">
        <v>603720</v>
      </c>
    </row>
    <row r="1018" spans="1:6" x14ac:dyDescent="0.2">
      <c r="A1018" s="52" t="s">
        <v>250</v>
      </c>
      <c r="B1018" s="268" t="s">
        <v>848</v>
      </c>
      <c r="C1018" s="5" t="s">
        <v>1339</v>
      </c>
      <c r="D1018" s="5" t="s">
        <v>1212</v>
      </c>
      <c r="E1018" s="195">
        <v>603720</v>
      </c>
      <c r="F1018" s="196">
        <v>603720</v>
      </c>
    </row>
    <row r="1019" spans="1:6" ht="51" x14ac:dyDescent="0.2">
      <c r="A1019" s="52" t="s">
        <v>232</v>
      </c>
      <c r="B1019" s="268" t="s">
        <v>848</v>
      </c>
      <c r="C1019" s="5" t="s">
        <v>1339</v>
      </c>
      <c r="D1019" s="5" t="s">
        <v>370</v>
      </c>
      <c r="E1019" s="195">
        <v>603720</v>
      </c>
      <c r="F1019" s="196">
        <v>603720</v>
      </c>
    </row>
    <row r="1020" spans="1:6" ht="63.75" x14ac:dyDescent="0.2">
      <c r="A1020" s="52" t="s">
        <v>1029</v>
      </c>
      <c r="B1020" s="268" t="s">
        <v>1030</v>
      </c>
      <c r="C1020" s="5" t="s">
        <v>1314</v>
      </c>
      <c r="D1020" s="5" t="s">
        <v>1314</v>
      </c>
      <c r="E1020" s="195">
        <v>190430</v>
      </c>
      <c r="F1020" s="196">
        <v>190430</v>
      </c>
    </row>
    <row r="1021" spans="1:6" ht="38.25" x14ac:dyDescent="0.2">
      <c r="A1021" s="52" t="s">
        <v>1502</v>
      </c>
      <c r="B1021" s="268" t="s">
        <v>1030</v>
      </c>
      <c r="C1021" s="5" t="s">
        <v>1503</v>
      </c>
      <c r="D1021" s="5" t="s">
        <v>1314</v>
      </c>
      <c r="E1021" s="195">
        <v>190430</v>
      </c>
      <c r="F1021" s="196">
        <v>190430</v>
      </c>
    </row>
    <row r="1022" spans="1:6" ht="38.25" x14ac:dyDescent="0.2">
      <c r="A1022" s="52" t="s">
        <v>1338</v>
      </c>
      <c r="B1022" s="268" t="s">
        <v>1030</v>
      </c>
      <c r="C1022" s="5" t="s">
        <v>1339</v>
      </c>
      <c r="D1022" s="5" t="s">
        <v>1314</v>
      </c>
      <c r="E1022" s="195">
        <v>190430</v>
      </c>
      <c r="F1022" s="196">
        <v>190430</v>
      </c>
    </row>
    <row r="1023" spans="1:6" x14ac:dyDescent="0.2">
      <c r="A1023" s="52" t="s">
        <v>250</v>
      </c>
      <c r="B1023" s="268" t="s">
        <v>1030</v>
      </c>
      <c r="C1023" s="5" t="s">
        <v>1339</v>
      </c>
      <c r="D1023" s="5" t="s">
        <v>1212</v>
      </c>
      <c r="E1023" s="195">
        <v>190430</v>
      </c>
      <c r="F1023" s="196">
        <v>190430</v>
      </c>
    </row>
    <row r="1024" spans="1:6" ht="51" x14ac:dyDescent="0.2">
      <c r="A1024" s="52" t="s">
        <v>232</v>
      </c>
      <c r="B1024" s="268" t="s">
        <v>1030</v>
      </c>
      <c r="C1024" s="5" t="s">
        <v>1339</v>
      </c>
      <c r="D1024" s="5" t="s">
        <v>370</v>
      </c>
      <c r="E1024" s="195">
        <v>190430</v>
      </c>
      <c r="F1024" s="196">
        <v>190430</v>
      </c>
    </row>
    <row r="1025" spans="1:6" ht="89.25" x14ac:dyDescent="0.2">
      <c r="A1025" s="52" t="s">
        <v>578</v>
      </c>
      <c r="B1025" s="268" t="s">
        <v>849</v>
      </c>
      <c r="C1025" s="5" t="s">
        <v>1314</v>
      </c>
      <c r="D1025" s="5" t="s">
        <v>1314</v>
      </c>
      <c r="E1025" s="195">
        <v>618476</v>
      </c>
      <c r="F1025" s="196">
        <v>618476</v>
      </c>
    </row>
    <row r="1026" spans="1:6" ht="76.5" x14ac:dyDescent="0.2">
      <c r="A1026" s="52" t="s">
        <v>1501</v>
      </c>
      <c r="B1026" s="268" t="s">
        <v>849</v>
      </c>
      <c r="C1026" s="5" t="s">
        <v>290</v>
      </c>
      <c r="D1026" s="5" t="s">
        <v>1314</v>
      </c>
      <c r="E1026" s="195">
        <v>618476</v>
      </c>
      <c r="F1026" s="196">
        <v>618476</v>
      </c>
    </row>
    <row r="1027" spans="1:6" ht="38.25" x14ac:dyDescent="0.2">
      <c r="A1027" s="52" t="s">
        <v>1345</v>
      </c>
      <c r="B1027" s="268" t="s">
        <v>849</v>
      </c>
      <c r="C1027" s="5" t="s">
        <v>30</v>
      </c>
      <c r="D1027" s="5" t="s">
        <v>1314</v>
      </c>
      <c r="E1027" s="195">
        <v>618476</v>
      </c>
      <c r="F1027" s="196">
        <v>618476</v>
      </c>
    </row>
    <row r="1028" spans="1:6" x14ac:dyDescent="0.2">
      <c r="A1028" s="52" t="s">
        <v>250</v>
      </c>
      <c r="B1028" s="268" t="s">
        <v>849</v>
      </c>
      <c r="C1028" s="5" t="s">
        <v>30</v>
      </c>
      <c r="D1028" s="5" t="s">
        <v>1212</v>
      </c>
      <c r="E1028" s="195">
        <v>618476</v>
      </c>
      <c r="F1028" s="196">
        <v>618476</v>
      </c>
    </row>
    <row r="1029" spans="1:6" ht="51" x14ac:dyDescent="0.2">
      <c r="A1029" s="52" t="s">
        <v>232</v>
      </c>
      <c r="B1029" s="268" t="s">
        <v>849</v>
      </c>
      <c r="C1029" s="5" t="s">
        <v>30</v>
      </c>
      <c r="D1029" s="5" t="s">
        <v>370</v>
      </c>
      <c r="E1029" s="195">
        <v>618476</v>
      </c>
      <c r="F1029" s="196">
        <v>618476</v>
      </c>
    </row>
    <row r="1030" spans="1:6" ht="127.5" x14ac:dyDescent="0.2">
      <c r="A1030" s="52" t="s">
        <v>1564</v>
      </c>
      <c r="B1030" s="268" t="s">
        <v>1565</v>
      </c>
      <c r="C1030" s="5" t="s">
        <v>1314</v>
      </c>
      <c r="D1030" s="5" t="s">
        <v>1314</v>
      </c>
      <c r="E1030" s="195">
        <v>23000</v>
      </c>
      <c r="F1030" s="196">
        <v>23000</v>
      </c>
    </row>
    <row r="1031" spans="1:6" ht="38.25" x14ac:dyDescent="0.2">
      <c r="A1031" s="52" t="s">
        <v>1502</v>
      </c>
      <c r="B1031" s="268" t="s">
        <v>1565</v>
      </c>
      <c r="C1031" s="5" t="s">
        <v>1503</v>
      </c>
      <c r="D1031" s="5" t="s">
        <v>1314</v>
      </c>
      <c r="E1031" s="195">
        <v>23000</v>
      </c>
      <c r="F1031" s="196">
        <v>23000</v>
      </c>
    </row>
    <row r="1032" spans="1:6" ht="38.25" x14ac:dyDescent="0.2">
      <c r="A1032" s="52" t="s">
        <v>1338</v>
      </c>
      <c r="B1032" s="268" t="s">
        <v>1565</v>
      </c>
      <c r="C1032" s="5" t="s">
        <v>1339</v>
      </c>
      <c r="D1032" s="5" t="s">
        <v>1314</v>
      </c>
      <c r="E1032" s="195">
        <v>23000</v>
      </c>
      <c r="F1032" s="196">
        <v>23000</v>
      </c>
    </row>
    <row r="1033" spans="1:6" x14ac:dyDescent="0.2">
      <c r="A1033" s="52" t="s">
        <v>250</v>
      </c>
      <c r="B1033" s="268" t="s">
        <v>1565</v>
      </c>
      <c r="C1033" s="5" t="s">
        <v>1339</v>
      </c>
      <c r="D1033" s="5" t="s">
        <v>1212</v>
      </c>
      <c r="E1033" s="195">
        <v>23000</v>
      </c>
      <c r="F1033" s="196">
        <v>23000</v>
      </c>
    </row>
    <row r="1034" spans="1:6" ht="51" x14ac:dyDescent="0.2">
      <c r="A1034" s="52" t="s">
        <v>232</v>
      </c>
      <c r="B1034" s="268" t="s">
        <v>1565</v>
      </c>
      <c r="C1034" s="5" t="s">
        <v>1339</v>
      </c>
      <c r="D1034" s="5" t="s">
        <v>370</v>
      </c>
      <c r="E1034" s="195">
        <v>23000</v>
      </c>
      <c r="F1034" s="196">
        <v>23000</v>
      </c>
    </row>
    <row r="1035" spans="1:6" ht="38.25" x14ac:dyDescent="0.2">
      <c r="A1035" s="52" t="s">
        <v>534</v>
      </c>
      <c r="B1035" s="268" t="s">
        <v>1063</v>
      </c>
      <c r="C1035" s="5" t="s">
        <v>1314</v>
      </c>
      <c r="D1035" s="5" t="s">
        <v>1314</v>
      </c>
      <c r="E1035" s="195">
        <v>1854700</v>
      </c>
      <c r="F1035" s="196">
        <v>1861600</v>
      </c>
    </row>
    <row r="1036" spans="1:6" ht="25.5" x14ac:dyDescent="0.2">
      <c r="A1036" s="52" t="s">
        <v>535</v>
      </c>
      <c r="B1036" s="268" t="s">
        <v>1064</v>
      </c>
      <c r="C1036" s="5" t="s">
        <v>1314</v>
      </c>
      <c r="D1036" s="5" t="s">
        <v>1314</v>
      </c>
      <c r="E1036" s="195">
        <v>22300</v>
      </c>
      <c r="F1036" s="196">
        <v>27000</v>
      </c>
    </row>
    <row r="1037" spans="1:6" ht="114.75" x14ac:dyDescent="0.2">
      <c r="A1037" s="52" t="s">
        <v>1490</v>
      </c>
      <c r="B1037" s="268" t="s">
        <v>1491</v>
      </c>
      <c r="C1037" s="5" t="s">
        <v>1314</v>
      </c>
      <c r="D1037" s="5" t="s">
        <v>1314</v>
      </c>
      <c r="E1037" s="195">
        <v>12300</v>
      </c>
      <c r="F1037" s="196">
        <v>17000</v>
      </c>
    </row>
    <row r="1038" spans="1:6" x14ac:dyDescent="0.2">
      <c r="A1038" s="52" t="s">
        <v>1504</v>
      </c>
      <c r="B1038" s="268" t="s">
        <v>1491</v>
      </c>
      <c r="C1038" s="5" t="s">
        <v>1505</v>
      </c>
      <c r="D1038" s="5" t="s">
        <v>1314</v>
      </c>
      <c r="E1038" s="195">
        <v>12300</v>
      </c>
      <c r="F1038" s="196">
        <v>17000</v>
      </c>
    </row>
    <row r="1039" spans="1:6" ht="63.75" x14ac:dyDescent="0.2">
      <c r="A1039" s="52" t="s">
        <v>1348</v>
      </c>
      <c r="B1039" s="268" t="s">
        <v>1491</v>
      </c>
      <c r="C1039" s="5" t="s">
        <v>394</v>
      </c>
      <c r="D1039" s="5" t="s">
        <v>1314</v>
      </c>
      <c r="E1039" s="195">
        <v>12300</v>
      </c>
      <c r="F1039" s="196">
        <v>17000</v>
      </c>
    </row>
    <row r="1040" spans="1:6" x14ac:dyDescent="0.2">
      <c r="A1040" s="52" t="s">
        <v>190</v>
      </c>
      <c r="B1040" s="268" t="s">
        <v>1491</v>
      </c>
      <c r="C1040" s="5" t="s">
        <v>394</v>
      </c>
      <c r="D1040" s="5" t="s">
        <v>1218</v>
      </c>
      <c r="E1040" s="195">
        <v>12300</v>
      </c>
      <c r="F1040" s="196">
        <v>17000</v>
      </c>
    </row>
    <row r="1041" spans="1:6" x14ac:dyDescent="0.2">
      <c r="A1041" s="52" t="s">
        <v>191</v>
      </c>
      <c r="B1041" s="268" t="s">
        <v>1491</v>
      </c>
      <c r="C1041" s="5" t="s">
        <v>394</v>
      </c>
      <c r="D1041" s="5" t="s">
        <v>392</v>
      </c>
      <c r="E1041" s="195">
        <v>12300</v>
      </c>
      <c r="F1041" s="196">
        <v>17000</v>
      </c>
    </row>
    <row r="1042" spans="1:6" ht="63.75" x14ac:dyDescent="0.2">
      <c r="A1042" s="52" t="s">
        <v>2035</v>
      </c>
      <c r="B1042" s="268" t="s">
        <v>2036</v>
      </c>
      <c r="C1042" s="5" t="s">
        <v>1314</v>
      </c>
      <c r="D1042" s="5" t="s">
        <v>1314</v>
      </c>
      <c r="E1042" s="195">
        <v>10000</v>
      </c>
      <c r="F1042" s="196">
        <v>10000</v>
      </c>
    </row>
    <row r="1043" spans="1:6" ht="38.25" x14ac:dyDescent="0.2">
      <c r="A1043" s="52" t="s">
        <v>1502</v>
      </c>
      <c r="B1043" s="268" t="s">
        <v>2036</v>
      </c>
      <c r="C1043" s="5" t="s">
        <v>1503</v>
      </c>
      <c r="D1043" s="5" t="s">
        <v>1314</v>
      </c>
      <c r="E1043" s="195">
        <v>10000</v>
      </c>
      <c r="F1043" s="196">
        <v>10000</v>
      </c>
    </row>
    <row r="1044" spans="1:6" ht="38.25" x14ac:dyDescent="0.2">
      <c r="A1044" s="52" t="s">
        <v>1338</v>
      </c>
      <c r="B1044" s="268" t="s">
        <v>2036</v>
      </c>
      <c r="C1044" s="5" t="s">
        <v>1339</v>
      </c>
      <c r="D1044" s="5" t="s">
        <v>1314</v>
      </c>
      <c r="E1044" s="195">
        <v>10000</v>
      </c>
      <c r="F1044" s="196">
        <v>10000</v>
      </c>
    </row>
    <row r="1045" spans="1:6" x14ac:dyDescent="0.2">
      <c r="A1045" s="52" t="s">
        <v>190</v>
      </c>
      <c r="B1045" s="268" t="s">
        <v>2036</v>
      </c>
      <c r="C1045" s="5" t="s">
        <v>1339</v>
      </c>
      <c r="D1045" s="5" t="s">
        <v>1218</v>
      </c>
      <c r="E1045" s="195">
        <v>10000</v>
      </c>
      <c r="F1045" s="196">
        <v>10000</v>
      </c>
    </row>
    <row r="1046" spans="1:6" x14ac:dyDescent="0.2">
      <c r="A1046" s="52" t="s">
        <v>191</v>
      </c>
      <c r="B1046" s="268" t="s">
        <v>2036</v>
      </c>
      <c r="C1046" s="5" t="s">
        <v>1339</v>
      </c>
      <c r="D1046" s="5" t="s">
        <v>392</v>
      </c>
      <c r="E1046" s="195">
        <v>10000</v>
      </c>
      <c r="F1046" s="196">
        <v>10000</v>
      </c>
    </row>
    <row r="1047" spans="1:6" ht="25.5" x14ac:dyDescent="0.2">
      <c r="A1047" s="52" t="s">
        <v>536</v>
      </c>
      <c r="B1047" s="268" t="s">
        <v>1065</v>
      </c>
      <c r="C1047" s="5" t="s">
        <v>1314</v>
      </c>
      <c r="D1047" s="5" t="s">
        <v>1314</v>
      </c>
      <c r="E1047" s="195">
        <v>93000</v>
      </c>
      <c r="F1047" s="196">
        <v>93000</v>
      </c>
    </row>
    <row r="1048" spans="1:6" ht="89.25" x14ac:dyDescent="0.2">
      <c r="A1048" s="52" t="s">
        <v>1315</v>
      </c>
      <c r="B1048" s="268" t="s">
        <v>1316</v>
      </c>
      <c r="C1048" s="5" t="s">
        <v>1314</v>
      </c>
      <c r="D1048" s="5" t="s">
        <v>1314</v>
      </c>
      <c r="E1048" s="195">
        <v>93000</v>
      </c>
      <c r="F1048" s="196">
        <v>93000</v>
      </c>
    </row>
    <row r="1049" spans="1:6" ht="38.25" x14ac:dyDescent="0.2">
      <c r="A1049" s="52" t="s">
        <v>1502</v>
      </c>
      <c r="B1049" s="268" t="s">
        <v>1316</v>
      </c>
      <c r="C1049" s="5" t="s">
        <v>1503</v>
      </c>
      <c r="D1049" s="5" t="s">
        <v>1314</v>
      </c>
      <c r="E1049" s="195">
        <v>93000</v>
      </c>
      <c r="F1049" s="196">
        <v>93000</v>
      </c>
    </row>
    <row r="1050" spans="1:6" ht="38.25" x14ac:dyDescent="0.2">
      <c r="A1050" s="52" t="s">
        <v>1338</v>
      </c>
      <c r="B1050" s="268" t="s">
        <v>1316</v>
      </c>
      <c r="C1050" s="5" t="s">
        <v>1339</v>
      </c>
      <c r="D1050" s="5" t="s">
        <v>1314</v>
      </c>
      <c r="E1050" s="195">
        <v>93000</v>
      </c>
      <c r="F1050" s="196">
        <v>93000</v>
      </c>
    </row>
    <row r="1051" spans="1:6" x14ac:dyDescent="0.2">
      <c r="A1051" s="52" t="s">
        <v>190</v>
      </c>
      <c r="B1051" s="268" t="s">
        <v>1316</v>
      </c>
      <c r="C1051" s="5" t="s">
        <v>1339</v>
      </c>
      <c r="D1051" s="5" t="s">
        <v>1218</v>
      </c>
      <c r="E1051" s="195">
        <v>93000</v>
      </c>
      <c r="F1051" s="196">
        <v>93000</v>
      </c>
    </row>
    <row r="1052" spans="1:6" ht="25.5" x14ac:dyDescent="0.2">
      <c r="A1052" s="52" t="s">
        <v>152</v>
      </c>
      <c r="B1052" s="268" t="s">
        <v>1316</v>
      </c>
      <c r="C1052" s="5" t="s">
        <v>1339</v>
      </c>
      <c r="D1052" s="5" t="s">
        <v>400</v>
      </c>
      <c r="E1052" s="195">
        <v>93000</v>
      </c>
      <c r="F1052" s="196">
        <v>93000</v>
      </c>
    </row>
    <row r="1053" spans="1:6" ht="38.25" x14ac:dyDescent="0.2">
      <c r="A1053" s="52" t="s">
        <v>488</v>
      </c>
      <c r="B1053" s="268" t="s">
        <v>1066</v>
      </c>
      <c r="C1053" s="5" t="s">
        <v>1314</v>
      </c>
      <c r="D1053" s="5" t="s">
        <v>1314</v>
      </c>
      <c r="E1053" s="195">
        <v>1739400</v>
      </c>
      <c r="F1053" s="196">
        <v>1741600</v>
      </c>
    </row>
    <row r="1054" spans="1:6" ht="114.75" x14ac:dyDescent="0.2">
      <c r="A1054" s="52" t="s">
        <v>395</v>
      </c>
      <c r="B1054" s="268" t="s">
        <v>726</v>
      </c>
      <c r="C1054" s="5" t="s">
        <v>1314</v>
      </c>
      <c r="D1054" s="5" t="s">
        <v>1314</v>
      </c>
      <c r="E1054" s="195">
        <v>1739400</v>
      </c>
      <c r="F1054" s="196">
        <v>1741600</v>
      </c>
    </row>
    <row r="1055" spans="1:6" ht="76.5" x14ac:dyDescent="0.2">
      <c r="A1055" s="52" t="s">
        <v>1501</v>
      </c>
      <c r="B1055" s="268" t="s">
        <v>726</v>
      </c>
      <c r="C1055" s="5" t="s">
        <v>290</v>
      </c>
      <c r="D1055" s="5" t="s">
        <v>1314</v>
      </c>
      <c r="E1055" s="195">
        <v>1677100</v>
      </c>
      <c r="F1055" s="196">
        <v>1677100</v>
      </c>
    </row>
    <row r="1056" spans="1:6" ht="38.25" x14ac:dyDescent="0.2">
      <c r="A1056" s="52" t="s">
        <v>1345</v>
      </c>
      <c r="B1056" s="268" t="s">
        <v>726</v>
      </c>
      <c r="C1056" s="5" t="s">
        <v>30</v>
      </c>
      <c r="D1056" s="5" t="s">
        <v>1314</v>
      </c>
      <c r="E1056" s="195">
        <v>1677100</v>
      </c>
      <c r="F1056" s="196">
        <v>1677100</v>
      </c>
    </row>
    <row r="1057" spans="1:6" x14ac:dyDescent="0.2">
      <c r="A1057" s="52" t="s">
        <v>190</v>
      </c>
      <c r="B1057" s="268" t="s">
        <v>726</v>
      </c>
      <c r="C1057" s="5" t="s">
        <v>30</v>
      </c>
      <c r="D1057" s="5" t="s">
        <v>1218</v>
      </c>
      <c r="E1057" s="195">
        <v>1677100</v>
      </c>
      <c r="F1057" s="196">
        <v>1677100</v>
      </c>
    </row>
    <row r="1058" spans="1:6" x14ac:dyDescent="0.2">
      <c r="A1058" s="52" t="s">
        <v>191</v>
      </c>
      <c r="B1058" s="268" t="s">
        <v>726</v>
      </c>
      <c r="C1058" s="5" t="s">
        <v>30</v>
      </c>
      <c r="D1058" s="5" t="s">
        <v>392</v>
      </c>
      <c r="E1058" s="195">
        <v>1677100</v>
      </c>
      <c r="F1058" s="196">
        <v>1677100</v>
      </c>
    </row>
    <row r="1059" spans="1:6" ht="38.25" x14ac:dyDescent="0.2">
      <c r="A1059" s="52" t="s">
        <v>1502</v>
      </c>
      <c r="B1059" s="268" t="s">
        <v>726</v>
      </c>
      <c r="C1059" s="5" t="s">
        <v>1503</v>
      </c>
      <c r="D1059" s="5" t="s">
        <v>1314</v>
      </c>
      <c r="E1059" s="195">
        <v>62300</v>
      </c>
      <c r="F1059" s="196">
        <v>64500</v>
      </c>
    </row>
    <row r="1060" spans="1:6" ht="38.25" x14ac:dyDescent="0.2">
      <c r="A1060" s="52" t="s">
        <v>1338</v>
      </c>
      <c r="B1060" s="268" t="s">
        <v>726</v>
      </c>
      <c r="C1060" s="5" t="s">
        <v>1339</v>
      </c>
      <c r="D1060" s="5" t="s">
        <v>1314</v>
      </c>
      <c r="E1060" s="195">
        <v>62300</v>
      </c>
      <c r="F1060" s="196">
        <v>64500</v>
      </c>
    </row>
    <row r="1061" spans="1:6" x14ac:dyDescent="0.2">
      <c r="A1061" s="52" t="s">
        <v>190</v>
      </c>
      <c r="B1061" s="268" t="s">
        <v>726</v>
      </c>
      <c r="C1061" s="5" t="s">
        <v>1339</v>
      </c>
      <c r="D1061" s="5" t="s">
        <v>1218</v>
      </c>
      <c r="E1061" s="195">
        <v>62300</v>
      </c>
      <c r="F1061" s="196">
        <v>64500</v>
      </c>
    </row>
    <row r="1062" spans="1:6" x14ac:dyDescent="0.2">
      <c r="A1062" s="52" t="s">
        <v>191</v>
      </c>
      <c r="B1062" s="268" t="s">
        <v>726</v>
      </c>
      <c r="C1062" s="5" t="s">
        <v>1339</v>
      </c>
      <c r="D1062" s="5" t="s">
        <v>392</v>
      </c>
      <c r="E1062" s="195">
        <v>62300</v>
      </c>
      <c r="F1062" s="196">
        <v>64500</v>
      </c>
    </row>
    <row r="1063" spans="1:6" ht="51" x14ac:dyDescent="0.2">
      <c r="A1063" s="52" t="s">
        <v>2048</v>
      </c>
      <c r="B1063" s="268" t="s">
        <v>2049</v>
      </c>
      <c r="C1063" s="5" t="s">
        <v>1314</v>
      </c>
      <c r="D1063" s="5" t="s">
        <v>1314</v>
      </c>
      <c r="E1063" s="195">
        <v>250000</v>
      </c>
      <c r="F1063" s="196">
        <v>250000</v>
      </c>
    </row>
    <row r="1064" spans="1:6" ht="38.25" x14ac:dyDescent="0.2">
      <c r="A1064" s="52" t="s">
        <v>2050</v>
      </c>
      <c r="B1064" s="268" t="s">
        <v>2051</v>
      </c>
      <c r="C1064" s="5" t="s">
        <v>1314</v>
      </c>
      <c r="D1064" s="5" t="s">
        <v>1314</v>
      </c>
      <c r="E1064" s="195">
        <v>150000</v>
      </c>
      <c r="F1064" s="196">
        <v>150000</v>
      </c>
    </row>
    <row r="1065" spans="1:6" ht="127.5" x14ac:dyDescent="0.2">
      <c r="A1065" s="52" t="s">
        <v>2052</v>
      </c>
      <c r="B1065" s="268" t="s">
        <v>2053</v>
      </c>
      <c r="C1065" s="5" t="s">
        <v>1314</v>
      </c>
      <c r="D1065" s="5" t="s">
        <v>1314</v>
      </c>
      <c r="E1065" s="195">
        <v>150000</v>
      </c>
      <c r="F1065" s="196">
        <v>150000</v>
      </c>
    </row>
    <row r="1066" spans="1:6" ht="38.25" x14ac:dyDescent="0.2">
      <c r="A1066" s="52" t="s">
        <v>1510</v>
      </c>
      <c r="B1066" s="268" t="s">
        <v>2053</v>
      </c>
      <c r="C1066" s="5" t="s">
        <v>1511</v>
      </c>
      <c r="D1066" s="5" t="s">
        <v>1314</v>
      </c>
      <c r="E1066" s="195">
        <v>150000</v>
      </c>
      <c r="F1066" s="196">
        <v>150000</v>
      </c>
    </row>
    <row r="1067" spans="1:6" ht="38.25" x14ac:dyDescent="0.2">
      <c r="A1067" s="52" t="s">
        <v>2054</v>
      </c>
      <c r="B1067" s="268" t="s">
        <v>2053</v>
      </c>
      <c r="C1067" s="5" t="s">
        <v>2055</v>
      </c>
      <c r="D1067" s="5" t="s">
        <v>1314</v>
      </c>
      <c r="E1067" s="195">
        <v>150000</v>
      </c>
      <c r="F1067" s="196">
        <v>150000</v>
      </c>
    </row>
    <row r="1068" spans="1:6" x14ac:dyDescent="0.2">
      <c r="A1068" s="52" t="s">
        <v>266</v>
      </c>
      <c r="B1068" s="268" t="s">
        <v>2053</v>
      </c>
      <c r="C1068" s="5" t="s">
        <v>2055</v>
      </c>
      <c r="D1068" s="5" t="s">
        <v>1226</v>
      </c>
      <c r="E1068" s="195">
        <v>150000</v>
      </c>
      <c r="F1068" s="196">
        <v>150000</v>
      </c>
    </row>
    <row r="1069" spans="1:6" x14ac:dyDescent="0.2">
      <c r="A1069" s="52" t="s">
        <v>222</v>
      </c>
      <c r="B1069" s="268" t="s">
        <v>2053</v>
      </c>
      <c r="C1069" s="5" t="s">
        <v>2055</v>
      </c>
      <c r="D1069" s="5" t="s">
        <v>432</v>
      </c>
      <c r="E1069" s="195">
        <v>150000</v>
      </c>
      <c r="F1069" s="196">
        <v>150000</v>
      </c>
    </row>
    <row r="1070" spans="1:6" ht="63.75" x14ac:dyDescent="0.2">
      <c r="A1070" s="52" t="s">
        <v>2066</v>
      </c>
      <c r="B1070" s="268" t="s">
        <v>2067</v>
      </c>
      <c r="C1070" s="5" t="s">
        <v>1314</v>
      </c>
      <c r="D1070" s="5" t="s">
        <v>1314</v>
      </c>
      <c r="E1070" s="195">
        <v>100000</v>
      </c>
      <c r="F1070" s="196">
        <v>100000</v>
      </c>
    </row>
    <row r="1071" spans="1:6" ht="153" x14ac:dyDescent="0.2">
      <c r="A1071" s="52" t="s">
        <v>2068</v>
      </c>
      <c r="B1071" s="268" t="s">
        <v>2069</v>
      </c>
      <c r="C1071" s="5" t="s">
        <v>1314</v>
      </c>
      <c r="D1071" s="5" t="s">
        <v>1314</v>
      </c>
      <c r="E1071" s="195">
        <v>50000</v>
      </c>
      <c r="F1071" s="196">
        <v>50000</v>
      </c>
    </row>
    <row r="1072" spans="1:6" ht="38.25" x14ac:dyDescent="0.2">
      <c r="A1072" s="52" t="s">
        <v>1502</v>
      </c>
      <c r="B1072" s="268" t="s">
        <v>2069</v>
      </c>
      <c r="C1072" s="5" t="s">
        <v>1503</v>
      </c>
      <c r="D1072" s="5" t="s">
        <v>1314</v>
      </c>
      <c r="E1072" s="195">
        <v>50000</v>
      </c>
      <c r="F1072" s="196">
        <v>50000</v>
      </c>
    </row>
    <row r="1073" spans="1:6" ht="38.25" x14ac:dyDescent="0.2">
      <c r="A1073" s="52" t="s">
        <v>1338</v>
      </c>
      <c r="B1073" s="268" t="s">
        <v>2069</v>
      </c>
      <c r="C1073" s="5" t="s">
        <v>1339</v>
      </c>
      <c r="D1073" s="5" t="s">
        <v>1314</v>
      </c>
      <c r="E1073" s="195">
        <v>50000</v>
      </c>
      <c r="F1073" s="196">
        <v>50000</v>
      </c>
    </row>
    <row r="1074" spans="1:6" x14ac:dyDescent="0.2">
      <c r="A1074" s="52" t="s">
        <v>266</v>
      </c>
      <c r="B1074" s="268" t="s">
        <v>2069</v>
      </c>
      <c r="C1074" s="5" t="s">
        <v>1339</v>
      </c>
      <c r="D1074" s="5" t="s">
        <v>1226</v>
      </c>
      <c r="E1074" s="195">
        <v>50000</v>
      </c>
      <c r="F1074" s="196">
        <v>50000</v>
      </c>
    </row>
    <row r="1075" spans="1:6" x14ac:dyDescent="0.2">
      <c r="A1075" s="52" t="s">
        <v>222</v>
      </c>
      <c r="B1075" s="268" t="s">
        <v>2069</v>
      </c>
      <c r="C1075" s="5" t="s">
        <v>1339</v>
      </c>
      <c r="D1075" s="5" t="s">
        <v>432</v>
      </c>
      <c r="E1075" s="195">
        <v>50000</v>
      </c>
      <c r="F1075" s="196">
        <v>50000</v>
      </c>
    </row>
    <row r="1076" spans="1:6" ht="140.25" x14ac:dyDescent="0.2">
      <c r="A1076" s="52" t="s">
        <v>2070</v>
      </c>
      <c r="B1076" s="268" t="s">
        <v>2071</v>
      </c>
      <c r="C1076" s="5" t="s">
        <v>1314</v>
      </c>
      <c r="D1076" s="5" t="s">
        <v>1314</v>
      </c>
      <c r="E1076" s="195">
        <v>50000</v>
      </c>
      <c r="F1076" s="196">
        <v>50000</v>
      </c>
    </row>
    <row r="1077" spans="1:6" ht="38.25" x14ac:dyDescent="0.2">
      <c r="A1077" s="52" t="s">
        <v>1502</v>
      </c>
      <c r="B1077" s="268" t="s">
        <v>2071</v>
      </c>
      <c r="C1077" s="5" t="s">
        <v>1503</v>
      </c>
      <c r="D1077" s="5" t="s">
        <v>1314</v>
      </c>
      <c r="E1077" s="195">
        <v>50000</v>
      </c>
      <c r="F1077" s="196">
        <v>50000</v>
      </c>
    </row>
    <row r="1078" spans="1:6" ht="38.25" x14ac:dyDescent="0.2">
      <c r="A1078" s="52" t="s">
        <v>1338</v>
      </c>
      <c r="B1078" s="268" t="s">
        <v>2071</v>
      </c>
      <c r="C1078" s="5" t="s">
        <v>1339</v>
      </c>
      <c r="D1078" s="5" t="s">
        <v>1314</v>
      </c>
      <c r="E1078" s="195">
        <v>50000</v>
      </c>
      <c r="F1078" s="196">
        <v>50000</v>
      </c>
    </row>
    <row r="1079" spans="1:6" x14ac:dyDescent="0.2">
      <c r="A1079" s="52" t="s">
        <v>266</v>
      </c>
      <c r="B1079" s="268" t="s">
        <v>2071</v>
      </c>
      <c r="C1079" s="5" t="s">
        <v>1339</v>
      </c>
      <c r="D1079" s="5" t="s">
        <v>1226</v>
      </c>
      <c r="E1079" s="195">
        <v>50000</v>
      </c>
      <c r="F1079" s="196">
        <v>50000</v>
      </c>
    </row>
    <row r="1080" spans="1:6" x14ac:dyDescent="0.2">
      <c r="A1080" s="52" t="s">
        <v>222</v>
      </c>
      <c r="B1080" s="268" t="s">
        <v>2071</v>
      </c>
      <c r="C1080" s="5" t="s">
        <v>1339</v>
      </c>
      <c r="D1080" s="5" t="s">
        <v>432</v>
      </c>
      <c r="E1080" s="195">
        <v>50000</v>
      </c>
      <c r="F1080" s="196">
        <v>50000</v>
      </c>
    </row>
    <row r="1081" spans="1:6" ht="38.25" x14ac:dyDescent="0.2">
      <c r="A1081" s="52" t="s">
        <v>646</v>
      </c>
      <c r="B1081" s="268" t="s">
        <v>1067</v>
      </c>
      <c r="C1081" s="5" t="s">
        <v>1314</v>
      </c>
      <c r="D1081" s="5" t="s">
        <v>1314</v>
      </c>
      <c r="E1081" s="195">
        <v>78626000</v>
      </c>
      <c r="F1081" s="196">
        <v>78626000</v>
      </c>
    </row>
    <row r="1082" spans="1:6" ht="63.75" x14ac:dyDescent="0.2">
      <c r="A1082" s="52" t="s">
        <v>362</v>
      </c>
      <c r="B1082" s="268" t="s">
        <v>1068</v>
      </c>
      <c r="C1082" s="5" t="s">
        <v>1314</v>
      </c>
      <c r="D1082" s="5" t="s">
        <v>1314</v>
      </c>
      <c r="E1082" s="195">
        <v>2569341</v>
      </c>
      <c r="F1082" s="196">
        <v>2569341</v>
      </c>
    </row>
    <row r="1083" spans="1:6" ht="63.75" x14ac:dyDescent="0.2">
      <c r="A1083" s="52" t="s">
        <v>362</v>
      </c>
      <c r="B1083" s="268" t="s">
        <v>701</v>
      </c>
      <c r="C1083" s="5" t="s">
        <v>1314</v>
      </c>
      <c r="D1083" s="5" t="s">
        <v>1314</v>
      </c>
      <c r="E1083" s="195">
        <v>2469341</v>
      </c>
      <c r="F1083" s="196">
        <v>2469341</v>
      </c>
    </row>
    <row r="1084" spans="1:6" ht="76.5" x14ac:dyDescent="0.2">
      <c r="A1084" s="52" t="s">
        <v>1501</v>
      </c>
      <c r="B1084" s="268" t="s">
        <v>701</v>
      </c>
      <c r="C1084" s="5" t="s">
        <v>290</v>
      </c>
      <c r="D1084" s="5" t="s">
        <v>1314</v>
      </c>
      <c r="E1084" s="195">
        <v>2469341</v>
      </c>
      <c r="F1084" s="196">
        <v>2469341</v>
      </c>
    </row>
    <row r="1085" spans="1:6" ht="38.25" x14ac:dyDescent="0.2">
      <c r="A1085" s="52" t="s">
        <v>1345</v>
      </c>
      <c r="B1085" s="268" t="s">
        <v>701</v>
      </c>
      <c r="C1085" s="5" t="s">
        <v>30</v>
      </c>
      <c r="D1085" s="5" t="s">
        <v>1314</v>
      </c>
      <c r="E1085" s="195">
        <v>2469341</v>
      </c>
      <c r="F1085" s="196">
        <v>2469341</v>
      </c>
    </row>
    <row r="1086" spans="1:6" x14ac:dyDescent="0.2">
      <c r="A1086" s="52" t="s">
        <v>250</v>
      </c>
      <c r="B1086" s="268" t="s">
        <v>701</v>
      </c>
      <c r="C1086" s="5" t="s">
        <v>30</v>
      </c>
      <c r="D1086" s="5" t="s">
        <v>1212</v>
      </c>
      <c r="E1086" s="195">
        <v>2469341</v>
      </c>
      <c r="F1086" s="196">
        <v>2469341</v>
      </c>
    </row>
    <row r="1087" spans="1:6" ht="51" x14ac:dyDescent="0.2">
      <c r="A1087" s="52" t="s">
        <v>1489</v>
      </c>
      <c r="B1087" s="268" t="s">
        <v>701</v>
      </c>
      <c r="C1087" s="5" t="s">
        <v>30</v>
      </c>
      <c r="D1087" s="5" t="s">
        <v>361</v>
      </c>
      <c r="E1087" s="195">
        <v>2469341</v>
      </c>
      <c r="F1087" s="196">
        <v>2469341</v>
      </c>
    </row>
    <row r="1088" spans="1:6" ht="76.5" x14ac:dyDescent="0.2">
      <c r="A1088" s="52" t="s">
        <v>2022</v>
      </c>
      <c r="B1088" s="268" t="s">
        <v>2023</v>
      </c>
      <c r="C1088" s="5" t="s">
        <v>1314</v>
      </c>
      <c r="D1088" s="5" t="s">
        <v>1314</v>
      </c>
      <c r="E1088" s="195">
        <v>100000</v>
      </c>
      <c r="F1088" s="196">
        <v>100000</v>
      </c>
    </row>
    <row r="1089" spans="1:6" ht="76.5" x14ac:dyDescent="0.2">
      <c r="A1089" s="52" t="s">
        <v>1501</v>
      </c>
      <c r="B1089" s="268" t="s">
        <v>2023</v>
      </c>
      <c r="C1089" s="5" t="s">
        <v>290</v>
      </c>
      <c r="D1089" s="5" t="s">
        <v>1314</v>
      </c>
      <c r="E1089" s="195">
        <v>100000</v>
      </c>
      <c r="F1089" s="196">
        <v>100000</v>
      </c>
    </row>
    <row r="1090" spans="1:6" ht="38.25" x14ac:dyDescent="0.2">
      <c r="A1090" s="52" t="s">
        <v>1345</v>
      </c>
      <c r="B1090" s="268" t="s">
        <v>2023</v>
      </c>
      <c r="C1090" s="5" t="s">
        <v>30</v>
      </c>
      <c r="D1090" s="5" t="s">
        <v>1314</v>
      </c>
      <c r="E1090" s="195">
        <v>100000</v>
      </c>
      <c r="F1090" s="196">
        <v>100000</v>
      </c>
    </row>
    <row r="1091" spans="1:6" x14ac:dyDescent="0.2">
      <c r="A1091" s="52" t="s">
        <v>250</v>
      </c>
      <c r="B1091" s="268" t="s">
        <v>2023</v>
      </c>
      <c r="C1091" s="5" t="s">
        <v>30</v>
      </c>
      <c r="D1091" s="5" t="s">
        <v>1212</v>
      </c>
      <c r="E1091" s="195">
        <v>100000</v>
      </c>
      <c r="F1091" s="196">
        <v>100000</v>
      </c>
    </row>
    <row r="1092" spans="1:6" ht="51" x14ac:dyDescent="0.2">
      <c r="A1092" s="52" t="s">
        <v>1489</v>
      </c>
      <c r="B1092" s="268" t="s">
        <v>2023</v>
      </c>
      <c r="C1092" s="5" t="s">
        <v>30</v>
      </c>
      <c r="D1092" s="5" t="s">
        <v>361</v>
      </c>
      <c r="E1092" s="195">
        <v>100000</v>
      </c>
      <c r="F1092" s="196">
        <v>100000</v>
      </c>
    </row>
    <row r="1093" spans="1:6" x14ac:dyDescent="0.2">
      <c r="A1093" s="5" t="s">
        <v>647</v>
      </c>
      <c r="B1093" s="268" t="s">
        <v>1069</v>
      </c>
      <c r="C1093" s="5" t="s">
        <v>1314</v>
      </c>
      <c r="D1093" s="5" t="s">
        <v>1314</v>
      </c>
      <c r="E1093" s="195">
        <v>70969486</v>
      </c>
      <c r="F1093" s="196">
        <v>70969486</v>
      </c>
    </row>
    <row r="1094" spans="1:6" ht="89.25" x14ac:dyDescent="0.2">
      <c r="A1094" s="52" t="s">
        <v>1533</v>
      </c>
      <c r="B1094" s="268" t="s">
        <v>1534</v>
      </c>
      <c r="C1094" s="5" t="s">
        <v>1314</v>
      </c>
      <c r="D1094" s="5" t="s">
        <v>1314</v>
      </c>
      <c r="E1094" s="195">
        <v>906300</v>
      </c>
      <c r="F1094" s="196">
        <v>906300</v>
      </c>
    </row>
    <row r="1095" spans="1:6" ht="76.5" x14ac:dyDescent="0.2">
      <c r="A1095" s="52" t="s">
        <v>1501</v>
      </c>
      <c r="B1095" s="268" t="s">
        <v>1534</v>
      </c>
      <c r="C1095" s="5" t="s">
        <v>290</v>
      </c>
      <c r="D1095" s="5" t="s">
        <v>1314</v>
      </c>
      <c r="E1095" s="195">
        <v>802200</v>
      </c>
      <c r="F1095" s="196">
        <v>896300</v>
      </c>
    </row>
    <row r="1096" spans="1:6" x14ac:dyDescent="0.2">
      <c r="A1096" s="5" t="s">
        <v>1345</v>
      </c>
      <c r="B1096" s="5" t="s">
        <v>1534</v>
      </c>
      <c r="C1096" s="5" t="s">
        <v>30</v>
      </c>
      <c r="D1096" s="195" t="s">
        <v>1314</v>
      </c>
      <c r="E1096" s="195">
        <v>802200</v>
      </c>
      <c r="F1096" s="195">
        <v>896300</v>
      </c>
    </row>
    <row r="1097" spans="1:6" x14ac:dyDescent="0.2">
      <c r="A1097" s="52" t="s">
        <v>148</v>
      </c>
      <c r="B1097" s="268" t="s">
        <v>1534</v>
      </c>
      <c r="C1097" s="5" t="s">
        <v>30</v>
      </c>
      <c r="D1097" s="5" t="s">
        <v>1221</v>
      </c>
      <c r="E1097" s="195">
        <v>802200</v>
      </c>
      <c r="F1097" s="196">
        <v>896300</v>
      </c>
    </row>
    <row r="1098" spans="1:6" ht="25.5" x14ac:dyDescent="0.2">
      <c r="A1098" s="52" t="s">
        <v>65</v>
      </c>
      <c r="B1098" s="268" t="s">
        <v>1534</v>
      </c>
      <c r="C1098" s="5" t="s">
        <v>30</v>
      </c>
      <c r="D1098" s="5" t="s">
        <v>434</v>
      </c>
      <c r="E1098" s="195">
        <v>802200</v>
      </c>
      <c r="F1098" s="196">
        <v>896300</v>
      </c>
    </row>
    <row r="1099" spans="1:6" ht="38.25" x14ac:dyDescent="0.2">
      <c r="A1099" s="52" t="s">
        <v>1502</v>
      </c>
      <c r="B1099" s="268" t="s">
        <v>1534</v>
      </c>
      <c r="C1099" s="5" t="s">
        <v>1503</v>
      </c>
      <c r="D1099" s="5" t="s">
        <v>1314</v>
      </c>
      <c r="E1099" s="195">
        <v>104100</v>
      </c>
      <c r="F1099" s="196">
        <v>10000</v>
      </c>
    </row>
    <row r="1100" spans="1:6" ht="38.25" x14ac:dyDescent="0.2">
      <c r="A1100" s="52" t="s">
        <v>1338</v>
      </c>
      <c r="B1100" s="268" t="s">
        <v>1534</v>
      </c>
      <c r="C1100" s="5" t="s">
        <v>1339</v>
      </c>
      <c r="D1100" s="5" t="s">
        <v>1314</v>
      </c>
      <c r="E1100" s="195">
        <v>104100</v>
      </c>
      <c r="F1100" s="196">
        <v>10000</v>
      </c>
    </row>
    <row r="1101" spans="1:6" x14ac:dyDescent="0.2">
      <c r="A1101" s="52" t="s">
        <v>148</v>
      </c>
      <c r="B1101" s="268" t="s">
        <v>1534</v>
      </c>
      <c r="C1101" s="5" t="s">
        <v>1339</v>
      </c>
      <c r="D1101" s="5" t="s">
        <v>1221</v>
      </c>
      <c r="E1101" s="195">
        <v>104100</v>
      </c>
      <c r="F1101" s="196">
        <v>10000</v>
      </c>
    </row>
    <row r="1102" spans="1:6" ht="25.5" x14ac:dyDescent="0.2">
      <c r="A1102" s="52" t="s">
        <v>65</v>
      </c>
      <c r="B1102" s="268" t="s">
        <v>1534</v>
      </c>
      <c r="C1102" s="5" t="s">
        <v>1339</v>
      </c>
      <c r="D1102" s="5" t="s">
        <v>434</v>
      </c>
      <c r="E1102" s="195">
        <v>104100</v>
      </c>
      <c r="F1102" s="196">
        <v>10000</v>
      </c>
    </row>
    <row r="1103" spans="1:6" ht="51" x14ac:dyDescent="0.2">
      <c r="A1103" s="52" t="s">
        <v>367</v>
      </c>
      <c r="B1103" s="268" t="s">
        <v>695</v>
      </c>
      <c r="C1103" s="5" t="s">
        <v>1314</v>
      </c>
      <c r="D1103" s="5" t="s">
        <v>1314</v>
      </c>
      <c r="E1103" s="195">
        <v>49936537</v>
      </c>
      <c r="F1103" s="196">
        <v>49936537</v>
      </c>
    </row>
    <row r="1104" spans="1:6" ht="76.5" x14ac:dyDescent="0.2">
      <c r="A1104" s="52" t="s">
        <v>1501</v>
      </c>
      <c r="B1104" s="268" t="s">
        <v>695</v>
      </c>
      <c r="C1104" s="5" t="s">
        <v>290</v>
      </c>
      <c r="D1104" s="5" t="s">
        <v>1314</v>
      </c>
      <c r="E1104" s="195">
        <v>42481538</v>
      </c>
      <c r="F1104" s="196">
        <v>42481538</v>
      </c>
    </row>
    <row r="1105" spans="1:6" ht="38.25" x14ac:dyDescent="0.2">
      <c r="A1105" s="52" t="s">
        <v>1345</v>
      </c>
      <c r="B1105" s="268" t="s">
        <v>695</v>
      </c>
      <c r="C1105" s="5" t="s">
        <v>30</v>
      </c>
      <c r="D1105" s="5" t="s">
        <v>1314</v>
      </c>
      <c r="E1105" s="195">
        <v>42481538</v>
      </c>
      <c r="F1105" s="196">
        <v>42481538</v>
      </c>
    </row>
    <row r="1106" spans="1:6" x14ac:dyDescent="0.2">
      <c r="A1106" s="52" t="s">
        <v>250</v>
      </c>
      <c r="B1106" s="268" t="s">
        <v>695</v>
      </c>
      <c r="C1106" s="5" t="s">
        <v>30</v>
      </c>
      <c r="D1106" s="5" t="s">
        <v>1212</v>
      </c>
      <c r="E1106" s="195">
        <v>42481538</v>
      </c>
      <c r="F1106" s="196">
        <v>42481538</v>
      </c>
    </row>
    <row r="1107" spans="1:6" ht="63.75" x14ac:dyDescent="0.2">
      <c r="A1107" s="52" t="s">
        <v>71</v>
      </c>
      <c r="B1107" s="268" t="s">
        <v>695</v>
      </c>
      <c r="C1107" s="5" t="s">
        <v>30</v>
      </c>
      <c r="D1107" s="5" t="s">
        <v>366</v>
      </c>
      <c r="E1107" s="195">
        <v>2538930</v>
      </c>
      <c r="F1107" s="196">
        <v>2538930</v>
      </c>
    </row>
    <row r="1108" spans="1:6" ht="76.5" x14ac:dyDescent="0.2">
      <c r="A1108" s="52" t="s">
        <v>252</v>
      </c>
      <c r="B1108" s="268" t="s">
        <v>695</v>
      </c>
      <c r="C1108" s="5" t="s">
        <v>30</v>
      </c>
      <c r="D1108" s="5" t="s">
        <v>372</v>
      </c>
      <c r="E1108" s="195">
        <v>39088932</v>
      </c>
      <c r="F1108" s="196">
        <v>39088932</v>
      </c>
    </row>
    <row r="1109" spans="1:6" ht="51" x14ac:dyDescent="0.2">
      <c r="A1109" s="52" t="s">
        <v>232</v>
      </c>
      <c r="B1109" s="268" t="s">
        <v>695</v>
      </c>
      <c r="C1109" s="5" t="s">
        <v>30</v>
      </c>
      <c r="D1109" s="5" t="s">
        <v>370</v>
      </c>
      <c r="E1109" s="195">
        <v>853676</v>
      </c>
      <c r="F1109" s="196">
        <v>853676</v>
      </c>
    </row>
    <row r="1110" spans="1:6" ht="38.25" x14ac:dyDescent="0.2">
      <c r="A1110" s="52" t="s">
        <v>1502</v>
      </c>
      <c r="B1110" s="268" t="s">
        <v>695</v>
      </c>
      <c r="C1110" s="5" t="s">
        <v>1503</v>
      </c>
      <c r="D1110" s="5" t="s">
        <v>1314</v>
      </c>
      <c r="E1110" s="195">
        <v>7182063</v>
      </c>
      <c r="F1110" s="196">
        <v>7182063</v>
      </c>
    </row>
    <row r="1111" spans="1:6" ht="38.25" x14ac:dyDescent="0.2">
      <c r="A1111" s="52" t="s">
        <v>1338</v>
      </c>
      <c r="B1111" s="268" t="s">
        <v>695</v>
      </c>
      <c r="C1111" s="5" t="s">
        <v>1339</v>
      </c>
      <c r="D1111" s="5" t="s">
        <v>1314</v>
      </c>
      <c r="E1111" s="195">
        <v>7182063</v>
      </c>
      <c r="F1111" s="196">
        <v>7182063</v>
      </c>
    </row>
    <row r="1112" spans="1:6" x14ac:dyDescent="0.2">
      <c r="A1112" s="52" t="s">
        <v>250</v>
      </c>
      <c r="B1112" s="268" t="s">
        <v>695</v>
      </c>
      <c r="C1112" s="5" t="s">
        <v>1339</v>
      </c>
      <c r="D1112" s="5" t="s">
        <v>1212</v>
      </c>
      <c r="E1112" s="195">
        <v>7182063</v>
      </c>
      <c r="F1112" s="196">
        <v>7182063</v>
      </c>
    </row>
    <row r="1113" spans="1:6" ht="63.75" x14ac:dyDescent="0.2">
      <c r="A1113" s="52" t="s">
        <v>71</v>
      </c>
      <c r="B1113" s="268" t="s">
        <v>695</v>
      </c>
      <c r="C1113" s="5" t="s">
        <v>1339</v>
      </c>
      <c r="D1113" s="5" t="s">
        <v>366</v>
      </c>
      <c r="E1113" s="195">
        <v>651050</v>
      </c>
      <c r="F1113" s="196">
        <v>651050</v>
      </c>
    </row>
    <row r="1114" spans="1:6" ht="76.5" x14ac:dyDescent="0.2">
      <c r="A1114" s="52" t="s">
        <v>252</v>
      </c>
      <c r="B1114" s="268" t="s">
        <v>695</v>
      </c>
      <c r="C1114" s="5" t="s">
        <v>1339</v>
      </c>
      <c r="D1114" s="5" t="s">
        <v>372</v>
      </c>
      <c r="E1114" s="195">
        <v>6483463</v>
      </c>
      <c r="F1114" s="196">
        <v>6483463</v>
      </c>
    </row>
    <row r="1115" spans="1:6" ht="51" x14ac:dyDescent="0.2">
      <c r="A1115" s="52" t="s">
        <v>232</v>
      </c>
      <c r="B1115" s="268" t="s">
        <v>695</v>
      </c>
      <c r="C1115" s="5" t="s">
        <v>1339</v>
      </c>
      <c r="D1115" s="5" t="s">
        <v>370</v>
      </c>
      <c r="E1115" s="195">
        <v>47550</v>
      </c>
      <c r="F1115" s="196">
        <v>47550</v>
      </c>
    </row>
    <row r="1116" spans="1:6" x14ac:dyDescent="0.2">
      <c r="A1116" s="52" t="s">
        <v>1504</v>
      </c>
      <c r="B1116" s="268" t="s">
        <v>695</v>
      </c>
      <c r="C1116" s="5" t="s">
        <v>1505</v>
      </c>
      <c r="D1116" s="5" t="s">
        <v>1314</v>
      </c>
      <c r="E1116" s="195">
        <v>272936</v>
      </c>
      <c r="F1116" s="196">
        <v>272936</v>
      </c>
    </row>
    <row r="1117" spans="1:6" x14ac:dyDescent="0.2">
      <c r="A1117" s="52" t="s">
        <v>1343</v>
      </c>
      <c r="B1117" s="268" t="s">
        <v>695</v>
      </c>
      <c r="C1117" s="5" t="s">
        <v>1344</v>
      </c>
      <c r="D1117" s="5" t="s">
        <v>1314</v>
      </c>
      <c r="E1117" s="195">
        <v>272936</v>
      </c>
      <c r="F1117" s="196">
        <v>272936</v>
      </c>
    </row>
    <row r="1118" spans="1:6" x14ac:dyDescent="0.2">
      <c r="A1118" s="52" t="s">
        <v>250</v>
      </c>
      <c r="B1118" s="268" t="s">
        <v>695</v>
      </c>
      <c r="C1118" s="5" t="s">
        <v>1344</v>
      </c>
      <c r="D1118" s="5" t="s">
        <v>1212</v>
      </c>
      <c r="E1118" s="195">
        <v>272936</v>
      </c>
      <c r="F1118" s="196">
        <v>272936</v>
      </c>
    </row>
    <row r="1119" spans="1:6" ht="76.5" x14ac:dyDescent="0.2">
      <c r="A1119" s="52" t="s">
        <v>252</v>
      </c>
      <c r="B1119" s="268" t="s">
        <v>695</v>
      </c>
      <c r="C1119" s="5" t="s">
        <v>1344</v>
      </c>
      <c r="D1119" s="5" t="s">
        <v>372</v>
      </c>
      <c r="E1119" s="195">
        <v>272936</v>
      </c>
      <c r="F1119" s="196">
        <v>272936</v>
      </c>
    </row>
    <row r="1120" spans="1:6" ht="102" x14ac:dyDescent="0.2">
      <c r="A1120" s="52" t="s">
        <v>607</v>
      </c>
      <c r="B1120" s="268" t="s">
        <v>705</v>
      </c>
      <c r="C1120" s="5" t="s">
        <v>1314</v>
      </c>
      <c r="D1120" s="5" t="s">
        <v>1314</v>
      </c>
      <c r="E1120" s="195">
        <v>1227782</v>
      </c>
      <c r="F1120" s="196">
        <v>1227782</v>
      </c>
    </row>
    <row r="1121" spans="1:6" ht="76.5" x14ac:dyDescent="0.2">
      <c r="A1121" s="52" t="s">
        <v>1501</v>
      </c>
      <c r="B1121" s="268" t="s">
        <v>705</v>
      </c>
      <c r="C1121" s="5" t="s">
        <v>290</v>
      </c>
      <c r="D1121" s="5" t="s">
        <v>1314</v>
      </c>
      <c r="E1121" s="195">
        <v>1227782</v>
      </c>
      <c r="F1121" s="196">
        <v>1227782</v>
      </c>
    </row>
    <row r="1122" spans="1:6" ht="38.25" x14ac:dyDescent="0.2">
      <c r="A1122" s="52" t="s">
        <v>1345</v>
      </c>
      <c r="B1122" s="268" t="s">
        <v>705</v>
      </c>
      <c r="C1122" s="5" t="s">
        <v>30</v>
      </c>
      <c r="D1122" s="5" t="s">
        <v>1314</v>
      </c>
      <c r="E1122" s="195">
        <v>1227782</v>
      </c>
      <c r="F1122" s="196">
        <v>1227782</v>
      </c>
    </row>
    <row r="1123" spans="1:6" x14ac:dyDescent="0.2">
      <c r="A1123" s="52" t="s">
        <v>250</v>
      </c>
      <c r="B1123" s="268" t="s">
        <v>705</v>
      </c>
      <c r="C1123" s="5" t="s">
        <v>30</v>
      </c>
      <c r="D1123" s="5" t="s">
        <v>1212</v>
      </c>
      <c r="E1123" s="195">
        <v>1227782</v>
      </c>
      <c r="F1123" s="196">
        <v>1227782</v>
      </c>
    </row>
    <row r="1124" spans="1:6" ht="76.5" x14ac:dyDescent="0.2">
      <c r="A1124" s="52" t="s">
        <v>252</v>
      </c>
      <c r="B1124" s="268" t="s">
        <v>705</v>
      </c>
      <c r="C1124" s="5" t="s">
        <v>30</v>
      </c>
      <c r="D1124" s="5" t="s">
        <v>372</v>
      </c>
      <c r="E1124" s="195">
        <v>1227782</v>
      </c>
      <c r="F1124" s="196">
        <v>1227782</v>
      </c>
    </row>
    <row r="1125" spans="1:6" ht="76.5" x14ac:dyDescent="0.2">
      <c r="A1125" s="52" t="s">
        <v>605</v>
      </c>
      <c r="B1125" s="268" t="s">
        <v>696</v>
      </c>
      <c r="C1125" s="5" t="s">
        <v>1314</v>
      </c>
      <c r="D1125" s="5" t="s">
        <v>1314</v>
      </c>
      <c r="E1125" s="195">
        <v>492000</v>
      </c>
      <c r="F1125" s="196">
        <v>492000</v>
      </c>
    </row>
    <row r="1126" spans="1:6" ht="76.5" x14ac:dyDescent="0.2">
      <c r="A1126" s="52" t="s">
        <v>1501</v>
      </c>
      <c r="B1126" s="268" t="s">
        <v>696</v>
      </c>
      <c r="C1126" s="5" t="s">
        <v>290</v>
      </c>
      <c r="D1126" s="5" t="s">
        <v>1314</v>
      </c>
      <c r="E1126" s="195">
        <v>492000</v>
      </c>
      <c r="F1126" s="196">
        <v>492000</v>
      </c>
    </row>
    <row r="1127" spans="1:6" ht="38.25" x14ac:dyDescent="0.2">
      <c r="A1127" s="52" t="s">
        <v>1345</v>
      </c>
      <c r="B1127" s="268" t="s">
        <v>696</v>
      </c>
      <c r="C1127" s="5" t="s">
        <v>30</v>
      </c>
      <c r="D1127" s="5" t="s">
        <v>1314</v>
      </c>
      <c r="E1127" s="195">
        <v>492000</v>
      </c>
      <c r="F1127" s="196">
        <v>492000</v>
      </c>
    </row>
    <row r="1128" spans="1:6" x14ac:dyDescent="0.2">
      <c r="A1128" s="52" t="s">
        <v>250</v>
      </c>
      <c r="B1128" s="268" t="s">
        <v>696</v>
      </c>
      <c r="C1128" s="5" t="s">
        <v>30</v>
      </c>
      <c r="D1128" s="5" t="s">
        <v>1212</v>
      </c>
      <c r="E1128" s="195">
        <v>492000</v>
      </c>
      <c r="F1128" s="196">
        <v>492000</v>
      </c>
    </row>
    <row r="1129" spans="1:6" ht="63.75" x14ac:dyDescent="0.2">
      <c r="A1129" s="52" t="s">
        <v>71</v>
      </c>
      <c r="B1129" s="268" t="s">
        <v>696</v>
      </c>
      <c r="C1129" s="5" t="s">
        <v>30</v>
      </c>
      <c r="D1129" s="5" t="s">
        <v>366</v>
      </c>
      <c r="E1129" s="195">
        <v>52000</v>
      </c>
      <c r="F1129" s="196">
        <v>52000</v>
      </c>
    </row>
    <row r="1130" spans="1:6" ht="76.5" x14ac:dyDescent="0.2">
      <c r="A1130" s="52" t="s">
        <v>252</v>
      </c>
      <c r="B1130" s="268" t="s">
        <v>696</v>
      </c>
      <c r="C1130" s="5" t="s">
        <v>30</v>
      </c>
      <c r="D1130" s="5" t="s">
        <v>372</v>
      </c>
      <c r="E1130" s="195">
        <v>400000</v>
      </c>
      <c r="F1130" s="196">
        <v>400000</v>
      </c>
    </row>
    <row r="1131" spans="1:6" ht="51" x14ac:dyDescent="0.2">
      <c r="A1131" s="52" t="s">
        <v>232</v>
      </c>
      <c r="B1131" s="268" t="s">
        <v>696</v>
      </c>
      <c r="C1131" s="5" t="s">
        <v>30</v>
      </c>
      <c r="D1131" s="5" t="s">
        <v>370</v>
      </c>
      <c r="E1131" s="195">
        <v>40000</v>
      </c>
      <c r="F1131" s="196">
        <v>40000</v>
      </c>
    </row>
    <row r="1132" spans="1:6" ht="76.5" x14ac:dyDescent="0.2">
      <c r="A1132" s="52" t="s">
        <v>608</v>
      </c>
      <c r="B1132" s="268" t="s">
        <v>706</v>
      </c>
      <c r="C1132" s="5" t="s">
        <v>1314</v>
      </c>
      <c r="D1132" s="5" t="s">
        <v>1314</v>
      </c>
      <c r="E1132" s="195">
        <v>8288772</v>
      </c>
      <c r="F1132" s="196">
        <v>8288772</v>
      </c>
    </row>
    <row r="1133" spans="1:6" ht="76.5" x14ac:dyDescent="0.2">
      <c r="A1133" s="52" t="s">
        <v>1501</v>
      </c>
      <c r="B1133" s="268" t="s">
        <v>706</v>
      </c>
      <c r="C1133" s="5" t="s">
        <v>290</v>
      </c>
      <c r="D1133" s="5" t="s">
        <v>1314</v>
      </c>
      <c r="E1133" s="195">
        <v>8288772</v>
      </c>
      <c r="F1133" s="196">
        <v>8288772</v>
      </c>
    </row>
    <row r="1134" spans="1:6" ht="38.25" x14ac:dyDescent="0.2">
      <c r="A1134" s="52" t="s">
        <v>1345</v>
      </c>
      <c r="B1134" s="268" t="s">
        <v>706</v>
      </c>
      <c r="C1134" s="5" t="s">
        <v>30</v>
      </c>
      <c r="D1134" s="5" t="s">
        <v>1314</v>
      </c>
      <c r="E1134" s="195">
        <v>8288772</v>
      </c>
      <c r="F1134" s="196">
        <v>8288772</v>
      </c>
    </row>
    <row r="1135" spans="1:6" x14ac:dyDescent="0.2">
      <c r="A1135" s="190" t="s">
        <v>250</v>
      </c>
      <c r="B1135" s="268" t="s">
        <v>706</v>
      </c>
      <c r="C1135" s="5" t="s">
        <v>30</v>
      </c>
      <c r="D1135" s="5" t="s">
        <v>1212</v>
      </c>
      <c r="E1135" s="195">
        <v>8288772</v>
      </c>
      <c r="F1135" s="196">
        <v>8288772</v>
      </c>
    </row>
    <row r="1136" spans="1:6" ht="76.5" x14ac:dyDescent="0.2">
      <c r="A1136" s="52" t="s">
        <v>252</v>
      </c>
      <c r="B1136" s="268" t="s">
        <v>706</v>
      </c>
      <c r="C1136" s="5" t="s">
        <v>30</v>
      </c>
      <c r="D1136" s="5" t="s">
        <v>372</v>
      </c>
      <c r="E1136" s="195">
        <v>8288772</v>
      </c>
      <c r="F1136" s="196">
        <v>8288772</v>
      </c>
    </row>
    <row r="1137" spans="1:6" ht="51" x14ac:dyDescent="0.2">
      <c r="A1137" s="52" t="s">
        <v>1012</v>
      </c>
      <c r="B1137" s="268" t="s">
        <v>1013</v>
      </c>
      <c r="C1137" s="5" t="s">
        <v>1314</v>
      </c>
      <c r="D1137" s="5" t="s">
        <v>1314</v>
      </c>
      <c r="E1137" s="195">
        <v>3401569</v>
      </c>
      <c r="F1137" s="196">
        <v>3401569</v>
      </c>
    </row>
    <row r="1138" spans="1:6" ht="38.25" x14ac:dyDescent="0.2">
      <c r="A1138" s="52" t="s">
        <v>1502</v>
      </c>
      <c r="B1138" s="268" t="s">
        <v>1013</v>
      </c>
      <c r="C1138" s="5" t="s">
        <v>1503</v>
      </c>
      <c r="D1138" s="5" t="s">
        <v>1314</v>
      </c>
      <c r="E1138" s="195">
        <v>3401569</v>
      </c>
      <c r="F1138" s="196">
        <v>3401569</v>
      </c>
    </row>
    <row r="1139" spans="1:6" ht="38.25" x14ac:dyDescent="0.2">
      <c r="A1139" s="52" t="s">
        <v>1338</v>
      </c>
      <c r="B1139" s="268" t="s">
        <v>1013</v>
      </c>
      <c r="C1139" s="5" t="s">
        <v>1339</v>
      </c>
      <c r="D1139" s="5" t="s">
        <v>1314</v>
      </c>
      <c r="E1139" s="195">
        <v>3401569</v>
      </c>
      <c r="F1139" s="196">
        <v>3401569</v>
      </c>
    </row>
    <row r="1140" spans="1:6" x14ac:dyDescent="0.2">
      <c r="A1140" s="52" t="s">
        <v>250</v>
      </c>
      <c r="B1140" s="268" t="s">
        <v>1013</v>
      </c>
      <c r="C1140" s="5" t="s">
        <v>1339</v>
      </c>
      <c r="D1140" s="5" t="s">
        <v>1212</v>
      </c>
      <c r="E1140" s="195">
        <v>3401569</v>
      </c>
      <c r="F1140" s="196">
        <v>3401569</v>
      </c>
    </row>
    <row r="1141" spans="1:6" ht="76.5" x14ac:dyDescent="0.2">
      <c r="A1141" s="52" t="s">
        <v>252</v>
      </c>
      <c r="B1141" s="268" t="s">
        <v>1013</v>
      </c>
      <c r="C1141" s="5" t="s">
        <v>1339</v>
      </c>
      <c r="D1141" s="5" t="s">
        <v>372</v>
      </c>
      <c r="E1141" s="195">
        <v>3401569</v>
      </c>
      <c r="F1141" s="196">
        <v>3401569</v>
      </c>
    </row>
    <row r="1142" spans="1:6" ht="63.75" x14ac:dyDescent="0.2">
      <c r="A1142" s="52" t="s">
        <v>1738</v>
      </c>
      <c r="B1142" s="268" t="s">
        <v>1739</v>
      </c>
      <c r="C1142" s="5" t="s">
        <v>1314</v>
      </c>
      <c r="D1142" s="5" t="s">
        <v>1314</v>
      </c>
      <c r="E1142" s="195">
        <v>165060</v>
      </c>
      <c r="F1142" s="196">
        <v>165060</v>
      </c>
    </row>
    <row r="1143" spans="1:6" ht="38.25" x14ac:dyDescent="0.2">
      <c r="A1143" s="52" t="s">
        <v>1502</v>
      </c>
      <c r="B1143" s="268" t="s">
        <v>1739</v>
      </c>
      <c r="C1143" s="5" t="s">
        <v>1503</v>
      </c>
      <c r="D1143" s="5" t="s">
        <v>1314</v>
      </c>
      <c r="E1143" s="195">
        <v>165060</v>
      </c>
      <c r="F1143" s="196">
        <v>165060</v>
      </c>
    </row>
    <row r="1144" spans="1:6" ht="38.25" x14ac:dyDescent="0.2">
      <c r="A1144" s="52" t="s">
        <v>1338</v>
      </c>
      <c r="B1144" s="268" t="s">
        <v>1739</v>
      </c>
      <c r="C1144" s="5" t="s">
        <v>1339</v>
      </c>
      <c r="D1144" s="5" t="s">
        <v>1314</v>
      </c>
      <c r="E1144" s="195">
        <v>165060</v>
      </c>
      <c r="F1144" s="196">
        <v>165060</v>
      </c>
    </row>
    <row r="1145" spans="1:6" x14ac:dyDescent="0.2">
      <c r="A1145" s="52" t="s">
        <v>250</v>
      </c>
      <c r="B1145" s="268" t="s">
        <v>1739</v>
      </c>
      <c r="C1145" s="5" t="s">
        <v>1339</v>
      </c>
      <c r="D1145" s="5" t="s">
        <v>1212</v>
      </c>
      <c r="E1145" s="195">
        <v>165060</v>
      </c>
      <c r="F1145" s="196">
        <v>165060</v>
      </c>
    </row>
    <row r="1146" spans="1:6" ht="76.5" x14ac:dyDescent="0.2">
      <c r="A1146" s="52" t="s">
        <v>252</v>
      </c>
      <c r="B1146" s="268" t="s">
        <v>1739</v>
      </c>
      <c r="C1146" s="5" t="s">
        <v>1339</v>
      </c>
      <c r="D1146" s="5" t="s">
        <v>372</v>
      </c>
      <c r="E1146" s="195">
        <v>165060</v>
      </c>
      <c r="F1146" s="196">
        <v>165060</v>
      </c>
    </row>
    <row r="1147" spans="1:6" ht="38.25" x14ac:dyDescent="0.2">
      <c r="A1147" s="52" t="s">
        <v>1143</v>
      </c>
      <c r="B1147" s="268" t="s">
        <v>1144</v>
      </c>
      <c r="C1147" s="5" t="s">
        <v>1314</v>
      </c>
      <c r="D1147" s="5" t="s">
        <v>1314</v>
      </c>
      <c r="E1147" s="195">
        <v>1269512</v>
      </c>
      <c r="F1147" s="196">
        <v>1269512</v>
      </c>
    </row>
    <row r="1148" spans="1:6" ht="38.25" x14ac:dyDescent="0.2">
      <c r="A1148" s="52" t="s">
        <v>1502</v>
      </c>
      <c r="B1148" s="268" t="s">
        <v>1144</v>
      </c>
      <c r="C1148" s="5" t="s">
        <v>1503</v>
      </c>
      <c r="D1148" s="5" t="s">
        <v>1314</v>
      </c>
      <c r="E1148" s="195">
        <v>1269512</v>
      </c>
      <c r="F1148" s="196">
        <v>1269512</v>
      </c>
    </row>
    <row r="1149" spans="1:6" ht="38.25" x14ac:dyDescent="0.2">
      <c r="A1149" s="52" t="s">
        <v>1338</v>
      </c>
      <c r="B1149" s="268" t="s">
        <v>1144</v>
      </c>
      <c r="C1149" s="5" t="s">
        <v>1339</v>
      </c>
      <c r="D1149" s="5" t="s">
        <v>1314</v>
      </c>
      <c r="E1149" s="195">
        <v>1269512</v>
      </c>
      <c r="F1149" s="196">
        <v>1269512</v>
      </c>
    </row>
    <row r="1150" spans="1:6" x14ac:dyDescent="0.2">
      <c r="A1150" s="5" t="s">
        <v>250</v>
      </c>
      <c r="B1150" s="268" t="s">
        <v>1144</v>
      </c>
      <c r="C1150" s="5" t="s">
        <v>1339</v>
      </c>
      <c r="D1150" s="5" t="s">
        <v>1212</v>
      </c>
      <c r="E1150" s="195">
        <v>1269512</v>
      </c>
      <c r="F1150" s="196">
        <v>1269512</v>
      </c>
    </row>
    <row r="1151" spans="1:6" ht="76.5" x14ac:dyDescent="0.2">
      <c r="A1151" s="52" t="s">
        <v>252</v>
      </c>
      <c r="B1151" s="268" t="s">
        <v>1144</v>
      </c>
      <c r="C1151" s="5" t="s">
        <v>1339</v>
      </c>
      <c r="D1151" s="5" t="s">
        <v>372</v>
      </c>
      <c r="E1151" s="195">
        <v>1269512</v>
      </c>
      <c r="F1151" s="196">
        <v>1269512</v>
      </c>
    </row>
    <row r="1152" spans="1:6" ht="102" x14ac:dyDescent="0.2">
      <c r="A1152" s="52" t="s">
        <v>584</v>
      </c>
      <c r="B1152" s="268" t="s">
        <v>710</v>
      </c>
      <c r="C1152" s="5" t="s">
        <v>1314</v>
      </c>
      <c r="D1152" s="5" t="s">
        <v>1314</v>
      </c>
      <c r="E1152" s="195">
        <v>80900</v>
      </c>
      <c r="F1152" s="196">
        <v>80900</v>
      </c>
    </row>
    <row r="1153" spans="1:6" ht="76.5" x14ac:dyDescent="0.2">
      <c r="A1153" s="52" t="s">
        <v>1501</v>
      </c>
      <c r="B1153" s="268" t="s">
        <v>710</v>
      </c>
      <c r="C1153" s="5" t="s">
        <v>290</v>
      </c>
      <c r="D1153" s="5" t="s">
        <v>1314</v>
      </c>
      <c r="E1153" s="195">
        <v>77720</v>
      </c>
      <c r="F1153" s="196">
        <v>77720</v>
      </c>
    </row>
    <row r="1154" spans="1:6" ht="38.25" x14ac:dyDescent="0.2">
      <c r="A1154" s="52" t="s">
        <v>1345</v>
      </c>
      <c r="B1154" s="268" t="s">
        <v>710</v>
      </c>
      <c r="C1154" s="5" t="s">
        <v>30</v>
      </c>
      <c r="D1154" s="5" t="s">
        <v>1314</v>
      </c>
      <c r="E1154" s="195">
        <v>77720</v>
      </c>
      <c r="F1154" s="196">
        <v>77720</v>
      </c>
    </row>
    <row r="1155" spans="1:6" x14ac:dyDescent="0.2">
      <c r="A1155" s="52" t="s">
        <v>250</v>
      </c>
      <c r="B1155" s="268" t="s">
        <v>710</v>
      </c>
      <c r="C1155" s="5" t="s">
        <v>30</v>
      </c>
      <c r="D1155" s="5" t="s">
        <v>1212</v>
      </c>
      <c r="E1155" s="195">
        <v>77720</v>
      </c>
      <c r="F1155" s="196">
        <v>77720</v>
      </c>
    </row>
    <row r="1156" spans="1:6" x14ac:dyDescent="0.2">
      <c r="A1156" s="52" t="s">
        <v>233</v>
      </c>
      <c r="B1156" s="268" t="s">
        <v>710</v>
      </c>
      <c r="C1156" s="5" t="s">
        <v>30</v>
      </c>
      <c r="D1156" s="5" t="s">
        <v>376</v>
      </c>
      <c r="E1156" s="195">
        <v>77720</v>
      </c>
      <c r="F1156" s="196">
        <v>77720</v>
      </c>
    </row>
    <row r="1157" spans="1:6" ht="38.25" x14ac:dyDescent="0.2">
      <c r="A1157" s="52" t="s">
        <v>1502</v>
      </c>
      <c r="B1157" s="268" t="s">
        <v>710</v>
      </c>
      <c r="C1157" s="5" t="s">
        <v>1503</v>
      </c>
      <c r="D1157" s="5" t="s">
        <v>1314</v>
      </c>
      <c r="E1157" s="195">
        <v>3180</v>
      </c>
      <c r="F1157" s="196">
        <v>3180</v>
      </c>
    </row>
    <row r="1158" spans="1:6" ht="38.25" x14ac:dyDescent="0.2">
      <c r="A1158" s="52" t="s">
        <v>1338</v>
      </c>
      <c r="B1158" s="268" t="s">
        <v>710</v>
      </c>
      <c r="C1158" s="5" t="s">
        <v>1339</v>
      </c>
      <c r="D1158" s="5" t="s">
        <v>1314</v>
      </c>
      <c r="E1158" s="195">
        <v>3180</v>
      </c>
      <c r="F1158" s="196">
        <v>3180</v>
      </c>
    </row>
    <row r="1159" spans="1:6" x14ac:dyDescent="0.2">
      <c r="A1159" s="52" t="s">
        <v>250</v>
      </c>
      <c r="B1159" s="268" t="s">
        <v>710</v>
      </c>
      <c r="C1159" s="5" t="s">
        <v>1339</v>
      </c>
      <c r="D1159" s="5" t="s">
        <v>1212</v>
      </c>
      <c r="E1159" s="195">
        <v>3180</v>
      </c>
      <c r="F1159" s="196">
        <v>3180</v>
      </c>
    </row>
    <row r="1160" spans="1:6" x14ac:dyDescent="0.2">
      <c r="A1160" s="52" t="s">
        <v>233</v>
      </c>
      <c r="B1160" s="268" t="s">
        <v>710</v>
      </c>
      <c r="C1160" s="5" t="s">
        <v>1339</v>
      </c>
      <c r="D1160" s="5" t="s">
        <v>376</v>
      </c>
      <c r="E1160" s="195">
        <v>3180</v>
      </c>
      <c r="F1160" s="196">
        <v>3180</v>
      </c>
    </row>
    <row r="1161" spans="1:6" ht="76.5" x14ac:dyDescent="0.2">
      <c r="A1161" s="52" t="s">
        <v>1965</v>
      </c>
      <c r="B1161" s="268" t="s">
        <v>1966</v>
      </c>
      <c r="C1161" s="5" t="s">
        <v>1314</v>
      </c>
      <c r="D1161" s="5" t="s">
        <v>1314</v>
      </c>
      <c r="E1161" s="195">
        <v>1887000</v>
      </c>
      <c r="F1161" s="196">
        <v>1887000</v>
      </c>
    </row>
    <row r="1162" spans="1:6" ht="76.5" x14ac:dyDescent="0.2">
      <c r="A1162" s="52" t="s">
        <v>1501</v>
      </c>
      <c r="B1162" s="268" t="s">
        <v>1966</v>
      </c>
      <c r="C1162" s="5" t="s">
        <v>290</v>
      </c>
      <c r="D1162" s="5" t="s">
        <v>1314</v>
      </c>
      <c r="E1162" s="195">
        <v>1846954</v>
      </c>
      <c r="F1162" s="196">
        <v>1846954</v>
      </c>
    </row>
    <row r="1163" spans="1:6" ht="38.25" x14ac:dyDescent="0.2">
      <c r="A1163" s="52" t="s">
        <v>1345</v>
      </c>
      <c r="B1163" s="268" t="s">
        <v>1966</v>
      </c>
      <c r="C1163" s="5" t="s">
        <v>30</v>
      </c>
      <c r="D1163" s="5" t="s">
        <v>1314</v>
      </c>
      <c r="E1163" s="195">
        <v>1846954</v>
      </c>
      <c r="F1163" s="196">
        <v>1846954</v>
      </c>
    </row>
    <row r="1164" spans="1:6" x14ac:dyDescent="0.2">
      <c r="A1164" s="52" t="s">
        <v>190</v>
      </c>
      <c r="B1164" s="268" t="s">
        <v>1966</v>
      </c>
      <c r="C1164" s="5" t="s">
        <v>30</v>
      </c>
      <c r="D1164" s="5" t="s">
        <v>1218</v>
      </c>
      <c r="E1164" s="195">
        <v>1846954</v>
      </c>
      <c r="F1164" s="196">
        <v>1846954</v>
      </c>
    </row>
    <row r="1165" spans="1:6" x14ac:dyDescent="0.2">
      <c r="A1165" s="52" t="s">
        <v>1963</v>
      </c>
      <c r="B1165" s="268" t="s">
        <v>1966</v>
      </c>
      <c r="C1165" s="5" t="s">
        <v>30</v>
      </c>
      <c r="D1165" s="5" t="s">
        <v>1964</v>
      </c>
      <c r="E1165" s="195">
        <v>1846954</v>
      </c>
      <c r="F1165" s="196">
        <v>1846954</v>
      </c>
    </row>
    <row r="1166" spans="1:6" ht="38.25" x14ac:dyDescent="0.2">
      <c r="A1166" s="52" t="s">
        <v>1502</v>
      </c>
      <c r="B1166" s="268" t="s">
        <v>1966</v>
      </c>
      <c r="C1166" s="5" t="s">
        <v>1503</v>
      </c>
      <c r="D1166" s="5" t="s">
        <v>1314</v>
      </c>
      <c r="E1166" s="195">
        <v>40046</v>
      </c>
      <c r="F1166" s="196">
        <v>40046</v>
      </c>
    </row>
    <row r="1167" spans="1:6" ht="38.25" x14ac:dyDescent="0.2">
      <c r="A1167" s="52" t="s">
        <v>1338</v>
      </c>
      <c r="B1167" s="268" t="s">
        <v>1966</v>
      </c>
      <c r="C1167" s="5" t="s">
        <v>1339</v>
      </c>
      <c r="D1167" s="5" t="s">
        <v>1314</v>
      </c>
      <c r="E1167" s="195">
        <v>40046</v>
      </c>
      <c r="F1167" s="196">
        <v>40046</v>
      </c>
    </row>
    <row r="1168" spans="1:6" x14ac:dyDescent="0.2">
      <c r="A1168" s="52" t="s">
        <v>190</v>
      </c>
      <c r="B1168" s="268" t="s">
        <v>1966</v>
      </c>
      <c r="C1168" s="5" t="s">
        <v>1339</v>
      </c>
      <c r="D1168" s="5" t="s">
        <v>1218</v>
      </c>
      <c r="E1168" s="195">
        <v>40046</v>
      </c>
      <c r="F1168" s="196">
        <v>40046</v>
      </c>
    </row>
    <row r="1169" spans="1:6" x14ac:dyDescent="0.2">
      <c r="A1169" s="52" t="s">
        <v>1963</v>
      </c>
      <c r="B1169" s="268" t="s">
        <v>1966</v>
      </c>
      <c r="C1169" s="5" t="s">
        <v>1339</v>
      </c>
      <c r="D1169" s="5" t="s">
        <v>1964</v>
      </c>
      <c r="E1169" s="195">
        <v>40046</v>
      </c>
      <c r="F1169" s="196">
        <v>40046</v>
      </c>
    </row>
    <row r="1170" spans="1:6" ht="102" x14ac:dyDescent="0.2">
      <c r="A1170" s="52" t="s">
        <v>374</v>
      </c>
      <c r="B1170" s="268" t="s">
        <v>703</v>
      </c>
      <c r="C1170" s="5" t="s">
        <v>1314</v>
      </c>
      <c r="D1170" s="5" t="s">
        <v>1314</v>
      </c>
      <c r="E1170" s="195">
        <v>826100</v>
      </c>
      <c r="F1170" s="196">
        <v>826100</v>
      </c>
    </row>
    <row r="1171" spans="1:6" ht="76.5" x14ac:dyDescent="0.2">
      <c r="A1171" s="52" t="s">
        <v>1501</v>
      </c>
      <c r="B1171" s="268" t="s">
        <v>703</v>
      </c>
      <c r="C1171" s="5" t="s">
        <v>290</v>
      </c>
      <c r="D1171" s="5" t="s">
        <v>1314</v>
      </c>
      <c r="E1171" s="195">
        <v>796200</v>
      </c>
      <c r="F1171" s="196">
        <v>796200</v>
      </c>
    </row>
    <row r="1172" spans="1:6" ht="38.25" x14ac:dyDescent="0.2">
      <c r="A1172" s="52" t="s">
        <v>1345</v>
      </c>
      <c r="B1172" s="268" t="s">
        <v>703</v>
      </c>
      <c r="C1172" s="5" t="s">
        <v>30</v>
      </c>
      <c r="D1172" s="5" t="s">
        <v>1314</v>
      </c>
      <c r="E1172" s="195">
        <v>796200</v>
      </c>
      <c r="F1172" s="196">
        <v>796200</v>
      </c>
    </row>
    <row r="1173" spans="1:6" x14ac:dyDescent="0.2">
      <c r="A1173" s="52" t="s">
        <v>250</v>
      </c>
      <c r="B1173" s="268" t="s">
        <v>703</v>
      </c>
      <c r="C1173" s="5" t="s">
        <v>30</v>
      </c>
      <c r="D1173" s="5" t="s">
        <v>1212</v>
      </c>
      <c r="E1173" s="195">
        <v>796200</v>
      </c>
      <c r="F1173" s="196">
        <v>796200</v>
      </c>
    </row>
    <row r="1174" spans="1:6" ht="76.5" x14ac:dyDescent="0.2">
      <c r="A1174" s="52" t="s">
        <v>252</v>
      </c>
      <c r="B1174" s="268" t="s">
        <v>703</v>
      </c>
      <c r="C1174" s="5" t="s">
        <v>30</v>
      </c>
      <c r="D1174" s="5" t="s">
        <v>372</v>
      </c>
      <c r="E1174" s="195">
        <v>796200</v>
      </c>
      <c r="F1174" s="196">
        <v>796200</v>
      </c>
    </row>
    <row r="1175" spans="1:6" ht="38.25" x14ac:dyDescent="0.2">
      <c r="A1175" s="52" t="s">
        <v>1502</v>
      </c>
      <c r="B1175" s="268" t="s">
        <v>703</v>
      </c>
      <c r="C1175" s="5" t="s">
        <v>1503</v>
      </c>
      <c r="D1175" s="5" t="s">
        <v>1314</v>
      </c>
      <c r="E1175" s="195">
        <v>29900</v>
      </c>
      <c r="F1175" s="196">
        <v>29900</v>
      </c>
    </row>
    <row r="1176" spans="1:6" ht="38.25" x14ac:dyDescent="0.2">
      <c r="A1176" s="52" t="s">
        <v>1338</v>
      </c>
      <c r="B1176" s="268" t="s">
        <v>703</v>
      </c>
      <c r="C1176" s="5" t="s">
        <v>1339</v>
      </c>
      <c r="D1176" s="5" t="s">
        <v>1314</v>
      </c>
      <c r="E1176" s="195">
        <v>29900</v>
      </c>
      <c r="F1176" s="196">
        <v>29900</v>
      </c>
    </row>
    <row r="1177" spans="1:6" x14ac:dyDescent="0.2">
      <c r="A1177" s="52" t="s">
        <v>250</v>
      </c>
      <c r="B1177" s="268" t="s">
        <v>703</v>
      </c>
      <c r="C1177" s="5" t="s">
        <v>1339</v>
      </c>
      <c r="D1177" s="5" t="s">
        <v>1212</v>
      </c>
      <c r="E1177" s="195">
        <v>29900</v>
      </c>
      <c r="F1177" s="196">
        <v>29900</v>
      </c>
    </row>
    <row r="1178" spans="1:6" ht="76.5" x14ac:dyDescent="0.2">
      <c r="A1178" s="52" t="s">
        <v>252</v>
      </c>
      <c r="B1178" s="268" t="s">
        <v>703</v>
      </c>
      <c r="C1178" s="5" t="s">
        <v>1339</v>
      </c>
      <c r="D1178" s="5" t="s">
        <v>372</v>
      </c>
      <c r="E1178" s="195">
        <v>29900</v>
      </c>
      <c r="F1178" s="196">
        <v>29900</v>
      </c>
    </row>
    <row r="1179" spans="1:6" ht="51" x14ac:dyDescent="0.2">
      <c r="A1179" s="52" t="s">
        <v>377</v>
      </c>
      <c r="B1179" s="268" t="s">
        <v>711</v>
      </c>
      <c r="C1179" s="5" t="s">
        <v>1314</v>
      </c>
      <c r="D1179" s="5" t="s">
        <v>1314</v>
      </c>
      <c r="E1179" s="195">
        <v>89100</v>
      </c>
      <c r="F1179" s="196">
        <v>89100</v>
      </c>
    </row>
    <row r="1180" spans="1:6" ht="76.5" x14ac:dyDescent="0.2">
      <c r="A1180" s="52" t="s">
        <v>1501</v>
      </c>
      <c r="B1180" s="268" t="s">
        <v>711</v>
      </c>
      <c r="C1180" s="5" t="s">
        <v>290</v>
      </c>
      <c r="D1180" s="5" t="s">
        <v>1314</v>
      </c>
      <c r="E1180" s="195">
        <v>74481</v>
      </c>
      <c r="F1180" s="196">
        <v>74481</v>
      </c>
    </row>
    <row r="1181" spans="1:6" ht="38.25" x14ac:dyDescent="0.2">
      <c r="A1181" s="52" t="s">
        <v>1345</v>
      </c>
      <c r="B1181" s="268" t="s">
        <v>711</v>
      </c>
      <c r="C1181" s="5" t="s">
        <v>30</v>
      </c>
      <c r="D1181" s="5" t="s">
        <v>1314</v>
      </c>
      <c r="E1181" s="195">
        <v>74481</v>
      </c>
      <c r="F1181" s="196">
        <v>74481</v>
      </c>
    </row>
    <row r="1182" spans="1:6" x14ac:dyDescent="0.2">
      <c r="A1182" s="52" t="s">
        <v>250</v>
      </c>
      <c r="B1182" s="268" t="s">
        <v>711</v>
      </c>
      <c r="C1182" s="5" t="s">
        <v>30</v>
      </c>
      <c r="D1182" s="5" t="s">
        <v>1212</v>
      </c>
      <c r="E1182" s="195">
        <v>74481</v>
      </c>
      <c r="F1182" s="196">
        <v>74481</v>
      </c>
    </row>
    <row r="1183" spans="1:6" x14ac:dyDescent="0.2">
      <c r="A1183" s="52" t="s">
        <v>233</v>
      </c>
      <c r="B1183" s="268" t="s">
        <v>711</v>
      </c>
      <c r="C1183" s="5" t="s">
        <v>30</v>
      </c>
      <c r="D1183" s="5" t="s">
        <v>376</v>
      </c>
      <c r="E1183" s="195">
        <v>74481</v>
      </c>
      <c r="F1183" s="196">
        <v>74481</v>
      </c>
    </row>
    <row r="1184" spans="1:6" ht="38.25" x14ac:dyDescent="0.2">
      <c r="A1184" s="52" t="s">
        <v>1502</v>
      </c>
      <c r="B1184" s="268" t="s">
        <v>711</v>
      </c>
      <c r="C1184" s="5" t="s">
        <v>1503</v>
      </c>
      <c r="D1184" s="5" t="s">
        <v>1314</v>
      </c>
      <c r="E1184" s="195">
        <v>14619</v>
      </c>
      <c r="F1184" s="196">
        <v>14619</v>
      </c>
    </row>
    <row r="1185" spans="1:6" ht="38.25" x14ac:dyDescent="0.2">
      <c r="A1185" s="52" t="s">
        <v>1338</v>
      </c>
      <c r="B1185" s="268" t="s">
        <v>711</v>
      </c>
      <c r="C1185" s="5" t="s">
        <v>1339</v>
      </c>
      <c r="D1185" s="5" t="s">
        <v>1314</v>
      </c>
      <c r="E1185" s="195">
        <v>14619</v>
      </c>
      <c r="F1185" s="196">
        <v>14619</v>
      </c>
    </row>
    <row r="1186" spans="1:6" x14ac:dyDescent="0.2">
      <c r="A1186" s="52" t="s">
        <v>250</v>
      </c>
      <c r="B1186" s="268" t="s">
        <v>711</v>
      </c>
      <c r="C1186" s="5" t="s">
        <v>1339</v>
      </c>
      <c r="D1186" s="5" t="s">
        <v>1212</v>
      </c>
      <c r="E1186" s="195">
        <v>14619</v>
      </c>
      <c r="F1186" s="196">
        <v>14619</v>
      </c>
    </row>
    <row r="1187" spans="1:6" x14ac:dyDescent="0.2">
      <c r="A1187" s="52" t="s">
        <v>233</v>
      </c>
      <c r="B1187" s="268" t="s">
        <v>711</v>
      </c>
      <c r="C1187" s="5" t="s">
        <v>1339</v>
      </c>
      <c r="D1187" s="5" t="s">
        <v>376</v>
      </c>
      <c r="E1187" s="195">
        <v>14619</v>
      </c>
      <c r="F1187" s="196">
        <v>14619</v>
      </c>
    </row>
    <row r="1188" spans="1:6" ht="76.5" x14ac:dyDescent="0.2">
      <c r="A1188" s="52" t="s">
        <v>375</v>
      </c>
      <c r="B1188" s="268" t="s">
        <v>704</v>
      </c>
      <c r="C1188" s="5" t="s">
        <v>1314</v>
      </c>
      <c r="D1188" s="5" t="s">
        <v>1314</v>
      </c>
      <c r="E1188" s="195">
        <v>1621700</v>
      </c>
      <c r="F1188" s="196">
        <v>1621700</v>
      </c>
    </row>
    <row r="1189" spans="1:6" ht="76.5" x14ac:dyDescent="0.2">
      <c r="A1189" s="52" t="s">
        <v>1501</v>
      </c>
      <c r="B1189" s="268" t="s">
        <v>704</v>
      </c>
      <c r="C1189" s="5" t="s">
        <v>290</v>
      </c>
      <c r="D1189" s="5" t="s">
        <v>1314</v>
      </c>
      <c r="E1189" s="195">
        <v>1579310</v>
      </c>
      <c r="F1189" s="196">
        <v>1579310</v>
      </c>
    </row>
    <row r="1190" spans="1:6" ht="38.25" x14ac:dyDescent="0.2">
      <c r="A1190" s="52" t="s">
        <v>1345</v>
      </c>
      <c r="B1190" s="268" t="s">
        <v>704</v>
      </c>
      <c r="C1190" s="5" t="s">
        <v>30</v>
      </c>
      <c r="D1190" s="5" t="s">
        <v>1314</v>
      </c>
      <c r="E1190" s="195">
        <v>1579310</v>
      </c>
      <c r="F1190" s="196">
        <v>1579310</v>
      </c>
    </row>
    <row r="1191" spans="1:6" x14ac:dyDescent="0.2">
      <c r="A1191" s="52" t="s">
        <v>250</v>
      </c>
      <c r="B1191" s="268" t="s">
        <v>704</v>
      </c>
      <c r="C1191" s="5" t="s">
        <v>30</v>
      </c>
      <c r="D1191" s="5" t="s">
        <v>1212</v>
      </c>
      <c r="E1191" s="195">
        <v>1579310</v>
      </c>
      <c r="F1191" s="196">
        <v>1579310</v>
      </c>
    </row>
    <row r="1192" spans="1:6" ht="76.5" x14ac:dyDescent="0.2">
      <c r="A1192" s="52" t="s">
        <v>252</v>
      </c>
      <c r="B1192" s="268" t="s">
        <v>704</v>
      </c>
      <c r="C1192" s="5" t="s">
        <v>30</v>
      </c>
      <c r="D1192" s="5" t="s">
        <v>372</v>
      </c>
      <c r="E1192" s="195">
        <v>1579310</v>
      </c>
      <c r="F1192" s="196">
        <v>1579310</v>
      </c>
    </row>
    <row r="1193" spans="1:6" ht="38.25" x14ac:dyDescent="0.2">
      <c r="A1193" s="52" t="s">
        <v>1502</v>
      </c>
      <c r="B1193" s="268" t="s">
        <v>704</v>
      </c>
      <c r="C1193" s="5" t="s">
        <v>1503</v>
      </c>
      <c r="D1193" s="5" t="s">
        <v>1314</v>
      </c>
      <c r="E1193" s="195">
        <v>42390</v>
      </c>
      <c r="F1193" s="196">
        <v>42390</v>
      </c>
    </row>
    <row r="1194" spans="1:6" ht="38.25" x14ac:dyDescent="0.2">
      <c r="A1194" s="52" t="s">
        <v>1338</v>
      </c>
      <c r="B1194" s="268" t="s">
        <v>704</v>
      </c>
      <c r="C1194" s="5" t="s">
        <v>1339</v>
      </c>
      <c r="D1194" s="5" t="s">
        <v>1314</v>
      </c>
      <c r="E1194" s="195">
        <v>42390</v>
      </c>
      <c r="F1194" s="196">
        <v>42390</v>
      </c>
    </row>
    <row r="1195" spans="1:6" x14ac:dyDescent="0.2">
      <c r="A1195" s="52" t="s">
        <v>250</v>
      </c>
      <c r="B1195" s="268" t="s">
        <v>704</v>
      </c>
      <c r="C1195" s="5" t="s">
        <v>1339</v>
      </c>
      <c r="D1195" s="5" t="s">
        <v>1212</v>
      </c>
      <c r="E1195" s="195">
        <v>42390</v>
      </c>
      <c r="F1195" s="196">
        <v>42390</v>
      </c>
    </row>
    <row r="1196" spans="1:6" ht="76.5" x14ac:dyDescent="0.2">
      <c r="A1196" s="52" t="s">
        <v>252</v>
      </c>
      <c r="B1196" s="268" t="s">
        <v>704</v>
      </c>
      <c r="C1196" s="5" t="s">
        <v>1339</v>
      </c>
      <c r="D1196" s="5" t="s">
        <v>372</v>
      </c>
      <c r="E1196" s="195">
        <v>42390</v>
      </c>
      <c r="F1196" s="196">
        <v>42390</v>
      </c>
    </row>
    <row r="1197" spans="1:6" ht="267.75" x14ac:dyDescent="0.2">
      <c r="A1197" s="52" t="s">
        <v>540</v>
      </c>
      <c r="B1197" s="268" t="s">
        <v>707</v>
      </c>
      <c r="C1197" s="5" t="s">
        <v>1314</v>
      </c>
      <c r="D1197" s="5" t="s">
        <v>1314</v>
      </c>
      <c r="E1197" s="195">
        <v>777154</v>
      </c>
      <c r="F1197" s="196">
        <v>777154</v>
      </c>
    </row>
    <row r="1198" spans="1:6" ht="76.5" x14ac:dyDescent="0.2">
      <c r="A1198" s="52" t="s">
        <v>1501</v>
      </c>
      <c r="B1198" s="268" t="s">
        <v>707</v>
      </c>
      <c r="C1198" s="5" t="s">
        <v>290</v>
      </c>
      <c r="D1198" s="5" t="s">
        <v>1314</v>
      </c>
      <c r="E1198" s="195">
        <v>777154</v>
      </c>
      <c r="F1198" s="196">
        <v>777154</v>
      </c>
    </row>
    <row r="1199" spans="1:6" ht="38.25" x14ac:dyDescent="0.2">
      <c r="A1199" s="52" t="s">
        <v>1345</v>
      </c>
      <c r="B1199" s="268" t="s">
        <v>707</v>
      </c>
      <c r="C1199" s="5" t="s">
        <v>30</v>
      </c>
      <c r="D1199" s="5" t="s">
        <v>1314</v>
      </c>
      <c r="E1199" s="195">
        <v>777154</v>
      </c>
      <c r="F1199" s="196">
        <v>777154</v>
      </c>
    </row>
    <row r="1200" spans="1:6" x14ac:dyDescent="0.2">
      <c r="A1200" s="52" t="s">
        <v>250</v>
      </c>
      <c r="B1200" s="268" t="s">
        <v>707</v>
      </c>
      <c r="C1200" s="5" t="s">
        <v>30</v>
      </c>
      <c r="D1200" s="5" t="s">
        <v>1212</v>
      </c>
      <c r="E1200" s="195">
        <v>777154</v>
      </c>
      <c r="F1200" s="196">
        <v>777154</v>
      </c>
    </row>
    <row r="1201" spans="1:6" ht="76.5" x14ac:dyDescent="0.2">
      <c r="A1201" s="52" t="s">
        <v>252</v>
      </c>
      <c r="B1201" s="268" t="s">
        <v>707</v>
      </c>
      <c r="C1201" s="5" t="s">
        <v>30</v>
      </c>
      <c r="D1201" s="5" t="s">
        <v>372</v>
      </c>
      <c r="E1201" s="195">
        <v>777154</v>
      </c>
      <c r="F1201" s="196">
        <v>777154</v>
      </c>
    </row>
    <row r="1202" spans="1:6" ht="63.75" x14ac:dyDescent="0.2">
      <c r="A1202" s="52" t="s">
        <v>369</v>
      </c>
      <c r="B1202" s="268" t="s">
        <v>1070</v>
      </c>
      <c r="C1202" s="5" t="s">
        <v>1314</v>
      </c>
      <c r="D1202" s="5" t="s">
        <v>1314</v>
      </c>
      <c r="E1202" s="195">
        <v>3833218</v>
      </c>
      <c r="F1202" s="196">
        <v>3833218</v>
      </c>
    </row>
    <row r="1203" spans="1:6" ht="63.75" x14ac:dyDescent="0.2">
      <c r="A1203" s="52" t="s">
        <v>369</v>
      </c>
      <c r="B1203" s="268" t="s">
        <v>697</v>
      </c>
      <c r="C1203" s="5" t="s">
        <v>1314</v>
      </c>
      <c r="D1203" s="5" t="s">
        <v>1314</v>
      </c>
      <c r="E1203" s="195">
        <v>3781218</v>
      </c>
      <c r="F1203" s="196">
        <v>3781218</v>
      </c>
    </row>
    <row r="1204" spans="1:6" ht="76.5" x14ac:dyDescent="0.2">
      <c r="A1204" s="52" t="s">
        <v>1501</v>
      </c>
      <c r="B1204" s="268" t="s">
        <v>697</v>
      </c>
      <c r="C1204" s="5" t="s">
        <v>290</v>
      </c>
      <c r="D1204" s="5" t="s">
        <v>1314</v>
      </c>
      <c r="E1204" s="195">
        <v>3781218</v>
      </c>
      <c r="F1204" s="196">
        <v>3781218</v>
      </c>
    </row>
    <row r="1205" spans="1:6" ht="38.25" x14ac:dyDescent="0.2">
      <c r="A1205" s="52" t="s">
        <v>1345</v>
      </c>
      <c r="B1205" s="268" t="s">
        <v>697</v>
      </c>
      <c r="C1205" s="5" t="s">
        <v>30</v>
      </c>
      <c r="D1205" s="5" t="s">
        <v>1314</v>
      </c>
      <c r="E1205" s="195">
        <v>3781218</v>
      </c>
      <c r="F1205" s="196">
        <v>3781218</v>
      </c>
    </row>
    <row r="1206" spans="1:6" x14ac:dyDescent="0.2">
      <c r="A1206" s="52" t="s">
        <v>250</v>
      </c>
      <c r="B1206" s="268" t="s">
        <v>697</v>
      </c>
      <c r="C1206" s="5" t="s">
        <v>30</v>
      </c>
      <c r="D1206" s="5" t="s">
        <v>1212</v>
      </c>
      <c r="E1206" s="195">
        <v>3781218</v>
      </c>
      <c r="F1206" s="196">
        <v>3781218</v>
      </c>
    </row>
    <row r="1207" spans="1:6" ht="63.75" x14ac:dyDescent="0.2">
      <c r="A1207" s="52" t="s">
        <v>71</v>
      </c>
      <c r="B1207" s="268" t="s">
        <v>697</v>
      </c>
      <c r="C1207" s="5" t="s">
        <v>30</v>
      </c>
      <c r="D1207" s="5" t="s">
        <v>366</v>
      </c>
      <c r="E1207" s="195">
        <v>3781218</v>
      </c>
      <c r="F1207" s="196">
        <v>3781218</v>
      </c>
    </row>
    <row r="1208" spans="1:6" ht="76.5" x14ac:dyDescent="0.2">
      <c r="A1208" s="52" t="s">
        <v>1214</v>
      </c>
      <c r="B1208" s="268" t="s">
        <v>698</v>
      </c>
      <c r="C1208" s="5" t="s">
        <v>1314</v>
      </c>
      <c r="D1208" s="5" t="s">
        <v>1314</v>
      </c>
      <c r="E1208" s="195">
        <v>52000</v>
      </c>
      <c r="F1208" s="196">
        <v>52000</v>
      </c>
    </row>
    <row r="1209" spans="1:6" ht="76.5" x14ac:dyDescent="0.2">
      <c r="A1209" s="52" t="s">
        <v>1501</v>
      </c>
      <c r="B1209" s="268" t="s">
        <v>698</v>
      </c>
      <c r="C1209" s="5" t="s">
        <v>290</v>
      </c>
      <c r="D1209" s="5" t="s">
        <v>1314</v>
      </c>
      <c r="E1209" s="195">
        <v>52000</v>
      </c>
      <c r="F1209" s="196">
        <v>52000</v>
      </c>
    </row>
    <row r="1210" spans="1:6" ht="38.25" x14ac:dyDescent="0.2">
      <c r="A1210" s="52" t="s">
        <v>1345</v>
      </c>
      <c r="B1210" s="268" t="s">
        <v>698</v>
      </c>
      <c r="C1210" s="5" t="s">
        <v>30</v>
      </c>
      <c r="D1210" s="5" t="s">
        <v>1314</v>
      </c>
      <c r="E1210" s="195">
        <v>52000</v>
      </c>
      <c r="F1210" s="196">
        <v>52000</v>
      </c>
    </row>
    <row r="1211" spans="1:6" x14ac:dyDescent="0.2">
      <c r="A1211" s="52" t="s">
        <v>250</v>
      </c>
      <c r="B1211" s="268" t="s">
        <v>698</v>
      </c>
      <c r="C1211" s="5" t="s">
        <v>30</v>
      </c>
      <c r="D1211" s="5" t="s">
        <v>1212</v>
      </c>
      <c r="E1211" s="195">
        <v>52000</v>
      </c>
      <c r="F1211" s="196">
        <v>52000</v>
      </c>
    </row>
    <row r="1212" spans="1:6" ht="63.75" x14ac:dyDescent="0.2">
      <c r="A1212" s="52" t="s">
        <v>71</v>
      </c>
      <c r="B1212" s="268" t="s">
        <v>698</v>
      </c>
      <c r="C1212" s="5" t="s">
        <v>30</v>
      </c>
      <c r="D1212" s="5" t="s">
        <v>366</v>
      </c>
      <c r="E1212" s="195">
        <v>52000</v>
      </c>
      <c r="F1212" s="196">
        <v>52000</v>
      </c>
    </row>
    <row r="1213" spans="1:6" ht="76.5" x14ac:dyDescent="0.2">
      <c r="A1213" s="52" t="s">
        <v>371</v>
      </c>
      <c r="B1213" s="268" t="s">
        <v>1071</v>
      </c>
      <c r="C1213" s="5" t="s">
        <v>1314</v>
      </c>
      <c r="D1213" s="5" t="s">
        <v>1314</v>
      </c>
      <c r="E1213" s="195">
        <v>1253955</v>
      </c>
      <c r="F1213" s="196">
        <v>1253955</v>
      </c>
    </row>
    <row r="1214" spans="1:6" ht="76.5" x14ac:dyDescent="0.2">
      <c r="A1214" s="52" t="s">
        <v>371</v>
      </c>
      <c r="B1214" s="268" t="s">
        <v>699</v>
      </c>
      <c r="C1214" s="5" t="s">
        <v>1314</v>
      </c>
      <c r="D1214" s="5" t="s">
        <v>1314</v>
      </c>
      <c r="E1214" s="195">
        <v>1213955</v>
      </c>
      <c r="F1214" s="196">
        <v>1213955</v>
      </c>
    </row>
    <row r="1215" spans="1:6" ht="76.5" x14ac:dyDescent="0.2">
      <c r="A1215" s="52" t="s">
        <v>1501</v>
      </c>
      <c r="B1215" s="268" t="s">
        <v>699</v>
      </c>
      <c r="C1215" s="5" t="s">
        <v>290</v>
      </c>
      <c r="D1215" s="5" t="s">
        <v>1314</v>
      </c>
      <c r="E1215" s="195">
        <v>1213955</v>
      </c>
      <c r="F1215" s="196">
        <v>1213955</v>
      </c>
    </row>
    <row r="1216" spans="1:6" ht="38.25" x14ac:dyDescent="0.2">
      <c r="A1216" s="52" t="s">
        <v>1345</v>
      </c>
      <c r="B1216" s="268" t="s">
        <v>699</v>
      </c>
      <c r="C1216" s="5" t="s">
        <v>30</v>
      </c>
      <c r="D1216" s="5" t="s">
        <v>1314</v>
      </c>
      <c r="E1216" s="195">
        <v>1213955</v>
      </c>
      <c r="F1216" s="196">
        <v>1213955</v>
      </c>
    </row>
    <row r="1217" spans="1:6" x14ac:dyDescent="0.2">
      <c r="A1217" s="52" t="s">
        <v>250</v>
      </c>
      <c r="B1217" s="268" t="s">
        <v>699</v>
      </c>
      <c r="C1217" s="5" t="s">
        <v>30</v>
      </c>
      <c r="D1217" s="5" t="s">
        <v>1212</v>
      </c>
      <c r="E1217" s="195">
        <v>1213955</v>
      </c>
      <c r="F1217" s="196">
        <v>1213955</v>
      </c>
    </row>
    <row r="1218" spans="1:6" ht="51" x14ac:dyDescent="0.2">
      <c r="A1218" s="52" t="s">
        <v>232</v>
      </c>
      <c r="B1218" s="268" t="s">
        <v>699</v>
      </c>
      <c r="C1218" s="5" t="s">
        <v>30</v>
      </c>
      <c r="D1218" s="5" t="s">
        <v>370</v>
      </c>
      <c r="E1218" s="195">
        <v>1213955</v>
      </c>
      <c r="F1218" s="196">
        <v>1213955</v>
      </c>
    </row>
    <row r="1219" spans="1:6" ht="89.25" x14ac:dyDescent="0.2">
      <c r="A1219" s="52" t="s">
        <v>606</v>
      </c>
      <c r="B1219" s="268" t="s">
        <v>700</v>
      </c>
      <c r="C1219" s="5" t="s">
        <v>1314</v>
      </c>
      <c r="D1219" s="5" t="s">
        <v>1314</v>
      </c>
      <c r="E1219" s="195">
        <v>40000</v>
      </c>
      <c r="F1219" s="196">
        <v>40000</v>
      </c>
    </row>
    <row r="1220" spans="1:6" ht="76.5" x14ac:dyDescent="0.2">
      <c r="A1220" s="52" t="s">
        <v>1501</v>
      </c>
      <c r="B1220" s="268" t="s">
        <v>700</v>
      </c>
      <c r="C1220" s="5" t="s">
        <v>290</v>
      </c>
      <c r="D1220" s="5" t="s">
        <v>1314</v>
      </c>
      <c r="E1220" s="195">
        <v>40000</v>
      </c>
      <c r="F1220" s="196">
        <v>40000</v>
      </c>
    </row>
    <row r="1221" spans="1:6" ht="38.25" x14ac:dyDescent="0.2">
      <c r="A1221" s="52" t="s">
        <v>1345</v>
      </c>
      <c r="B1221" s="268" t="s">
        <v>700</v>
      </c>
      <c r="C1221" s="5" t="s">
        <v>30</v>
      </c>
      <c r="D1221" s="5" t="s">
        <v>1314</v>
      </c>
      <c r="E1221" s="195">
        <v>40000</v>
      </c>
      <c r="F1221" s="196">
        <v>40000</v>
      </c>
    </row>
    <row r="1222" spans="1:6" x14ac:dyDescent="0.2">
      <c r="A1222" s="52" t="s">
        <v>250</v>
      </c>
      <c r="B1222" s="268" t="s">
        <v>700</v>
      </c>
      <c r="C1222" s="5" t="s">
        <v>30</v>
      </c>
      <c r="D1222" s="5" t="s">
        <v>1212</v>
      </c>
      <c r="E1222" s="195">
        <v>40000</v>
      </c>
      <c r="F1222" s="196">
        <v>40000</v>
      </c>
    </row>
    <row r="1223" spans="1:6" ht="51" x14ac:dyDescent="0.2">
      <c r="A1223" s="52" t="s">
        <v>232</v>
      </c>
      <c r="B1223" s="268" t="s">
        <v>700</v>
      </c>
      <c r="C1223" s="5" t="s">
        <v>30</v>
      </c>
      <c r="D1223" s="5" t="s">
        <v>370</v>
      </c>
      <c r="E1223" s="195">
        <v>40000</v>
      </c>
      <c r="F1223" s="196">
        <v>40000</v>
      </c>
    </row>
    <row r="1224" spans="1:6" ht="25.5" x14ac:dyDescent="0.2">
      <c r="A1224" s="52" t="s">
        <v>648</v>
      </c>
      <c r="B1224" s="268" t="s">
        <v>1072</v>
      </c>
      <c r="C1224" s="5" t="s">
        <v>1314</v>
      </c>
      <c r="D1224" s="5" t="s">
        <v>1314</v>
      </c>
      <c r="E1224" s="195">
        <v>30213923</v>
      </c>
      <c r="F1224" s="196">
        <v>59370923</v>
      </c>
    </row>
    <row r="1225" spans="1:6" ht="51" x14ac:dyDescent="0.2">
      <c r="A1225" s="52" t="s">
        <v>467</v>
      </c>
      <c r="B1225" s="268" t="s">
        <v>1073</v>
      </c>
      <c r="C1225" s="5" t="s">
        <v>1314</v>
      </c>
      <c r="D1225" s="5" t="s">
        <v>1314</v>
      </c>
      <c r="E1225" s="195">
        <v>2000000</v>
      </c>
      <c r="F1225" s="196">
        <v>2000000</v>
      </c>
    </row>
    <row r="1226" spans="1:6" ht="51" x14ac:dyDescent="0.2">
      <c r="A1226" s="52" t="s">
        <v>467</v>
      </c>
      <c r="B1226" s="268" t="s">
        <v>850</v>
      </c>
      <c r="C1226" s="5" t="s">
        <v>1314</v>
      </c>
      <c r="D1226" s="5" t="s">
        <v>1314</v>
      </c>
      <c r="E1226" s="195">
        <v>2000000</v>
      </c>
      <c r="F1226" s="196">
        <v>2000000</v>
      </c>
    </row>
    <row r="1227" spans="1:6" x14ac:dyDescent="0.2">
      <c r="A1227" s="52" t="s">
        <v>1504</v>
      </c>
      <c r="B1227" s="268" t="s">
        <v>850</v>
      </c>
      <c r="C1227" s="5" t="s">
        <v>1505</v>
      </c>
      <c r="D1227" s="5" t="s">
        <v>1314</v>
      </c>
      <c r="E1227" s="195">
        <v>2000000</v>
      </c>
      <c r="F1227" s="196">
        <v>2000000</v>
      </c>
    </row>
    <row r="1228" spans="1:6" x14ac:dyDescent="0.2">
      <c r="A1228" s="52" t="s">
        <v>468</v>
      </c>
      <c r="B1228" s="268" t="s">
        <v>850</v>
      </c>
      <c r="C1228" s="5" t="s">
        <v>469</v>
      </c>
      <c r="D1228" s="5" t="s">
        <v>1314</v>
      </c>
      <c r="E1228" s="195">
        <v>2000000</v>
      </c>
      <c r="F1228" s="196">
        <v>2000000</v>
      </c>
    </row>
    <row r="1229" spans="1:6" x14ac:dyDescent="0.2">
      <c r="A1229" s="52" t="s">
        <v>250</v>
      </c>
      <c r="B1229" s="268" t="s">
        <v>850</v>
      </c>
      <c r="C1229" s="5" t="s">
        <v>469</v>
      </c>
      <c r="D1229" s="5" t="s">
        <v>1212</v>
      </c>
      <c r="E1229" s="195">
        <v>2000000</v>
      </c>
      <c r="F1229" s="196">
        <v>2000000</v>
      </c>
    </row>
    <row r="1230" spans="1:6" x14ac:dyDescent="0.2">
      <c r="A1230" s="52" t="s">
        <v>62</v>
      </c>
      <c r="B1230" s="268" t="s">
        <v>850</v>
      </c>
      <c r="C1230" s="5" t="s">
        <v>469</v>
      </c>
      <c r="D1230" s="5" t="s">
        <v>466</v>
      </c>
      <c r="E1230" s="195">
        <v>2000000</v>
      </c>
      <c r="F1230" s="196">
        <v>2000000</v>
      </c>
    </row>
    <row r="1231" spans="1:6" ht="89.25" x14ac:dyDescent="0.2">
      <c r="A1231" s="52" t="s">
        <v>481</v>
      </c>
      <c r="B1231" s="268" t="s">
        <v>1335</v>
      </c>
      <c r="C1231" s="5" t="s">
        <v>1314</v>
      </c>
      <c r="D1231" s="5" t="s">
        <v>1314</v>
      </c>
      <c r="E1231" s="195">
        <v>172900</v>
      </c>
      <c r="F1231" s="196">
        <v>0</v>
      </c>
    </row>
    <row r="1232" spans="1:6" ht="89.25" x14ac:dyDescent="0.2">
      <c r="A1232" s="52" t="s">
        <v>481</v>
      </c>
      <c r="B1232" s="268" t="s">
        <v>708</v>
      </c>
      <c r="C1232" s="5" t="s">
        <v>1314</v>
      </c>
      <c r="D1232" s="5" t="s">
        <v>1314</v>
      </c>
      <c r="E1232" s="195">
        <v>172900</v>
      </c>
      <c r="F1232" s="196">
        <v>0</v>
      </c>
    </row>
    <row r="1233" spans="1:6" ht="38.25" x14ac:dyDescent="0.2">
      <c r="A1233" s="52" t="s">
        <v>1502</v>
      </c>
      <c r="B1233" s="268" t="s">
        <v>708</v>
      </c>
      <c r="C1233" s="5" t="s">
        <v>1503</v>
      </c>
      <c r="D1233" s="5" t="s">
        <v>1314</v>
      </c>
      <c r="E1233" s="195">
        <v>172900</v>
      </c>
      <c r="F1233" s="196">
        <v>0</v>
      </c>
    </row>
    <row r="1234" spans="1:6" ht="38.25" x14ac:dyDescent="0.2">
      <c r="A1234" s="52" t="s">
        <v>1338</v>
      </c>
      <c r="B1234" s="268" t="s">
        <v>708</v>
      </c>
      <c r="C1234" s="5" t="s">
        <v>1339</v>
      </c>
      <c r="D1234" s="5" t="s">
        <v>1314</v>
      </c>
      <c r="E1234" s="195">
        <v>172900</v>
      </c>
      <c r="F1234" s="196">
        <v>0</v>
      </c>
    </row>
    <row r="1235" spans="1:6" x14ac:dyDescent="0.2">
      <c r="A1235" s="52" t="s">
        <v>250</v>
      </c>
      <c r="B1235" s="268" t="s">
        <v>708</v>
      </c>
      <c r="C1235" s="5" t="s">
        <v>1339</v>
      </c>
      <c r="D1235" s="5" t="s">
        <v>1212</v>
      </c>
      <c r="E1235" s="195">
        <v>172900</v>
      </c>
      <c r="F1235" s="196">
        <v>0</v>
      </c>
    </row>
    <row r="1236" spans="1:6" x14ac:dyDescent="0.2">
      <c r="A1236" s="52" t="s">
        <v>1333</v>
      </c>
      <c r="B1236" s="268" t="s">
        <v>708</v>
      </c>
      <c r="C1236" s="5" t="s">
        <v>1339</v>
      </c>
      <c r="D1236" s="5" t="s">
        <v>1334</v>
      </c>
      <c r="E1236" s="195">
        <v>172900</v>
      </c>
      <c r="F1236" s="196">
        <v>0</v>
      </c>
    </row>
    <row r="1237" spans="1:6" ht="51" x14ac:dyDescent="0.2">
      <c r="A1237" s="52" t="s">
        <v>430</v>
      </c>
      <c r="B1237" s="268" t="s">
        <v>1074</v>
      </c>
      <c r="C1237" s="5" t="s">
        <v>1314</v>
      </c>
      <c r="D1237" s="5" t="s">
        <v>1314</v>
      </c>
      <c r="E1237" s="195">
        <v>5626876</v>
      </c>
      <c r="F1237" s="196">
        <v>5626876</v>
      </c>
    </row>
    <row r="1238" spans="1:6" ht="51" x14ac:dyDescent="0.2">
      <c r="A1238" s="52" t="s">
        <v>430</v>
      </c>
      <c r="B1238" s="268" t="s">
        <v>751</v>
      </c>
      <c r="C1238" s="5" t="s">
        <v>1314</v>
      </c>
      <c r="D1238" s="5" t="s">
        <v>1314</v>
      </c>
      <c r="E1238" s="195">
        <v>5376876</v>
      </c>
      <c r="F1238" s="196">
        <v>5376876</v>
      </c>
    </row>
    <row r="1239" spans="1:6" ht="76.5" x14ac:dyDescent="0.2">
      <c r="A1239" s="52" t="s">
        <v>1501</v>
      </c>
      <c r="B1239" s="268" t="s">
        <v>751</v>
      </c>
      <c r="C1239" s="5" t="s">
        <v>290</v>
      </c>
      <c r="D1239" s="5" t="s">
        <v>1314</v>
      </c>
      <c r="E1239" s="195">
        <v>5003677</v>
      </c>
      <c r="F1239" s="196">
        <v>5003677</v>
      </c>
    </row>
    <row r="1240" spans="1:6" ht="25.5" x14ac:dyDescent="0.2">
      <c r="A1240" s="52" t="s">
        <v>1331</v>
      </c>
      <c r="B1240" s="268" t="s">
        <v>751</v>
      </c>
      <c r="C1240" s="5" t="s">
        <v>140</v>
      </c>
      <c r="D1240" s="5" t="s">
        <v>1314</v>
      </c>
      <c r="E1240" s="195">
        <v>5003677</v>
      </c>
      <c r="F1240" s="196">
        <v>5003677</v>
      </c>
    </row>
    <row r="1241" spans="1:6" ht="25.5" x14ac:dyDescent="0.2">
      <c r="A1241" s="52" t="s">
        <v>255</v>
      </c>
      <c r="B1241" s="268" t="s">
        <v>751</v>
      </c>
      <c r="C1241" s="5" t="s">
        <v>140</v>
      </c>
      <c r="D1241" s="5" t="s">
        <v>1219</v>
      </c>
      <c r="E1241" s="195">
        <v>5003677</v>
      </c>
      <c r="F1241" s="196">
        <v>5003677</v>
      </c>
    </row>
    <row r="1242" spans="1:6" ht="25.5" x14ac:dyDescent="0.2">
      <c r="A1242" s="52" t="s">
        <v>158</v>
      </c>
      <c r="B1242" s="268" t="s">
        <v>751</v>
      </c>
      <c r="C1242" s="5" t="s">
        <v>140</v>
      </c>
      <c r="D1242" s="5" t="s">
        <v>429</v>
      </c>
      <c r="E1242" s="195">
        <v>5003677</v>
      </c>
      <c r="F1242" s="196">
        <v>5003677</v>
      </c>
    </row>
    <row r="1243" spans="1:6" ht="38.25" x14ac:dyDescent="0.2">
      <c r="A1243" s="52" t="s">
        <v>1502</v>
      </c>
      <c r="B1243" s="268" t="s">
        <v>751</v>
      </c>
      <c r="C1243" s="5" t="s">
        <v>1503</v>
      </c>
      <c r="D1243" s="5" t="s">
        <v>1314</v>
      </c>
      <c r="E1243" s="195">
        <v>373199</v>
      </c>
      <c r="F1243" s="196">
        <v>373199</v>
      </c>
    </row>
    <row r="1244" spans="1:6" ht="38.25" x14ac:dyDescent="0.2">
      <c r="A1244" s="52" t="s">
        <v>1338</v>
      </c>
      <c r="B1244" s="268" t="s">
        <v>751</v>
      </c>
      <c r="C1244" s="5" t="s">
        <v>1339</v>
      </c>
      <c r="D1244" s="5" t="s">
        <v>1314</v>
      </c>
      <c r="E1244" s="195">
        <v>373199</v>
      </c>
      <c r="F1244" s="196">
        <v>373199</v>
      </c>
    </row>
    <row r="1245" spans="1:6" ht="25.5" x14ac:dyDescent="0.2">
      <c r="A1245" s="52" t="s">
        <v>255</v>
      </c>
      <c r="B1245" s="268" t="s">
        <v>751</v>
      </c>
      <c r="C1245" s="5" t="s">
        <v>1339</v>
      </c>
      <c r="D1245" s="5" t="s">
        <v>1219</v>
      </c>
      <c r="E1245" s="195">
        <v>373199</v>
      </c>
      <c r="F1245" s="196">
        <v>373199</v>
      </c>
    </row>
    <row r="1246" spans="1:6" ht="25.5" x14ac:dyDescent="0.2">
      <c r="A1246" s="52" t="s">
        <v>158</v>
      </c>
      <c r="B1246" s="268" t="s">
        <v>751</v>
      </c>
      <c r="C1246" s="5" t="s">
        <v>1339</v>
      </c>
      <c r="D1246" s="5" t="s">
        <v>429</v>
      </c>
      <c r="E1246" s="195">
        <v>373199</v>
      </c>
      <c r="F1246" s="196">
        <v>373199</v>
      </c>
    </row>
    <row r="1247" spans="1:6" ht="76.5" x14ac:dyDescent="0.2">
      <c r="A1247" s="52" t="s">
        <v>610</v>
      </c>
      <c r="B1247" s="268" t="s">
        <v>752</v>
      </c>
      <c r="C1247" s="5" t="s">
        <v>1314</v>
      </c>
      <c r="D1247" s="5" t="s">
        <v>1314</v>
      </c>
      <c r="E1247" s="195">
        <v>250000</v>
      </c>
      <c r="F1247" s="196">
        <v>250000</v>
      </c>
    </row>
    <row r="1248" spans="1:6" ht="76.5" x14ac:dyDescent="0.2">
      <c r="A1248" s="52" t="s">
        <v>1501</v>
      </c>
      <c r="B1248" s="268" t="s">
        <v>752</v>
      </c>
      <c r="C1248" s="5" t="s">
        <v>290</v>
      </c>
      <c r="D1248" s="5" t="s">
        <v>1314</v>
      </c>
      <c r="E1248" s="195">
        <v>250000</v>
      </c>
      <c r="F1248" s="196">
        <v>250000</v>
      </c>
    </row>
    <row r="1249" spans="1:6" ht="25.5" x14ac:dyDescent="0.2">
      <c r="A1249" s="52" t="s">
        <v>1331</v>
      </c>
      <c r="B1249" s="268" t="s">
        <v>752</v>
      </c>
      <c r="C1249" s="5" t="s">
        <v>140</v>
      </c>
      <c r="D1249" s="5" t="s">
        <v>1314</v>
      </c>
      <c r="E1249" s="195">
        <v>250000</v>
      </c>
      <c r="F1249" s="196">
        <v>250000</v>
      </c>
    </row>
    <row r="1250" spans="1:6" ht="25.5" x14ac:dyDescent="0.2">
      <c r="A1250" s="52" t="s">
        <v>255</v>
      </c>
      <c r="B1250" s="268" t="s">
        <v>752</v>
      </c>
      <c r="C1250" s="5" t="s">
        <v>140</v>
      </c>
      <c r="D1250" s="5" t="s">
        <v>1219</v>
      </c>
      <c r="E1250" s="195">
        <v>250000</v>
      </c>
      <c r="F1250" s="196">
        <v>250000</v>
      </c>
    </row>
    <row r="1251" spans="1:6" ht="25.5" x14ac:dyDescent="0.2">
      <c r="A1251" s="52" t="s">
        <v>158</v>
      </c>
      <c r="B1251" s="268" t="s">
        <v>752</v>
      </c>
      <c r="C1251" s="5" t="s">
        <v>140</v>
      </c>
      <c r="D1251" s="5" t="s">
        <v>429</v>
      </c>
      <c r="E1251" s="195">
        <v>250000</v>
      </c>
      <c r="F1251" s="196">
        <v>250000</v>
      </c>
    </row>
    <row r="1252" spans="1:6" ht="63.75" x14ac:dyDescent="0.2">
      <c r="A1252" s="52" t="s">
        <v>542</v>
      </c>
      <c r="B1252" s="268" t="s">
        <v>1075</v>
      </c>
      <c r="C1252" s="5" t="s">
        <v>1314</v>
      </c>
      <c r="D1252" s="5" t="s">
        <v>1314</v>
      </c>
      <c r="E1252" s="195">
        <v>60000</v>
      </c>
      <c r="F1252" s="196">
        <v>60000</v>
      </c>
    </row>
    <row r="1253" spans="1:6" ht="63.75" x14ac:dyDescent="0.2">
      <c r="A1253" s="52" t="s">
        <v>542</v>
      </c>
      <c r="B1253" s="268" t="s">
        <v>712</v>
      </c>
      <c r="C1253" s="5" t="s">
        <v>1314</v>
      </c>
      <c r="D1253" s="5" t="s">
        <v>1314</v>
      </c>
      <c r="E1253" s="195">
        <v>60000</v>
      </c>
      <c r="F1253" s="196">
        <v>60000</v>
      </c>
    </row>
    <row r="1254" spans="1:6" ht="25.5" x14ac:dyDescent="0.2">
      <c r="A1254" s="52" t="s">
        <v>1506</v>
      </c>
      <c r="B1254" s="268" t="s">
        <v>712</v>
      </c>
      <c r="C1254" s="5" t="s">
        <v>1507</v>
      </c>
      <c r="D1254" s="5" t="s">
        <v>1314</v>
      </c>
      <c r="E1254" s="195">
        <v>60000</v>
      </c>
      <c r="F1254" s="196">
        <v>60000</v>
      </c>
    </row>
    <row r="1255" spans="1:6" ht="25.5" x14ac:dyDescent="0.2">
      <c r="A1255" s="52" t="s">
        <v>378</v>
      </c>
      <c r="B1255" s="268" t="s">
        <v>712</v>
      </c>
      <c r="C1255" s="5" t="s">
        <v>379</v>
      </c>
      <c r="D1255" s="5" t="s">
        <v>1314</v>
      </c>
      <c r="E1255" s="195">
        <v>60000</v>
      </c>
      <c r="F1255" s="196">
        <v>60000</v>
      </c>
    </row>
    <row r="1256" spans="1:6" x14ac:dyDescent="0.2">
      <c r="A1256" s="52" t="s">
        <v>250</v>
      </c>
      <c r="B1256" s="268" t="s">
        <v>712</v>
      </c>
      <c r="C1256" s="5" t="s">
        <v>379</v>
      </c>
      <c r="D1256" s="5" t="s">
        <v>1212</v>
      </c>
      <c r="E1256" s="195">
        <v>60000</v>
      </c>
      <c r="F1256" s="196">
        <v>60000</v>
      </c>
    </row>
    <row r="1257" spans="1:6" x14ac:dyDescent="0.2">
      <c r="A1257" s="52" t="s">
        <v>233</v>
      </c>
      <c r="B1257" s="268" t="s">
        <v>712</v>
      </c>
      <c r="C1257" s="5" t="s">
        <v>379</v>
      </c>
      <c r="D1257" s="5" t="s">
        <v>376</v>
      </c>
      <c r="E1257" s="195">
        <v>60000</v>
      </c>
      <c r="F1257" s="196">
        <v>60000</v>
      </c>
    </row>
    <row r="1258" spans="1:6" ht="38.25" x14ac:dyDescent="0.2">
      <c r="A1258" s="52" t="s">
        <v>1124</v>
      </c>
      <c r="B1258" s="268" t="s">
        <v>1125</v>
      </c>
      <c r="C1258" s="5" t="s">
        <v>1314</v>
      </c>
      <c r="D1258" s="5" t="s">
        <v>1314</v>
      </c>
      <c r="E1258" s="195">
        <v>8441000</v>
      </c>
      <c r="F1258" s="196">
        <v>8441000</v>
      </c>
    </row>
    <row r="1259" spans="1:6" ht="38.25" x14ac:dyDescent="0.2">
      <c r="A1259" s="52" t="s">
        <v>1124</v>
      </c>
      <c r="B1259" s="268" t="s">
        <v>1146</v>
      </c>
      <c r="C1259" s="5" t="s">
        <v>1314</v>
      </c>
      <c r="D1259" s="5" t="s">
        <v>1314</v>
      </c>
      <c r="E1259" s="195">
        <v>8066647</v>
      </c>
      <c r="F1259" s="196">
        <v>8066647</v>
      </c>
    </row>
    <row r="1260" spans="1:6" ht="76.5" x14ac:dyDescent="0.2">
      <c r="A1260" s="52" t="s">
        <v>1501</v>
      </c>
      <c r="B1260" s="268" t="s">
        <v>1146</v>
      </c>
      <c r="C1260" s="5" t="s">
        <v>290</v>
      </c>
      <c r="D1260" s="5" t="s">
        <v>1314</v>
      </c>
      <c r="E1260" s="195">
        <v>7673647</v>
      </c>
      <c r="F1260" s="196">
        <v>7673647</v>
      </c>
    </row>
    <row r="1261" spans="1:6" ht="38.25" x14ac:dyDescent="0.2">
      <c r="A1261" s="52" t="s">
        <v>1345</v>
      </c>
      <c r="B1261" s="268" t="s">
        <v>1146</v>
      </c>
      <c r="C1261" s="5" t="s">
        <v>30</v>
      </c>
      <c r="D1261" s="5" t="s">
        <v>1314</v>
      </c>
      <c r="E1261" s="195">
        <v>7673647</v>
      </c>
      <c r="F1261" s="196">
        <v>7673647</v>
      </c>
    </row>
    <row r="1262" spans="1:6" x14ac:dyDescent="0.2">
      <c r="A1262" s="52" t="s">
        <v>250</v>
      </c>
      <c r="B1262" s="268" t="s">
        <v>1146</v>
      </c>
      <c r="C1262" s="5" t="s">
        <v>30</v>
      </c>
      <c r="D1262" s="5" t="s">
        <v>1212</v>
      </c>
      <c r="E1262" s="195">
        <v>7673647</v>
      </c>
      <c r="F1262" s="196">
        <v>7673647</v>
      </c>
    </row>
    <row r="1263" spans="1:6" x14ac:dyDescent="0.2">
      <c r="A1263" s="52" t="s">
        <v>233</v>
      </c>
      <c r="B1263" s="268" t="s">
        <v>1146</v>
      </c>
      <c r="C1263" s="5" t="s">
        <v>30</v>
      </c>
      <c r="D1263" s="5" t="s">
        <v>376</v>
      </c>
      <c r="E1263" s="195">
        <v>7673647</v>
      </c>
      <c r="F1263" s="196">
        <v>7673647</v>
      </c>
    </row>
    <row r="1264" spans="1:6" ht="38.25" x14ac:dyDescent="0.2">
      <c r="A1264" s="52" t="s">
        <v>1502</v>
      </c>
      <c r="B1264" s="268" t="s">
        <v>1146</v>
      </c>
      <c r="C1264" s="5" t="s">
        <v>1503</v>
      </c>
      <c r="D1264" s="5" t="s">
        <v>1314</v>
      </c>
      <c r="E1264" s="195">
        <v>393000</v>
      </c>
      <c r="F1264" s="196">
        <v>393000</v>
      </c>
    </row>
    <row r="1265" spans="1:6" ht="38.25" x14ac:dyDescent="0.2">
      <c r="A1265" s="52" t="s">
        <v>1338</v>
      </c>
      <c r="B1265" s="268" t="s">
        <v>1146</v>
      </c>
      <c r="C1265" s="5" t="s">
        <v>1339</v>
      </c>
      <c r="D1265" s="5" t="s">
        <v>1314</v>
      </c>
      <c r="E1265" s="195">
        <v>393000</v>
      </c>
      <c r="F1265" s="196">
        <v>393000</v>
      </c>
    </row>
    <row r="1266" spans="1:6" x14ac:dyDescent="0.2">
      <c r="A1266" s="52" t="s">
        <v>250</v>
      </c>
      <c r="B1266" s="268" t="s">
        <v>1146</v>
      </c>
      <c r="C1266" s="5" t="s">
        <v>1339</v>
      </c>
      <c r="D1266" s="5" t="s">
        <v>1212</v>
      </c>
      <c r="E1266" s="195">
        <v>393000</v>
      </c>
      <c r="F1266" s="196">
        <v>393000</v>
      </c>
    </row>
    <row r="1267" spans="1:6" x14ac:dyDescent="0.2">
      <c r="A1267" s="52" t="s">
        <v>233</v>
      </c>
      <c r="B1267" s="268" t="s">
        <v>1146</v>
      </c>
      <c r="C1267" s="5" t="s">
        <v>1339</v>
      </c>
      <c r="D1267" s="5" t="s">
        <v>376</v>
      </c>
      <c r="E1267" s="195">
        <v>393000</v>
      </c>
      <c r="F1267" s="196">
        <v>393000</v>
      </c>
    </row>
    <row r="1268" spans="1:6" ht="63.75" x14ac:dyDescent="0.2">
      <c r="A1268" s="52" t="s">
        <v>1223</v>
      </c>
      <c r="B1268" s="268" t="s">
        <v>1224</v>
      </c>
      <c r="C1268" s="5" t="s">
        <v>1314</v>
      </c>
      <c r="D1268" s="5" t="s">
        <v>1314</v>
      </c>
      <c r="E1268" s="195">
        <v>374353</v>
      </c>
      <c r="F1268" s="196">
        <v>374353</v>
      </c>
    </row>
    <row r="1269" spans="1:6" ht="76.5" x14ac:dyDescent="0.2">
      <c r="A1269" s="52" t="s">
        <v>1501</v>
      </c>
      <c r="B1269" s="268" t="s">
        <v>1224</v>
      </c>
      <c r="C1269" s="5" t="s">
        <v>290</v>
      </c>
      <c r="D1269" s="5" t="s">
        <v>1314</v>
      </c>
      <c r="E1269" s="195">
        <v>374353</v>
      </c>
      <c r="F1269" s="196">
        <v>374353</v>
      </c>
    </row>
    <row r="1270" spans="1:6" ht="38.25" x14ac:dyDescent="0.2">
      <c r="A1270" s="52" t="s">
        <v>1345</v>
      </c>
      <c r="B1270" s="268" t="s">
        <v>1224</v>
      </c>
      <c r="C1270" s="5" t="s">
        <v>30</v>
      </c>
      <c r="D1270" s="5" t="s">
        <v>1314</v>
      </c>
      <c r="E1270" s="195">
        <v>374353</v>
      </c>
      <c r="F1270" s="196">
        <v>374353</v>
      </c>
    </row>
    <row r="1271" spans="1:6" x14ac:dyDescent="0.2">
      <c r="A1271" s="52" t="s">
        <v>250</v>
      </c>
      <c r="B1271" s="268" t="s">
        <v>1224</v>
      </c>
      <c r="C1271" s="5" t="s">
        <v>30</v>
      </c>
      <c r="D1271" s="5" t="s">
        <v>1212</v>
      </c>
      <c r="E1271" s="195">
        <v>374353</v>
      </c>
      <c r="F1271" s="196">
        <v>374353</v>
      </c>
    </row>
    <row r="1272" spans="1:6" x14ac:dyDescent="0.2">
      <c r="A1272" s="52" t="s">
        <v>233</v>
      </c>
      <c r="B1272" s="268" t="s">
        <v>1224</v>
      </c>
      <c r="C1272" s="5" t="s">
        <v>30</v>
      </c>
      <c r="D1272" s="5" t="s">
        <v>376</v>
      </c>
      <c r="E1272" s="195">
        <v>374353</v>
      </c>
      <c r="F1272" s="196">
        <v>374353</v>
      </c>
    </row>
    <row r="1273" spans="1:6" ht="38.25" x14ac:dyDescent="0.2">
      <c r="A1273" s="52" t="s">
        <v>471</v>
      </c>
      <c r="B1273" s="268" t="s">
        <v>1076</v>
      </c>
      <c r="C1273" s="5" t="s">
        <v>1314</v>
      </c>
      <c r="D1273" s="5" t="s">
        <v>1314</v>
      </c>
      <c r="E1273" s="195">
        <v>13913147</v>
      </c>
      <c r="F1273" s="196">
        <v>43243047</v>
      </c>
    </row>
    <row r="1274" spans="1:6" ht="38.25" x14ac:dyDescent="0.2">
      <c r="A1274" s="52" t="s">
        <v>471</v>
      </c>
      <c r="B1274" s="268" t="s">
        <v>852</v>
      </c>
      <c r="C1274" s="5" t="s">
        <v>1314</v>
      </c>
      <c r="D1274" s="5" t="s">
        <v>1314</v>
      </c>
      <c r="E1274" s="195">
        <v>13875247</v>
      </c>
      <c r="F1274" s="196">
        <v>43205147</v>
      </c>
    </row>
    <row r="1275" spans="1:6" ht="25.5" x14ac:dyDescent="0.2">
      <c r="A1275" s="52" t="s">
        <v>1506</v>
      </c>
      <c r="B1275" s="268" t="s">
        <v>852</v>
      </c>
      <c r="C1275" s="5" t="s">
        <v>1507</v>
      </c>
      <c r="D1275" s="5" t="s">
        <v>1314</v>
      </c>
      <c r="E1275" s="195">
        <v>2405107</v>
      </c>
      <c r="F1275" s="196">
        <v>2405107</v>
      </c>
    </row>
    <row r="1276" spans="1:6" ht="25.5" x14ac:dyDescent="0.2">
      <c r="A1276" s="52" t="s">
        <v>1346</v>
      </c>
      <c r="B1276" s="268" t="s">
        <v>852</v>
      </c>
      <c r="C1276" s="5" t="s">
        <v>1347</v>
      </c>
      <c r="D1276" s="5" t="s">
        <v>1314</v>
      </c>
      <c r="E1276" s="195">
        <v>2405107</v>
      </c>
      <c r="F1276" s="196">
        <v>2405107</v>
      </c>
    </row>
    <row r="1277" spans="1:6" x14ac:dyDescent="0.2">
      <c r="A1277" s="52" t="s">
        <v>148</v>
      </c>
      <c r="B1277" s="268" t="s">
        <v>852</v>
      </c>
      <c r="C1277" s="5" t="s">
        <v>1347</v>
      </c>
      <c r="D1277" s="5" t="s">
        <v>1221</v>
      </c>
      <c r="E1277" s="195">
        <v>2405107</v>
      </c>
      <c r="F1277" s="196">
        <v>2405107</v>
      </c>
    </row>
    <row r="1278" spans="1:6" x14ac:dyDescent="0.2">
      <c r="A1278" s="52" t="s">
        <v>104</v>
      </c>
      <c r="B1278" s="268" t="s">
        <v>852</v>
      </c>
      <c r="C1278" s="5" t="s">
        <v>1347</v>
      </c>
      <c r="D1278" s="5" t="s">
        <v>415</v>
      </c>
      <c r="E1278" s="195">
        <v>2405107</v>
      </c>
      <c r="F1278" s="196">
        <v>2405107</v>
      </c>
    </row>
    <row r="1279" spans="1:6" ht="25.5" x14ac:dyDescent="0.2">
      <c r="A1279" s="52" t="s">
        <v>2110</v>
      </c>
      <c r="B1279" s="268" t="s">
        <v>852</v>
      </c>
      <c r="C1279" s="5" t="s">
        <v>2111</v>
      </c>
      <c r="D1279" s="5" t="s">
        <v>1314</v>
      </c>
      <c r="E1279" s="195">
        <v>2740</v>
      </c>
      <c r="F1279" s="196">
        <v>2740</v>
      </c>
    </row>
    <row r="1280" spans="1:6" x14ac:dyDescent="0.2">
      <c r="A1280" s="52" t="s">
        <v>2112</v>
      </c>
      <c r="B1280" s="268" t="s">
        <v>852</v>
      </c>
      <c r="C1280" s="5" t="s">
        <v>2113</v>
      </c>
      <c r="D1280" s="5" t="s">
        <v>1314</v>
      </c>
      <c r="E1280" s="195">
        <v>2740</v>
      </c>
      <c r="F1280" s="196">
        <v>2740</v>
      </c>
    </row>
    <row r="1281" spans="1:6" ht="25.5" x14ac:dyDescent="0.2">
      <c r="A1281" s="52" t="s">
        <v>2106</v>
      </c>
      <c r="B1281" s="268" t="s">
        <v>852</v>
      </c>
      <c r="C1281" s="5" t="s">
        <v>2113</v>
      </c>
      <c r="D1281" s="5" t="s">
        <v>2107</v>
      </c>
      <c r="E1281" s="195">
        <v>2740</v>
      </c>
      <c r="F1281" s="196">
        <v>2740</v>
      </c>
    </row>
    <row r="1282" spans="1:6" ht="25.5" x14ac:dyDescent="0.2">
      <c r="A1282" s="52" t="s">
        <v>2108</v>
      </c>
      <c r="B1282" s="268" t="s">
        <v>852</v>
      </c>
      <c r="C1282" s="5" t="s">
        <v>2113</v>
      </c>
      <c r="D1282" s="5" t="s">
        <v>2109</v>
      </c>
      <c r="E1282" s="195">
        <v>2740</v>
      </c>
      <c r="F1282" s="196">
        <v>2740</v>
      </c>
    </row>
    <row r="1283" spans="1:6" x14ac:dyDescent="0.2">
      <c r="A1283" s="52" t="s">
        <v>1504</v>
      </c>
      <c r="B1283" s="268" t="s">
        <v>852</v>
      </c>
      <c r="C1283" s="5" t="s">
        <v>1505</v>
      </c>
      <c r="D1283" s="5" t="s">
        <v>1314</v>
      </c>
      <c r="E1283" s="195">
        <v>11467400</v>
      </c>
      <c r="F1283" s="196">
        <v>40797300</v>
      </c>
    </row>
    <row r="1284" spans="1:6" x14ac:dyDescent="0.2">
      <c r="A1284" s="52" t="s">
        <v>1352</v>
      </c>
      <c r="B1284" s="268" t="s">
        <v>852</v>
      </c>
      <c r="C1284" s="5" t="s">
        <v>214</v>
      </c>
      <c r="D1284" s="5" t="s">
        <v>1314</v>
      </c>
      <c r="E1284" s="195">
        <v>100000</v>
      </c>
      <c r="F1284" s="196">
        <v>100000</v>
      </c>
    </row>
    <row r="1285" spans="1:6" x14ac:dyDescent="0.2">
      <c r="A1285" s="52" t="s">
        <v>250</v>
      </c>
      <c r="B1285" s="268" t="s">
        <v>852</v>
      </c>
      <c r="C1285" s="5" t="s">
        <v>214</v>
      </c>
      <c r="D1285" s="5" t="s">
        <v>1212</v>
      </c>
      <c r="E1285" s="195">
        <v>100000</v>
      </c>
      <c r="F1285" s="196">
        <v>100000</v>
      </c>
    </row>
    <row r="1286" spans="1:6" x14ac:dyDescent="0.2">
      <c r="A1286" s="52" t="s">
        <v>233</v>
      </c>
      <c r="B1286" s="268" t="s">
        <v>852</v>
      </c>
      <c r="C1286" s="5" t="s">
        <v>214</v>
      </c>
      <c r="D1286" s="5" t="s">
        <v>376</v>
      </c>
      <c r="E1286" s="195">
        <v>100000</v>
      </c>
      <c r="F1286" s="196">
        <v>100000</v>
      </c>
    </row>
    <row r="1287" spans="1:6" x14ac:dyDescent="0.2">
      <c r="A1287" s="52" t="s">
        <v>468</v>
      </c>
      <c r="B1287" s="268" t="s">
        <v>852</v>
      </c>
      <c r="C1287" s="5" t="s">
        <v>469</v>
      </c>
      <c r="D1287" s="5" t="s">
        <v>1314</v>
      </c>
      <c r="E1287" s="195">
        <v>11367400</v>
      </c>
      <c r="F1287" s="196">
        <v>40697300</v>
      </c>
    </row>
    <row r="1288" spans="1:6" x14ac:dyDescent="0.2">
      <c r="A1288" s="52" t="s">
        <v>250</v>
      </c>
      <c r="B1288" s="268" t="s">
        <v>852</v>
      </c>
      <c r="C1288" s="5" t="s">
        <v>469</v>
      </c>
      <c r="D1288" s="5" t="s">
        <v>1212</v>
      </c>
      <c r="E1288" s="5">
        <v>11367400</v>
      </c>
      <c r="F1288" s="291">
        <v>40697300</v>
      </c>
    </row>
    <row r="1289" spans="1:6" x14ac:dyDescent="0.2">
      <c r="A1289" s="52" t="s">
        <v>233</v>
      </c>
      <c r="B1289" s="268" t="s">
        <v>852</v>
      </c>
      <c r="C1289" s="5" t="s">
        <v>469</v>
      </c>
      <c r="D1289" s="5" t="s">
        <v>376</v>
      </c>
      <c r="E1289" s="195">
        <v>11367400</v>
      </c>
      <c r="F1289" s="291">
        <v>40697300</v>
      </c>
    </row>
    <row r="1290" spans="1:6" ht="63.75" x14ac:dyDescent="0.2">
      <c r="A1290" s="52" t="s">
        <v>737</v>
      </c>
      <c r="B1290" s="268" t="s">
        <v>738</v>
      </c>
      <c r="C1290" s="5" t="s">
        <v>1314</v>
      </c>
      <c r="D1290" s="5" t="s">
        <v>1314</v>
      </c>
      <c r="E1290" s="195">
        <v>37900</v>
      </c>
      <c r="F1290" s="291">
        <v>37900</v>
      </c>
    </row>
    <row r="1291" spans="1:6" x14ac:dyDescent="0.2">
      <c r="A1291" s="5" t="s">
        <v>1502</v>
      </c>
      <c r="B1291" s="268" t="s">
        <v>738</v>
      </c>
      <c r="C1291" s="5" t="s">
        <v>1503</v>
      </c>
      <c r="D1291" s="5" t="s">
        <v>1314</v>
      </c>
      <c r="E1291" s="195">
        <v>37900</v>
      </c>
      <c r="F1291" s="291">
        <v>37900</v>
      </c>
    </row>
    <row r="1292" spans="1:6" ht="38.25" x14ac:dyDescent="0.2">
      <c r="A1292" s="52" t="s">
        <v>1338</v>
      </c>
      <c r="B1292" s="268" t="s">
        <v>738</v>
      </c>
      <c r="C1292" s="5" t="s">
        <v>1339</v>
      </c>
      <c r="D1292" s="5" t="s">
        <v>1314</v>
      </c>
      <c r="E1292" s="435">
        <v>37900</v>
      </c>
      <c r="F1292" s="291">
        <v>37900</v>
      </c>
    </row>
    <row r="1293" spans="1:6" ht="25.5" x14ac:dyDescent="0.2">
      <c r="A1293" s="52" t="s">
        <v>255</v>
      </c>
      <c r="B1293" s="268" t="s">
        <v>738</v>
      </c>
      <c r="C1293" s="5" t="s">
        <v>1339</v>
      </c>
      <c r="D1293" s="5" t="s">
        <v>1219</v>
      </c>
      <c r="E1293" s="435">
        <v>37900</v>
      </c>
      <c r="F1293" s="291">
        <v>37900</v>
      </c>
    </row>
    <row r="1294" spans="1:6" x14ac:dyDescent="0.2">
      <c r="A1294" s="52" t="s">
        <v>153</v>
      </c>
      <c r="B1294" s="268" t="s">
        <v>738</v>
      </c>
      <c r="C1294" s="5" t="s">
        <v>1339</v>
      </c>
      <c r="D1294" s="5" t="s">
        <v>404</v>
      </c>
      <c r="E1294" s="435">
        <v>37900</v>
      </c>
      <c r="F1294" s="291">
        <v>37900</v>
      </c>
    </row>
    <row r="1295" spans="1:6" x14ac:dyDescent="0.2">
      <c r="A1295" s="52" t="s">
        <v>2105</v>
      </c>
      <c r="B1295" s="268"/>
      <c r="C1295" s="5"/>
      <c r="D1295" s="5"/>
      <c r="E1295" s="291">
        <v>28000000</v>
      </c>
      <c r="F1295" s="291">
        <v>58500000</v>
      </c>
    </row>
  </sheetData>
  <autoFilter ref="A6:F1150"/>
  <mergeCells count="7">
    <mergeCell ref="A1:F1"/>
    <mergeCell ref="A2:F2"/>
    <mergeCell ref="A3:F3"/>
    <mergeCell ref="A5:A6"/>
    <mergeCell ref="B5:D5"/>
    <mergeCell ref="E5:E6"/>
    <mergeCell ref="F5:F6"/>
  </mergeCells>
  <pageMargins left="0.70866141732283472" right="0.31496062992125984" top="0.55118110236220474"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tabColor rgb="FF00B0F0"/>
  </sheetPr>
  <dimension ref="A1:M10"/>
  <sheetViews>
    <sheetView topLeftCell="A4" workbookViewId="0">
      <selection activeCell="F6" sqref="F6"/>
    </sheetView>
  </sheetViews>
  <sheetFormatPr defaultRowHeight="14.25" x14ac:dyDescent="0.2"/>
  <cols>
    <col min="1" max="1" width="4.140625" style="26" customWidth="1"/>
    <col min="2" max="2" width="47.42578125" style="30" customWidth="1"/>
    <col min="3" max="3" width="16.28515625" style="30" hidden="1" customWidth="1"/>
    <col min="4" max="6" width="13.42578125" style="31" customWidth="1"/>
    <col min="7" max="7" width="13.42578125" style="31" hidden="1" customWidth="1"/>
    <col min="8" max="8" width="16" style="31" hidden="1" customWidth="1"/>
    <col min="9" max="9" width="14.5703125" style="26" hidden="1" customWidth="1"/>
    <col min="10" max="10" width="13" style="26" hidden="1" customWidth="1"/>
    <col min="11" max="11" width="14" style="26" hidden="1" customWidth="1"/>
    <col min="12" max="12" width="12.42578125" style="26" hidden="1" customWidth="1"/>
    <col min="13" max="13" width="12.5703125" style="26" hidden="1" customWidth="1"/>
    <col min="14" max="14" width="0" style="26" hidden="1" customWidth="1"/>
    <col min="15" max="16384" width="9.140625" style="26"/>
  </cols>
  <sheetData>
    <row r="1" spans="1:13" ht="44.25" hidden="1" customHeight="1" x14ac:dyDescent="0.2">
      <c r="A1" s="444" t="str">
        <f>"Приложение №"&amp;Н2публ&amp;"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c r="C1" s="444"/>
      <c r="D1" s="444"/>
      <c r="E1" s="444"/>
      <c r="F1" s="444"/>
    </row>
    <row r="2" spans="1:13" s="97" customFormat="1" ht="47.25" customHeight="1" x14ac:dyDescent="0.2">
      <c r="A2" s="444" t="str">
        <f>"Приложение "&amp;Н1Публ&amp;" к решению
Богучанского районного Совета депутатов
от "&amp;Р1дата&amp;" года №"&amp;Р1номер</f>
        <v>Приложение 11 к решению
Богучанского районного Совета депутатов
от  04.12.2020 года №5/1-16</v>
      </c>
      <c r="B2" s="444"/>
      <c r="C2" s="444"/>
      <c r="D2" s="444"/>
      <c r="E2" s="444"/>
      <c r="F2" s="444"/>
      <c r="G2" s="104"/>
      <c r="H2" s="104"/>
    </row>
    <row r="3" spans="1:13" s="21" customFormat="1" ht="67.5" customHeight="1" x14ac:dyDescent="0.25">
      <c r="A3" s="443" t="str">
        <f>"Перечень публичных нормативных обязательств районного бюджета на "&amp;год&amp;" год и плановый период "&amp;ПлПер&amp;" годов"</f>
        <v>Перечень публичных нормативных обязательств районного бюджета на 2021 год и плановый период 2022-2023 годов</v>
      </c>
      <c r="B3" s="443"/>
      <c r="C3" s="443"/>
      <c r="D3" s="443"/>
      <c r="E3" s="443"/>
      <c r="F3" s="443"/>
      <c r="G3" s="103"/>
      <c r="H3" s="103"/>
    </row>
    <row r="4" spans="1:13" s="21" customFormat="1" ht="13.5" customHeight="1" x14ac:dyDescent="0.2">
      <c r="B4" s="20"/>
      <c r="C4" s="20"/>
      <c r="E4" s="8"/>
      <c r="F4" s="8" t="s">
        <v>73</v>
      </c>
      <c r="G4" s="8"/>
      <c r="H4" s="8"/>
    </row>
    <row r="5" spans="1:13" s="23" customFormat="1" ht="36" customHeight="1" x14ac:dyDescent="0.2">
      <c r="A5" s="22"/>
      <c r="B5" s="22" t="s">
        <v>22</v>
      </c>
      <c r="C5" s="22" t="s">
        <v>17</v>
      </c>
      <c r="D5" s="22" t="s">
        <v>1417</v>
      </c>
      <c r="E5" s="22" t="s">
        <v>2084</v>
      </c>
      <c r="F5" s="22" t="s">
        <v>2082</v>
      </c>
      <c r="G5" s="107"/>
      <c r="H5" s="110" t="s">
        <v>276</v>
      </c>
      <c r="I5" s="108" t="s">
        <v>603</v>
      </c>
      <c r="J5" s="108" t="s">
        <v>417</v>
      </c>
      <c r="K5" s="108" t="s">
        <v>649</v>
      </c>
      <c r="L5" s="108" t="s">
        <v>604</v>
      </c>
      <c r="M5" s="108" t="s">
        <v>379</v>
      </c>
    </row>
    <row r="6" spans="1:13" s="23" customFormat="1" ht="57" x14ac:dyDescent="0.2">
      <c r="A6" s="45">
        <v>1</v>
      </c>
      <c r="B6" s="46" t="s">
        <v>1149</v>
      </c>
      <c r="C6" s="47"/>
      <c r="D6" s="48">
        <f>D7</f>
        <v>60000</v>
      </c>
      <c r="E6" s="48">
        <f>E7</f>
        <v>60000</v>
      </c>
      <c r="F6" s="48">
        <f>F7</f>
        <v>60000</v>
      </c>
      <c r="G6" s="109">
        <v>2016</v>
      </c>
      <c r="H6" s="111">
        <f>I6+J6+L6+K6+M6-D10</f>
        <v>6589880</v>
      </c>
      <c r="I6" s="9">
        <f>SUMIF(квр13,I$5,СумВед)</f>
        <v>0</v>
      </c>
      <c r="J6" s="9">
        <f>SUMIF(квр13,J$5,СумВед)</f>
        <v>2405107</v>
      </c>
      <c r="K6" s="9">
        <f>SUMIF(квр13,K$5,СумВед)</f>
        <v>1500000</v>
      </c>
      <c r="L6" s="9">
        <f>SUMIF(квр13,L$5,СумВед)</f>
        <v>5089880</v>
      </c>
      <c r="M6" s="9">
        <f>SUMIF(квр13,M$5,СумВед)</f>
        <v>60000</v>
      </c>
    </row>
    <row r="7" spans="1:13" s="23" customFormat="1" ht="42.75" x14ac:dyDescent="0.2">
      <c r="A7" s="175" t="s">
        <v>671</v>
      </c>
      <c r="B7" s="46" t="s">
        <v>13</v>
      </c>
      <c r="C7" s="47" t="s">
        <v>173</v>
      </c>
      <c r="D7" s="48">
        <v>60000</v>
      </c>
      <c r="E7" s="48">
        <v>60000</v>
      </c>
      <c r="F7" s="48">
        <v>60000</v>
      </c>
      <c r="G7" s="109">
        <v>2017</v>
      </c>
      <c r="H7" s="111">
        <f>I7+J7+L7+K7+M7-E10</f>
        <v>-2405107</v>
      </c>
      <c r="I7" s="9">
        <f>SUMIF(кврПлПер,I$5,СумВед14)</f>
        <v>0</v>
      </c>
      <c r="J7" s="9">
        <f>SUMIF(кврПлПер,J$5,СумВед14)</f>
        <v>0</v>
      </c>
      <c r="K7" s="9">
        <f>SUMIF(кврПлПер,K$5,СумВед14)</f>
        <v>0</v>
      </c>
      <c r="L7" s="9">
        <f>SUMIF(кврПлПер,L$5,СумВед14)</f>
        <v>0</v>
      </c>
      <c r="M7" s="9">
        <f>SUMIF(кврПлПер,M$5,СумВед14)</f>
        <v>60000</v>
      </c>
    </row>
    <row r="8" spans="1:13" s="23" customFormat="1" ht="171" x14ac:dyDescent="0.2">
      <c r="A8" s="45" t="s">
        <v>14</v>
      </c>
      <c r="B8" s="140" t="s">
        <v>1361</v>
      </c>
      <c r="C8" s="49"/>
      <c r="D8" s="48">
        <f>D9</f>
        <v>2405107</v>
      </c>
      <c r="E8" s="48">
        <f>E9</f>
        <v>2405107</v>
      </c>
      <c r="F8" s="48">
        <f>F9</f>
        <v>2405107</v>
      </c>
      <c r="G8" s="109">
        <v>2018</v>
      </c>
      <c r="H8" s="111">
        <f>I8+J8+L8+K8+M8-F10</f>
        <v>-2405107</v>
      </c>
      <c r="I8" s="9">
        <f>SUMIF(кврПлПер,I$5,СумВед15)</f>
        <v>0</v>
      </c>
      <c r="J8" s="9">
        <f>SUMIF(кврПлПер,J$5,СумВед15)</f>
        <v>0</v>
      </c>
      <c r="K8" s="9">
        <f>SUMIF(кврПлПер,K$5,СумВед15)</f>
        <v>0</v>
      </c>
      <c r="L8" s="9">
        <f>SUMIF(кврПлПер,L$5,СумВед15)</f>
        <v>0</v>
      </c>
      <c r="M8" s="9">
        <f>SUMIF(кврПлПер,M$5,СумВед15)</f>
        <v>60000</v>
      </c>
    </row>
    <row r="9" spans="1:13" s="23" customFormat="1" ht="57" x14ac:dyDescent="0.2">
      <c r="A9" s="45" t="s">
        <v>15</v>
      </c>
      <c r="B9" s="46" t="s">
        <v>16</v>
      </c>
      <c r="C9" s="47" t="s">
        <v>18</v>
      </c>
      <c r="D9" s="48">
        <v>2405107</v>
      </c>
      <c r="E9" s="48">
        <v>2405107</v>
      </c>
      <c r="F9" s="48">
        <v>2405107</v>
      </c>
      <c r="G9" s="105"/>
      <c r="H9" s="105"/>
    </row>
    <row r="10" spans="1:13" s="29" customFormat="1" ht="15" x14ac:dyDescent="0.25">
      <c r="A10" s="50"/>
      <c r="B10" s="27" t="s">
        <v>174</v>
      </c>
      <c r="C10" s="27"/>
      <c r="D10" s="28">
        <f>SUM(D6,D8)</f>
        <v>2465107</v>
      </c>
      <c r="E10" s="28">
        <f>SUM(E6,E8)</f>
        <v>2465107</v>
      </c>
      <c r="F10" s="28">
        <f>SUM(F6,F8)</f>
        <v>2465107</v>
      </c>
      <c r="G10" s="106"/>
      <c r="H10" s="106"/>
    </row>
  </sheetData>
  <mergeCells count="3">
    <mergeCell ref="A3:F3"/>
    <mergeCell ref="A2:F2"/>
    <mergeCell ref="A1:F1"/>
  </mergeCells>
  <phoneticPr fontId="3" type="noConversion"/>
  <pageMargins left="0.78740157480314965" right="0.19685039370078741" top="0.39370078740157483" bottom="0.39370078740157483" header="0" footer="0"/>
  <pageSetup paperSize="9" fitToHeight="0"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4"/>
  <sheetViews>
    <sheetView workbookViewId="0">
      <selection activeCell="B7" sqref="B7:B24"/>
    </sheetView>
  </sheetViews>
  <sheetFormatPr defaultRowHeight="12.75" x14ac:dyDescent="0.2"/>
  <cols>
    <col min="1" max="1" width="69" customWidth="1"/>
    <col min="2" max="2" width="27" customWidth="1"/>
    <col min="3" max="3" width="14.42578125" hidden="1" customWidth="1"/>
    <col min="4" max="4" width="14.28515625" hidden="1" customWidth="1"/>
  </cols>
  <sheetData>
    <row r="1" spans="1:4" ht="45.75" customHeight="1" x14ac:dyDescent="0.2">
      <c r="A1" s="444" t="str">
        <f>"Приложение №"&amp;H2зппов&amp;"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c r="C1" s="444"/>
      <c r="D1" s="444"/>
    </row>
    <row r="2" spans="1:4" ht="63" customHeight="1" x14ac:dyDescent="0.2">
      <c r="A2" s="444" t="str">
        <f>"Приложение №"&amp;H1зппов&amp;" к решению
Богучанского районного Совета депутатов
от "&amp;Р1дата&amp;" года №"&amp;Р1номер</f>
        <v>Приложение № к решению
Богучанского районного Совета депутатов
от  04.12.2020 года №5/1-16</v>
      </c>
      <c r="B2" s="444"/>
      <c r="C2" s="444"/>
      <c r="D2" s="444"/>
    </row>
    <row r="3" spans="1:4" ht="90" customHeight="1" x14ac:dyDescent="0.2">
      <c r="A3" s="484"/>
      <c r="B3" s="484"/>
      <c r="C3" s="484"/>
      <c r="D3" s="484"/>
    </row>
    <row r="4" spans="1:4" x14ac:dyDescent="0.2">
      <c r="A4" s="177"/>
      <c r="B4" s="8"/>
      <c r="C4" s="8"/>
      <c r="D4" s="178" t="s">
        <v>73</v>
      </c>
    </row>
    <row r="5" spans="1:4" ht="15" x14ac:dyDescent="0.2">
      <c r="A5" s="199" t="s">
        <v>22</v>
      </c>
      <c r="B5" s="199" t="s">
        <v>1417</v>
      </c>
      <c r="C5" s="199" t="s">
        <v>1417</v>
      </c>
      <c r="D5" s="199" t="s">
        <v>1523</v>
      </c>
    </row>
    <row r="6" spans="1:4" ht="15" x14ac:dyDescent="0.2">
      <c r="A6" s="179" t="s">
        <v>74</v>
      </c>
      <c r="B6" s="301">
        <f>SUM(B7:B24)</f>
        <v>0</v>
      </c>
      <c r="C6" s="301" t="e">
        <f>SUM(#REF!)</f>
        <v>#REF!</v>
      </c>
      <c r="D6" s="301" t="e">
        <f>SUM(#REF!)</f>
        <v>#REF!</v>
      </c>
    </row>
    <row r="7" spans="1:4" ht="15" x14ac:dyDescent="0.2">
      <c r="A7" s="379" t="s">
        <v>59</v>
      </c>
      <c r="B7" s="381"/>
    </row>
    <row r="8" spans="1:4" ht="15" x14ac:dyDescent="0.2">
      <c r="A8" s="379" t="s">
        <v>1876</v>
      </c>
      <c r="B8" s="381"/>
    </row>
    <row r="9" spans="1:4" ht="15" x14ac:dyDescent="0.2">
      <c r="A9" s="379" t="s">
        <v>171</v>
      </c>
      <c r="B9" s="381"/>
    </row>
    <row r="10" spans="1:4" ht="15" x14ac:dyDescent="0.2">
      <c r="A10" s="379" t="s">
        <v>60</v>
      </c>
      <c r="B10" s="381"/>
    </row>
    <row r="11" spans="1:4" ht="15" x14ac:dyDescent="0.2">
      <c r="A11" s="379" t="s">
        <v>61</v>
      </c>
      <c r="B11" s="381"/>
    </row>
    <row r="12" spans="1:4" ht="15" x14ac:dyDescent="0.2">
      <c r="A12" s="379" t="s">
        <v>247</v>
      </c>
      <c r="B12" s="381"/>
    </row>
    <row r="13" spans="1:4" ht="15" x14ac:dyDescent="0.2">
      <c r="A13" s="379" t="s">
        <v>1121</v>
      </c>
      <c r="B13" s="381"/>
    </row>
    <row r="14" spans="1:4" ht="15" x14ac:dyDescent="0.2">
      <c r="A14" s="379" t="s">
        <v>142</v>
      </c>
      <c r="B14" s="381"/>
    </row>
    <row r="15" spans="1:4" ht="15" x14ac:dyDescent="0.2">
      <c r="A15" s="379" t="s">
        <v>143</v>
      </c>
      <c r="B15" s="381"/>
    </row>
    <row r="16" spans="1:4" ht="15" x14ac:dyDescent="0.2">
      <c r="A16" s="379" t="s">
        <v>87</v>
      </c>
      <c r="B16" s="381"/>
    </row>
    <row r="17" spans="1:2" ht="15" x14ac:dyDescent="0.2">
      <c r="A17" s="379" t="s">
        <v>89</v>
      </c>
      <c r="B17" s="381"/>
    </row>
    <row r="18" spans="1:2" ht="15" x14ac:dyDescent="0.2">
      <c r="A18" s="379" t="s">
        <v>172</v>
      </c>
      <c r="B18" s="381"/>
    </row>
    <row r="19" spans="1:2" ht="15" x14ac:dyDescent="0.2">
      <c r="A19" s="379" t="s">
        <v>88</v>
      </c>
      <c r="B19" s="381"/>
    </row>
    <row r="20" spans="1:2" ht="15" x14ac:dyDescent="0.2">
      <c r="A20" s="379" t="s">
        <v>1877</v>
      </c>
      <c r="B20" s="381"/>
    </row>
    <row r="21" spans="1:2" ht="15" x14ac:dyDescent="0.25">
      <c r="A21" s="382" t="s">
        <v>1879</v>
      </c>
      <c r="B21" s="381"/>
    </row>
    <row r="22" spans="1:2" ht="15" x14ac:dyDescent="0.2">
      <c r="A22" s="379" t="s">
        <v>145</v>
      </c>
      <c r="B22" s="381"/>
    </row>
    <row r="23" spans="1:2" ht="15" x14ac:dyDescent="0.2">
      <c r="A23" s="379" t="s">
        <v>146</v>
      </c>
      <c r="B23" s="381"/>
    </row>
    <row r="24" spans="1:2" ht="15" x14ac:dyDescent="0.25">
      <c r="A24" s="382" t="s">
        <v>92</v>
      </c>
      <c r="B24" s="381"/>
    </row>
  </sheetData>
  <mergeCells count="3">
    <mergeCell ref="A1:D1"/>
    <mergeCell ref="A2:D2"/>
    <mergeCell ref="A3:D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11"/>
  <sheetViews>
    <sheetView workbookViewId="0">
      <selection activeCell="B7" sqref="B7:B11"/>
    </sheetView>
  </sheetViews>
  <sheetFormatPr defaultRowHeight="12.75" x14ac:dyDescent="0.2"/>
  <cols>
    <col min="1" max="1" width="69" customWidth="1"/>
    <col min="2" max="2" width="27" customWidth="1"/>
    <col min="3" max="3" width="14.42578125" hidden="1" customWidth="1"/>
    <col min="4" max="4" width="14.28515625" hidden="1" customWidth="1"/>
  </cols>
  <sheetData>
    <row r="1" spans="1:4" ht="45.75" customHeight="1" x14ac:dyDescent="0.2">
      <c r="A1" s="444" t="str">
        <f>"Приложение №"&amp;H2благ&amp;"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c r="C1" s="444"/>
      <c r="D1" s="444"/>
    </row>
    <row r="2" spans="1:4" ht="63" customHeight="1" x14ac:dyDescent="0.2">
      <c r="A2" s="444" t="str">
        <f>"Приложение №"&amp;H1благ&amp;" к решению
Богучанского районного Совета депутатов
от "&amp;Р1дата&amp;" года №"&amp;Р1номер</f>
        <v>Приложение № к решению
Богучанского районного Совета депутатов
от  04.12.2020 года №5/1-16</v>
      </c>
      <c r="B2" s="444"/>
      <c r="C2" s="444"/>
      <c r="D2" s="444"/>
    </row>
    <row r="3" spans="1:4" ht="137.25" customHeight="1" x14ac:dyDescent="0.2">
      <c r="A3" s="484" t="s">
        <v>2094</v>
      </c>
      <c r="B3" s="484"/>
      <c r="C3" s="484"/>
      <c r="D3" s="484"/>
    </row>
    <row r="4" spans="1:4" x14ac:dyDescent="0.2">
      <c r="A4" s="177"/>
      <c r="B4" s="8"/>
      <c r="C4" s="8"/>
      <c r="D4" s="178" t="s">
        <v>73</v>
      </c>
    </row>
    <row r="5" spans="1:4" ht="15" x14ac:dyDescent="0.2">
      <c r="A5" s="199" t="s">
        <v>22</v>
      </c>
      <c r="B5" s="199" t="s">
        <v>1417</v>
      </c>
      <c r="C5" s="199" t="s">
        <v>1417</v>
      </c>
      <c r="D5" s="199" t="s">
        <v>1523</v>
      </c>
    </row>
    <row r="6" spans="1:4" ht="15" x14ac:dyDescent="0.2">
      <c r="A6" s="179" t="s">
        <v>74</v>
      </c>
      <c r="B6" s="301">
        <f>SUM(B7:B11)</f>
        <v>0</v>
      </c>
      <c r="C6" s="301">
        <f>SUM(C7:C11)</f>
        <v>0</v>
      </c>
      <c r="D6" s="301">
        <f>SUM(D7:D11)</f>
        <v>0</v>
      </c>
    </row>
    <row r="7" spans="1:4" ht="15" x14ac:dyDescent="0.25">
      <c r="A7" s="379" t="s">
        <v>61</v>
      </c>
      <c r="B7" s="380"/>
      <c r="C7" s="180"/>
      <c r="D7" s="180"/>
    </row>
    <row r="8" spans="1:4" ht="15" x14ac:dyDescent="0.25">
      <c r="A8" s="379" t="s">
        <v>1121</v>
      </c>
      <c r="B8" s="380"/>
      <c r="C8" s="180"/>
      <c r="D8" s="180"/>
    </row>
    <row r="9" spans="1:4" ht="15" x14ac:dyDescent="0.25">
      <c r="A9" s="379" t="s">
        <v>142</v>
      </c>
      <c r="B9" s="380"/>
      <c r="C9" s="180"/>
      <c r="D9" s="180"/>
    </row>
    <row r="10" spans="1:4" ht="15" x14ac:dyDescent="0.2">
      <c r="A10" s="379" t="s">
        <v>87</v>
      </c>
      <c r="B10" s="380"/>
      <c r="C10" s="367"/>
      <c r="D10" s="367"/>
    </row>
    <row r="11" spans="1:4" ht="15" x14ac:dyDescent="0.2">
      <c r="A11" s="379" t="s">
        <v>145</v>
      </c>
      <c r="B11" s="380"/>
    </row>
  </sheetData>
  <mergeCells count="3">
    <mergeCell ref="A1:D1"/>
    <mergeCell ref="A2:D2"/>
    <mergeCell ref="A3:D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
  <sheetViews>
    <sheetView workbookViewId="0">
      <selection activeCell="B24" sqref="B24"/>
    </sheetView>
  </sheetViews>
  <sheetFormatPr defaultRowHeight="12.75" x14ac:dyDescent="0.2"/>
  <cols>
    <col min="1" max="1" width="69" customWidth="1"/>
    <col min="2" max="2" width="27" customWidth="1"/>
    <col min="3" max="3" width="14.42578125" hidden="1" customWidth="1"/>
    <col min="4" max="4" width="14.28515625" hidden="1" customWidth="1"/>
  </cols>
  <sheetData>
    <row r="1" spans="1:4" ht="45.75" customHeight="1" x14ac:dyDescent="0.2">
      <c r="A1" s="444" t="str">
        <f>"Приложение №"&amp;H2потенциал&amp;"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c r="C1" s="444"/>
      <c r="D1" s="444"/>
    </row>
    <row r="2" spans="1:4" ht="63" customHeight="1" x14ac:dyDescent="0.2">
      <c r="A2" s="444" t="str">
        <f>"Приложение №"&amp;H1потенциал&amp;" к решению
Богучанского районного Совета депутатов
от "&amp;Р1дата&amp;" года №"&amp;Р1номер</f>
        <v>Приложение № к решению
Богучанского районного Совета депутатов
от  04.12.2020 года №5/1-16</v>
      </c>
      <c r="B2" s="444"/>
      <c r="C2" s="444"/>
      <c r="D2" s="444"/>
    </row>
    <row r="3" spans="1:4" ht="90" customHeight="1" x14ac:dyDescent="0.2">
      <c r="A3" s="484" t="s">
        <v>2095</v>
      </c>
      <c r="B3" s="484"/>
      <c r="C3" s="484"/>
      <c r="D3" s="484"/>
    </row>
    <row r="4" spans="1:4" x14ac:dyDescent="0.2">
      <c r="A4" s="177"/>
      <c r="B4" s="8"/>
      <c r="C4" s="8"/>
      <c r="D4" s="178" t="s">
        <v>73</v>
      </c>
    </row>
    <row r="5" spans="1:4" ht="15" x14ac:dyDescent="0.2">
      <c r="A5" s="199" t="s">
        <v>22</v>
      </c>
      <c r="B5" s="199" t="s">
        <v>1332</v>
      </c>
      <c r="C5" s="199" t="s">
        <v>1417</v>
      </c>
      <c r="D5" s="199" t="s">
        <v>1523</v>
      </c>
    </row>
    <row r="6" spans="1:4" ht="15" x14ac:dyDescent="0.2">
      <c r="A6" s="179" t="s">
        <v>74</v>
      </c>
      <c r="B6" s="301">
        <f>SUM(B7:B21)</f>
        <v>0</v>
      </c>
      <c r="C6" s="301">
        <f>SUM(C7:C21)</f>
        <v>0</v>
      </c>
      <c r="D6" s="301">
        <f>SUM(D7:D21)</f>
        <v>0</v>
      </c>
    </row>
    <row r="7" spans="1:4" ht="15" x14ac:dyDescent="0.25">
      <c r="A7" s="379" t="s">
        <v>59</v>
      </c>
      <c r="B7" s="380"/>
      <c r="C7" s="180"/>
      <c r="D7" s="180"/>
    </row>
    <row r="8" spans="1:4" ht="15" x14ac:dyDescent="0.25">
      <c r="A8" s="379" t="s">
        <v>1876</v>
      </c>
      <c r="B8" s="380"/>
      <c r="C8" s="180"/>
      <c r="D8" s="180"/>
    </row>
    <row r="9" spans="1:4" ht="15" x14ac:dyDescent="0.25">
      <c r="A9" s="379" t="s">
        <v>171</v>
      </c>
      <c r="B9" s="380"/>
      <c r="C9" s="180"/>
      <c r="D9" s="180"/>
    </row>
    <row r="10" spans="1:4" ht="15" x14ac:dyDescent="0.2">
      <c r="A10" s="379" t="s">
        <v>60</v>
      </c>
      <c r="B10" s="380"/>
      <c r="C10" s="367"/>
      <c r="D10" s="367"/>
    </row>
    <row r="11" spans="1:4" ht="15" x14ac:dyDescent="0.2">
      <c r="A11" s="379" t="s">
        <v>61</v>
      </c>
      <c r="B11" s="380"/>
    </row>
    <row r="12" spans="1:4" ht="15" x14ac:dyDescent="0.2">
      <c r="A12" s="379" t="s">
        <v>247</v>
      </c>
      <c r="B12" s="380"/>
    </row>
    <row r="13" spans="1:4" ht="15" x14ac:dyDescent="0.2">
      <c r="A13" s="379" t="s">
        <v>1121</v>
      </c>
      <c r="B13" s="380"/>
    </row>
    <row r="14" spans="1:4" ht="15" x14ac:dyDescent="0.2">
      <c r="A14" s="379" t="s">
        <v>142</v>
      </c>
      <c r="B14" s="380"/>
    </row>
    <row r="15" spans="1:4" ht="15" x14ac:dyDescent="0.2">
      <c r="A15" s="379" t="s">
        <v>143</v>
      </c>
      <c r="B15" s="380"/>
    </row>
    <row r="16" spans="1:4" ht="15" x14ac:dyDescent="0.2">
      <c r="A16" s="379" t="s">
        <v>87</v>
      </c>
      <c r="B16" s="380"/>
    </row>
    <row r="17" spans="1:2" ht="15" x14ac:dyDescent="0.2">
      <c r="A17" s="379" t="s">
        <v>89</v>
      </c>
      <c r="B17" s="380"/>
    </row>
    <row r="18" spans="1:2" ht="15" x14ac:dyDescent="0.2">
      <c r="A18" s="379" t="s">
        <v>172</v>
      </c>
      <c r="B18" s="380"/>
    </row>
    <row r="19" spans="1:2" ht="15" x14ac:dyDescent="0.2">
      <c r="A19" s="379" t="s">
        <v>88</v>
      </c>
      <c r="B19" s="380"/>
    </row>
    <row r="20" spans="1:2" ht="15" x14ac:dyDescent="0.2">
      <c r="A20" s="379" t="s">
        <v>1877</v>
      </c>
      <c r="B20" s="380"/>
    </row>
    <row r="21" spans="1:2" ht="15" x14ac:dyDescent="0.2">
      <c r="A21" s="379" t="s">
        <v>146</v>
      </c>
      <c r="B21" s="380"/>
    </row>
  </sheetData>
  <mergeCells count="3">
    <mergeCell ref="A1:D1"/>
    <mergeCell ref="A2:D2"/>
    <mergeCell ref="A3:D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1"/>
  <sheetViews>
    <sheetView workbookViewId="0">
      <selection activeCell="B19" sqref="B19:B21"/>
    </sheetView>
  </sheetViews>
  <sheetFormatPr defaultRowHeight="12.75" x14ac:dyDescent="0.2"/>
  <cols>
    <col min="1" max="1" width="69" customWidth="1"/>
    <col min="2" max="2" width="27" customWidth="1"/>
    <col min="3" max="3" width="14.42578125" hidden="1" customWidth="1"/>
    <col min="4" max="4" width="14.28515625" hidden="1" customWidth="1"/>
  </cols>
  <sheetData>
    <row r="1" spans="1:4" ht="45.75" customHeight="1" x14ac:dyDescent="0.2">
      <c r="A1" s="444" t="str">
        <f>"Приложение №"&amp;H1УДС&amp;"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c r="C1" s="444"/>
      <c r="D1" s="444"/>
    </row>
    <row r="2" spans="1:4" ht="63" customHeight="1" x14ac:dyDescent="0.2">
      <c r="A2" s="444" t="str">
        <f>"Приложение №"&amp;H2УДС&amp;" к решению
Богучанского районного Совета депутатов
от "&amp;Р1дата&amp;" года №"&amp;Р1номер</f>
        <v>Приложение № к решению
Богучанского районного Совета депутатов
от  04.12.2020 года №5/1-16</v>
      </c>
      <c r="B2" s="444"/>
      <c r="C2" s="444"/>
      <c r="D2" s="444"/>
    </row>
    <row r="3" spans="1:4" ht="90" customHeight="1" x14ac:dyDescent="0.2">
      <c r="A3" s="484" t="s">
        <v>2097</v>
      </c>
      <c r="B3" s="484"/>
      <c r="C3" s="484"/>
      <c r="D3" s="484"/>
    </row>
    <row r="4" spans="1:4" x14ac:dyDescent="0.2">
      <c r="A4" s="177"/>
      <c r="B4" s="8"/>
      <c r="C4" s="8"/>
      <c r="D4" s="178" t="s">
        <v>73</v>
      </c>
    </row>
    <row r="5" spans="1:4" ht="15" x14ac:dyDescent="0.2">
      <c r="A5" s="199" t="s">
        <v>22</v>
      </c>
      <c r="B5" s="199" t="s">
        <v>1417</v>
      </c>
      <c r="C5" s="199" t="s">
        <v>1417</v>
      </c>
      <c r="D5" s="199" t="s">
        <v>1523</v>
      </c>
    </row>
    <row r="6" spans="1:4" ht="15" x14ac:dyDescent="0.2">
      <c r="A6" s="179" t="s">
        <v>74</v>
      </c>
      <c r="B6" s="301">
        <f>SUM(B7:B21)</f>
        <v>0</v>
      </c>
      <c r="C6" s="301">
        <f>SUM(C7:C21)</f>
        <v>0</v>
      </c>
      <c r="D6" s="301">
        <f>SUM(D7:D21)</f>
        <v>0</v>
      </c>
    </row>
    <row r="7" spans="1:4" ht="15" hidden="1" x14ac:dyDescent="0.25">
      <c r="A7" s="379" t="s">
        <v>59</v>
      </c>
      <c r="B7" s="380"/>
      <c r="C7" s="180"/>
      <c r="D7" s="180"/>
    </row>
    <row r="8" spans="1:4" ht="15" hidden="1" x14ac:dyDescent="0.25">
      <c r="A8" s="379" t="s">
        <v>1876</v>
      </c>
      <c r="B8" s="380"/>
      <c r="C8" s="180"/>
      <c r="D8" s="180"/>
    </row>
    <row r="9" spans="1:4" ht="15" hidden="1" x14ac:dyDescent="0.25">
      <c r="A9" s="379" t="s">
        <v>171</v>
      </c>
      <c r="B9" s="380"/>
      <c r="C9" s="180"/>
      <c r="D9" s="180"/>
    </row>
    <row r="10" spans="1:4" ht="15" hidden="1" x14ac:dyDescent="0.2">
      <c r="A10" s="379" t="s">
        <v>60</v>
      </c>
      <c r="B10" s="380"/>
      <c r="C10" s="367"/>
      <c r="D10" s="367"/>
    </row>
    <row r="11" spans="1:4" ht="15" hidden="1" x14ac:dyDescent="0.2">
      <c r="A11" s="379" t="s">
        <v>61</v>
      </c>
      <c r="B11" s="380"/>
    </row>
    <row r="12" spans="1:4" ht="15" hidden="1" x14ac:dyDescent="0.2">
      <c r="A12" s="379" t="s">
        <v>247</v>
      </c>
      <c r="B12" s="380"/>
    </row>
    <row r="13" spans="1:4" ht="15" hidden="1" x14ac:dyDescent="0.2">
      <c r="A13" s="379" t="s">
        <v>1121</v>
      </c>
      <c r="B13" s="380"/>
    </row>
    <row r="14" spans="1:4" ht="15" hidden="1" x14ac:dyDescent="0.2">
      <c r="A14" s="379" t="s">
        <v>142</v>
      </c>
      <c r="B14" s="380"/>
    </row>
    <row r="15" spans="1:4" ht="15" hidden="1" x14ac:dyDescent="0.2">
      <c r="A15" s="379" t="s">
        <v>143</v>
      </c>
      <c r="B15" s="380"/>
    </row>
    <row r="16" spans="1:4" ht="15" hidden="1" x14ac:dyDescent="0.2">
      <c r="A16" s="379" t="s">
        <v>87</v>
      </c>
      <c r="B16" s="380"/>
    </row>
    <row r="17" spans="1:9" ht="15" hidden="1" x14ac:dyDescent="0.2">
      <c r="A17" s="379" t="s">
        <v>89</v>
      </c>
      <c r="B17" s="380"/>
    </row>
    <row r="18" spans="1:9" ht="15" hidden="1" x14ac:dyDescent="0.2">
      <c r="A18" s="379" t="s">
        <v>172</v>
      </c>
      <c r="B18" s="380"/>
    </row>
    <row r="19" spans="1:9" ht="15" x14ac:dyDescent="0.2">
      <c r="A19" s="379" t="s">
        <v>88</v>
      </c>
      <c r="B19" s="391"/>
    </row>
    <row r="20" spans="1:9" ht="15" hidden="1" x14ac:dyDescent="0.2">
      <c r="A20" s="379" t="s">
        <v>1877</v>
      </c>
    </row>
    <row r="21" spans="1:9" ht="15" x14ac:dyDescent="0.2">
      <c r="A21" s="379" t="s">
        <v>92</v>
      </c>
      <c r="B21" s="391"/>
      <c r="I21" t="s">
        <v>1935</v>
      </c>
    </row>
  </sheetData>
  <mergeCells count="3">
    <mergeCell ref="A1:D1"/>
    <mergeCell ref="A2:D2"/>
    <mergeCell ref="A3:D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4"/>
  <sheetViews>
    <sheetView workbookViewId="0">
      <selection activeCell="A4" sqref="A4"/>
    </sheetView>
  </sheetViews>
  <sheetFormatPr defaultRowHeight="12.75" x14ac:dyDescent="0.2"/>
  <cols>
    <col min="1" max="1" width="69" customWidth="1"/>
    <col min="2" max="2" width="27" customWidth="1"/>
    <col min="3" max="3" width="14.42578125" hidden="1" customWidth="1"/>
    <col min="4" max="4" width="14.28515625" hidden="1" customWidth="1"/>
  </cols>
  <sheetData>
    <row r="1" spans="1:4" ht="45.75" customHeight="1" x14ac:dyDescent="0.2">
      <c r="A1" s="444" t="str">
        <f>"Приложение №"&amp;H2благмалое&amp;"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c r="C1" s="444"/>
      <c r="D1" s="444"/>
    </row>
    <row r="2" spans="1:4" ht="63" customHeight="1" x14ac:dyDescent="0.2">
      <c r="A2" s="444" t="str">
        <f>"Приложение №"&amp;H1благмалое&amp;" к решению
Богучанского районного Совета депутатов
от "&amp;Р1дата&amp;" года №"&amp;Р1номер</f>
        <v>Приложение № к решению
Богучанского районного Совета депутатов
от  04.12.2020 года №5/1-16</v>
      </c>
      <c r="B2" s="444"/>
      <c r="C2" s="444"/>
      <c r="D2" s="444"/>
    </row>
    <row r="3" spans="1:4" ht="90" customHeight="1" x14ac:dyDescent="0.2">
      <c r="A3" s="484" t="s">
        <v>2096</v>
      </c>
      <c r="B3" s="484"/>
      <c r="C3" s="484"/>
      <c r="D3" s="484"/>
    </row>
    <row r="4" spans="1:4" x14ac:dyDescent="0.2">
      <c r="A4" s="177"/>
      <c r="B4" s="8"/>
      <c r="C4" s="8"/>
      <c r="D4" s="178" t="s">
        <v>73</v>
      </c>
    </row>
    <row r="5" spans="1:4" ht="15" x14ac:dyDescent="0.2">
      <c r="A5" s="199" t="s">
        <v>22</v>
      </c>
      <c r="B5" s="199" t="s">
        <v>1332</v>
      </c>
      <c r="C5" s="199" t="s">
        <v>1417</v>
      </c>
      <c r="D5" s="199" t="s">
        <v>1523</v>
      </c>
    </row>
    <row r="6" spans="1:4" ht="15" x14ac:dyDescent="0.2">
      <c r="A6" s="179" t="s">
        <v>74</v>
      </c>
      <c r="B6" s="301">
        <f>SUM(B7:B24)</f>
        <v>0</v>
      </c>
      <c r="C6" s="301">
        <f>SUM(C7:C24)</f>
        <v>0</v>
      </c>
      <c r="D6" s="301">
        <f>SUM(D7:D24)</f>
        <v>0</v>
      </c>
    </row>
    <row r="7" spans="1:4" ht="15" hidden="1" x14ac:dyDescent="0.25">
      <c r="A7" s="41" t="s">
        <v>59</v>
      </c>
      <c r="B7" s="299"/>
      <c r="C7" s="180"/>
      <c r="D7" s="180"/>
    </row>
    <row r="8" spans="1:4" ht="15" hidden="1" x14ac:dyDescent="0.25">
      <c r="A8" s="41" t="s">
        <v>85</v>
      </c>
      <c r="B8" s="299"/>
      <c r="C8" s="180"/>
      <c r="D8" s="180"/>
    </row>
    <row r="9" spans="1:4" ht="15" x14ac:dyDescent="0.25">
      <c r="A9" s="41" t="s">
        <v>171</v>
      </c>
      <c r="B9" s="299"/>
      <c r="C9" s="180"/>
      <c r="D9" s="180"/>
    </row>
    <row r="10" spans="1:4" ht="14.25" hidden="1" x14ac:dyDescent="0.2">
      <c r="A10" s="42" t="s">
        <v>60</v>
      </c>
      <c r="B10" s="300"/>
      <c r="C10" s="367"/>
      <c r="D10" s="367"/>
    </row>
    <row r="11" spans="1:4" ht="14.25" hidden="1" x14ac:dyDescent="0.2">
      <c r="A11" s="365" t="s">
        <v>61</v>
      </c>
      <c r="B11" s="366"/>
    </row>
    <row r="12" spans="1:4" ht="14.25" hidden="1" x14ac:dyDescent="0.2">
      <c r="A12" s="43" t="s">
        <v>247</v>
      </c>
      <c r="B12" s="300"/>
    </row>
    <row r="13" spans="1:4" ht="14.25" hidden="1" x14ac:dyDescent="0.2">
      <c r="A13" s="41" t="s">
        <v>86</v>
      </c>
      <c r="B13" s="300"/>
    </row>
    <row r="14" spans="1:4" ht="14.25" hidden="1" x14ac:dyDescent="0.2">
      <c r="A14" s="41" t="s">
        <v>142</v>
      </c>
      <c r="B14" s="300"/>
    </row>
    <row r="15" spans="1:4" ht="14.25" hidden="1" x14ac:dyDescent="0.2">
      <c r="A15" s="41" t="s">
        <v>143</v>
      </c>
      <c r="B15" s="300"/>
    </row>
    <row r="16" spans="1:4" ht="14.25" hidden="1" x14ac:dyDescent="0.2">
      <c r="A16" s="41" t="s">
        <v>87</v>
      </c>
      <c r="B16" s="300"/>
    </row>
    <row r="17" spans="1:2" ht="14.25" hidden="1" x14ac:dyDescent="0.2">
      <c r="A17" s="42" t="s">
        <v>89</v>
      </c>
      <c r="B17" s="300"/>
    </row>
    <row r="18" spans="1:2" ht="14.25" hidden="1" x14ac:dyDescent="0.2">
      <c r="A18" s="41" t="s">
        <v>172</v>
      </c>
      <c r="B18" s="300"/>
    </row>
    <row r="19" spans="1:2" ht="14.25" hidden="1" x14ac:dyDescent="0.2">
      <c r="A19" s="41" t="s">
        <v>88</v>
      </c>
      <c r="B19" s="300"/>
    </row>
    <row r="20" spans="1:2" ht="14.25" hidden="1" x14ac:dyDescent="0.2">
      <c r="A20" s="41" t="s">
        <v>90</v>
      </c>
      <c r="B20" s="300"/>
    </row>
    <row r="21" spans="1:2" ht="14.25" hidden="1" x14ac:dyDescent="0.2">
      <c r="A21" s="41" t="s">
        <v>91</v>
      </c>
      <c r="B21" s="300"/>
    </row>
    <row r="22" spans="1:2" ht="14.25" hidden="1" x14ac:dyDescent="0.2">
      <c r="A22" s="41" t="s">
        <v>145</v>
      </c>
      <c r="B22" s="300"/>
    </row>
    <row r="23" spans="1:2" ht="14.25" hidden="1" x14ac:dyDescent="0.2">
      <c r="A23" s="41" t="s">
        <v>146</v>
      </c>
      <c r="B23" s="300"/>
    </row>
    <row r="24" spans="1:2" ht="14.25" hidden="1" x14ac:dyDescent="0.2">
      <c r="A24" s="41" t="s">
        <v>92</v>
      </c>
      <c r="B24" s="300"/>
    </row>
  </sheetData>
  <mergeCells count="3">
    <mergeCell ref="A1:D1"/>
    <mergeCell ref="A2:D2"/>
    <mergeCell ref="A3:D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rgb="FF00B0F0"/>
    <pageSetUpPr fitToPage="1"/>
  </sheetPr>
  <dimension ref="A1:M63"/>
  <sheetViews>
    <sheetView workbookViewId="0">
      <pane xSplit="1" ySplit="6" topLeftCell="B7" activePane="bottomRight" state="frozen"/>
      <selection sqref="A1:XFD1"/>
      <selection pane="topRight" sqref="A1:XFD1"/>
      <selection pane="bottomLeft" sqref="A1:XFD1"/>
      <selection pane="bottomRight" sqref="A1:XFD1"/>
    </sheetView>
  </sheetViews>
  <sheetFormatPr defaultColWidth="57.28515625" defaultRowHeight="15" x14ac:dyDescent="0.2"/>
  <cols>
    <col min="1" max="1" width="48.140625" style="18" customWidth="1"/>
    <col min="2" max="2" width="17.28515625" style="18" customWidth="1"/>
    <col min="3" max="3" width="54.140625" style="18" customWidth="1"/>
    <col min="4" max="4" width="15.28515625" style="18" customWidth="1"/>
    <col min="5" max="5" width="22.7109375" style="18" customWidth="1"/>
    <col min="6" max="6" width="28.7109375" style="18" customWidth="1"/>
    <col min="7" max="7" width="17.28515625" style="4" customWidth="1"/>
    <col min="8" max="10" width="17.28515625" style="18" hidden="1" customWidth="1"/>
    <col min="11" max="11" width="16.140625" style="18" hidden="1" customWidth="1"/>
    <col min="12" max="12" width="16.28515625" style="18" customWidth="1"/>
    <col min="13" max="13" width="19.42578125" style="18" customWidth="1"/>
    <col min="14" max="16384" width="57.28515625" style="18"/>
  </cols>
  <sheetData>
    <row r="1" spans="1:13" ht="38.25" hidden="1" customHeight="1" x14ac:dyDescent="0.2">
      <c r="A1" s="444" t="str">
        <f>"Приложение №"&amp;Н2пол&amp;"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c r="C1" s="444"/>
      <c r="D1" s="444"/>
      <c r="E1" s="444"/>
      <c r="F1" s="444"/>
    </row>
    <row r="2" spans="1:13" ht="43.5" customHeight="1" x14ac:dyDescent="0.2">
      <c r="A2" s="444" t="str">
        <f>"Приложение "&amp;Н1пол&amp;" к решению
Богучанского районного Совета депутатов
от "&amp;Р1дата&amp;" года №"&amp;Р1номер</f>
        <v>Приложение 12 к решению
Богучанского районного Совета депутатов
от  04.12.2020 года №5/1-16</v>
      </c>
      <c r="B2" s="444"/>
      <c r="C2" s="444"/>
      <c r="D2" s="444"/>
      <c r="E2" s="444"/>
      <c r="F2" s="444"/>
      <c r="G2" s="197"/>
      <c r="H2" s="53"/>
      <c r="I2" s="53"/>
      <c r="J2" s="53"/>
    </row>
    <row r="3" spans="1:13" s="99" customFormat="1" ht="38.25" customHeight="1" x14ac:dyDescent="0.3">
      <c r="A3" s="487" t="str">
        <f>"Межбюджетные трансферты, перечисляемые в районный бюджет из бюджетов  поселений в "&amp;год&amp;" году и плановом периоде "&amp;ПлПер&amp;" годов"</f>
        <v>Межбюджетные трансферты, перечисляемые в районный бюджет из бюджетов  поселений в 2021 году и плановом периоде 2022-2023 годов</v>
      </c>
      <c r="B3" s="487"/>
      <c r="C3" s="487"/>
      <c r="D3" s="487"/>
      <c r="E3" s="487"/>
      <c r="F3" s="487"/>
      <c r="G3" s="197"/>
      <c r="H3" s="98"/>
      <c r="I3" s="98"/>
      <c r="J3" s="98"/>
    </row>
    <row r="4" spans="1:13" x14ac:dyDescent="0.2">
      <c r="F4" s="8" t="s">
        <v>73</v>
      </c>
    </row>
    <row r="5" spans="1:13" s="100" customFormat="1" ht="12.75" customHeight="1" x14ac:dyDescent="0.2">
      <c r="A5" s="485" t="s">
        <v>83</v>
      </c>
      <c r="B5" s="486" t="s">
        <v>84</v>
      </c>
      <c r="C5" s="488"/>
      <c r="D5" s="488"/>
      <c r="E5" s="488"/>
      <c r="F5" s="488"/>
      <c r="G5" s="4"/>
    </row>
    <row r="6" spans="1:13" s="100" customFormat="1" ht="156.75" customHeight="1" x14ac:dyDescent="0.2">
      <c r="A6" s="485"/>
      <c r="B6" s="486"/>
      <c r="C6" s="139" t="s">
        <v>82</v>
      </c>
      <c r="D6" s="139" t="s">
        <v>1141</v>
      </c>
      <c r="E6" s="139" t="s">
        <v>1521</v>
      </c>
      <c r="F6" s="138" t="s">
        <v>1336</v>
      </c>
      <c r="G6" s="4"/>
    </row>
    <row r="7" spans="1:13" s="100" customFormat="1" ht="15" customHeight="1" x14ac:dyDescent="0.25">
      <c r="A7" s="102" t="s">
        <v>1418</v>
      </c>
      <c r="B7" s="257">
        <f>SUM(B8:B25)</f>
        <v>2318630</v>
      </c>
      <c r="C7" s="257">
        <f>SUM(C8:C25)</f>
        <v>777154</v>
      </c>
      <c r="D7" s="257">
        <f>SUM(D8:D25)</f>
        <v>618476</v>
      </c>
      <c r="E7" s="257">
        <f>SUM(E8:E25)</f>
        <v>23000</v>
      </c>
      <c r="F7" s="258">
        <f>SUM(F8:F25)</f>
        <v>900000</v>
      </c>
      <c r="G7" s="198"/>
      <c r="L7" s="100">
        <f>SUM(L8:L25)</f>
        <v>707779</v>
      </c>
      <c r="M7" s="401">
        <f>C7-L7</f>
        <v>69375</v>
      </c>
    </row>
    <row r="8" spans="1:13" x14ac:dyDescent="0.2">
      <c r="A8" s="41" t="s">
        <v>59</v>
      </c>
      <c r="B8" s="259">
        <f t="shared" ref="B8:B39" si="0">SUM(C8+E8+F8+D8)</f>
        <v>16405</v>
      </c>
      <c r="C8" s="260">
        <f>15492</f>
        <v>15492</v>
      </c>
      <c r="D8" s="260"/>
      <c r="E8" s="260">
        <f>913</f>
        <v>913</v>
      </c>
      <c r="F8" s="261"/>
      <c r="L8" s="18">
        <v>14109</v>
      </c>
      <c r="M8" s="401">
        <f t="shared" ref="M8:M25" si="1">C8-L8</f>
        <v>1383</v>
      </c>
    </row>
    <row r="9" spans="1:13" x14ac:dyDescent="0.2">
      <c r="A9" s="41" t="s">
        <v>85</v>
      </c>
      <c r="B9" s="259">
        <f t="shared" si="0"/>
        <v>10559</v>
      </c>
      <c r="C9" s="260">
        <f>9747</f>
        <v>9747</v>
      </c>
      <c r="D9" s="260"/>
      <c r="E9" s="260">
        <f>812</f>
        <v>812</v>
      </c>
      <c r="F9" s="261"/>
      <c r="L9" s="18">
        <v>8877</v>
      </c>
      <c r="M9" s="401">
        <f t="shared" si="1"/>
        <v>870</v>
      </c>
    </row>
    <row r="10" spans="1:13" x14ac:dyDescent="0.2">
      <c r="A10" s="41" t="s">
        <v>171</v>
      </c>
      <c r="B10" s="259">
        <f t="shared" si="0"/>
        <v>623672</v>
      </c>
      <c r="C10" s="260">
        <f>4540</f>
        <v>4540</v>
      </c>
      <c r="D10" s="260">
        <f>618476</f>
        <v>618476</v>
      </c>
      <c r="E10" s="260">
        <f>656</f>
        <v>656</v>
      </c>
      <c r="F10" s="261"/>
      <c r="L10" s="18">
        <v>4135</v>
      </c>
      <c r="M10" s="401">
        <f t="shared" si="1"/>
        <v>405</v>
      </c>
    </row>
    <row r="11" spans="1:13" x14ac:dyDescent="0.2">
      <c r="A11" s="42" t="s">
        <v>60</v>
      </c>
      <c r="B11" s="259">
        <f t="shared" si="0"/>
        <v>1119273</v>
      </c>
      <c r="C11" s="260">
        <f>215063</f>
        <v>215063</v>
      </c>
      <c r="D11" s="260"/>
      <c r="E11" s="260">
        <f>4210</f>
        <v>4210</v>
      </c>
      <c r="F11" s="261">
        <f>900000</f>
        <v>900000</v>
      </c>
      <c r="L11" s="18">
        <v>195865</v>
      </c>
      <c r="M11" s="401">
        <f t="shared" si="1"/>
        <v>19198</v>
      </c>
    </row>
    <row r="12" spans="1:13" x14ac:dyDescent="0.2">
      <c r="A12" s="41" t="s">
        <v>61</v>
      </c>
      <c r="B12" s="259">
        <f t="shared" si="0"/>
        <v>3630</v>
      </c>
      <c r="C12" s="260">
        <f>2862</f>
        <v>2862</v>
      </c>
      <c r="D12" s="260"/>
      <c r="E12" s="260">
        <f>768</f>
        <v>768</v>
      </c>
      <c r="F12" s="261"/>
      <c r="L12" s="18">
        <v>2606</v>
      </c>
      <c r="M12" s="401">
        <f t="shared" si="1"/>
        <v>256</v>
      </c>
    </row>
    <row r="13" spans="1:13" ht="17.25" customHeight="1" x14ac:dyDescent="0.2">
      <c r="A13" s="43" t="s">
        <v>247</v>
      </c>
      <c r="B13" s="259">
        <f t="shared" si="0"/>
        <v>70895</v>
      </c>
      <c r="C13" s="260">
        <f>69264</f>
        <v>69264</v>
      </c>
      <c r="D13" s="260"/>
      <c r="E13" s="260">
        <f>1631</f>
        <v>1631</v>
      </c>
      <c r="F13" s="261"/>
      <c r="L13" s="18">
        <v>63080</v>
      </c>
      <c r="M13" s="401">
        <f t="shared" si="1"/>
        <v>6184</v>
      </c>
    </row>
    <row r="14" spans="1:13" x14ac:dyDescent="0.2">
      <c r="A14" s="41" t="s">
        <v>86</v>
      </c>
      <c r="B14" s="259">
        <f t="shared" si="0"/>
        <v>41704</v>
      </c>
      <c r="C14" s="260">
        <f>40495</f>
        <v>40495</v>
      </c>
      <c r="D14" s="260"/>
      <c r="E14" s="260">
        <f>1209</f>
        <v>1209</v>
      </c>
      <c r="F14" s="261"/>
      <c r="L14" s="18">
        <v>36880</v>
      </c>
      <c r="M14" s="401">
        <f t="shared" si="1"/>
        <v>3615</v>
      </c>
    </row>
    <row r="15" spans="1:13" x14ac:dyDescent="0.2">
      <c r="A15" s="41" t="s">
        <v>142</v>
      </c>
      <c r="B15" s="259">
        <f t="shared" si="0"/>
        <v>30489</v>
      </c>
      <c r="C15" s="260">
        <f>29220</f>
        <v>29220</v>
      </c>
      <c r="D15" s="260"/>
      <c r="E15" s="260">
        <f>1269</f>
        <v>1269</v>
      </c>
      <c r="F15" s="261"/>
      <c r="L15" s="18">
        <v>26612</v>
      </c>
      <c r="M15" s="401">
        <f t="shared" si="1"/>
        <v>2608</v>
      </c>
    </row>
    <row r="16" spans="1:13" x14ac:dyDescent="0.2">
      <c r="A16" s="41" t="s">
        <v>143</v>
      </c>
      <c r="B16" s="259">
        <f t="shared" si="0"/>
        <v>15859</v>
      </c>
      <c r="C16" s="260">
        <f>15256</f>
        <v>15256</v>
      </c>
      <c r="D16" s="260"/>
      <c r="E16" s="260">
        <f>603</f>
        <v>603</v>
      </c>
      <c r="F16" s="261"/>
      <c r="L16" s="18">
        <v>13894</v>
      </c>
      <c r="M16" s="401">
        <f t="shared" si="1"/>
        <v>1362</v>
      </c>
    </row>
    <row r="17" spans="1:13" x14ac:dyDescent="0.2">
      <c r="A17" s="41" t="s">
        <v>87</v>
      </c>
      <c r="B17" s="259">
        <f t="shared" si="0"/>
        <v>5835</v>
      </c>
      <c r="C17" s="260">
        <f>4927</f>
        <v>4927</v>
      </c>
      <c r="D17" s="260"/>
      <c r="E17" s="260">
        <f>908</f>
        <v>908</v>
      </c>
      <c r="F17" s="261"/>
      <c r="L17" s="18">
        <v>4488</v>
      </c>
      <c r="M17" s="401">
        <f t="shared" si="1"/>
        <v>439</v>
      </c>
    </row>
    <row r="18" spans="1:13" x14ac:dyDescent="0.2">
      <c r="A18" s="42" t="s">
        <v>89</v>
      </c>
      <c r="B18" s="259">
        <f t="shared" si="0"/>
        <v>23732</v>
      </c>
      <c r="C18" s="260">
        <v>22098</v>
      </c>
      <c r="D18" s="260"/>
      <c r="E18" s="260">
        <f>1634</f>
        <v>1634</v>
      </c>
      <c r="F18" s="261"/>
      <c r="L18" s="18">
        <v>20125</v>
      </c>
      <c r="M18" s="401">
        <f t="shared" si="1"/>
        <v>1973</v>
      </c>
    </row>
    <row r="19" spans="1:13" x14ac:dyDescent="0.2">
      <c r="A19" s="41" t="s">
        <v>172</v>
      </c>
      <c r="B19" s="259">
        <f t="shared" si="0"/>
        <v>28719</v>
      </c>
      <c r="C19" s="260">
        <f>27714</f>
        <v>27714</v>
      </c>
      <c r="D19" s="260"/>
      <c r="E19" s="260">
        <f>1005</f>
        <v>1005</v>
      </c>
      <c r="F19" s="261"/>
      <c r="L19" s="18">
        <v>25240</v>
      </c>
      <c r="M19" s="401">
        <f t="shared" si="1"/>
        <v>2474</v>
      </c>
    </row>
    <row r="20" spans="1:13" x14ac:dyDescent="0.2">
      <c r="A20" s="41" t="s">
        <v>88</v>
      </c>
      <c r="B20" s="259">
        <f t="shared" si="0"/>
        <v>52983</v>
      </c>
      <c r="C20" s="260">
        <f>51942</f>
        <v>51942</v>
      </c>
      <c r="D20" s="260"/>
      <c r="E20" s="260">
        <f>1041</f>
        <v>1041</v>
      </c>
      <c r="F20" s="261"/>
      <c r="L20" s="18">
        <v>47306</v>
      </c>
      <c r="M20" s="401">
        <f t="shared" si="1"/>
        <v>4636</v>
      </c>
    </row>
    <row r="21" spans="1:13" x14ac:dyDescent="0.2">
      <c r="A21" s="41" t="s">
        <v>90</v>
      </c>
      <c r="B21" s="259">
        <f t="shared" si="0"/>
        <v>148341</v>
      </c>
      <c r="C21" s="260">
        <f>145735</f>
        <v>145735</v>
      </c>
      <c r="D21" s="260"/>
      <c r="E21" s="260">
        <f>2606</f>
        <v>2606</v>
      </c>
      <c r="F21" s="261"/>
      <c r="H21" s="18">
        <v>1991756</v>
      </c>
      <c r="I21" s="218">
        <f>E21-H21</f>
        <v>-1989150</v>
      </c>
      <c r="J21" s="18">
        <v>1448000</v>
      </c>
      <c r="K21" s="218">
        <f>E21+F21-J21</f>
        <v>-1445394</v>
      </c>
      <c r="L21" s="18">
        <v>132726</v>
      </c>
      <c r="M21" s="401">
        <f t="shared" si="1"/>
        <v>13009</v>
      </c>
    </row>
    <row r="22" spans="1:13" x14ac:dyDescent="0.2">
      <c r="A22" s="41" t="s">
        <v>91</v>
      </c>
      <c r="B22" s="259">
        <f t="shared" si="0"/>
        <v>13980</v>
      </c>
      <c r="C22" s="260">
        <f>13255</f>
        <v>13255</v>
      </c>
      <c r="D22" s="260"/>
      <c r="E22" s="260">
        <f>725</f>
        <v>725</v>
      </c>
      <c r="F22" s="261"/>
      <c r="I22" s="218">
        <f>F21-G21</f>
        <v>0</v>
      </c>
      <c r="J22" s="18">
        <v>14872580</v>
      </c>
      <c r="L22" s="18">
        <v>12071</v>
      </c>
      <c r="M22" s="401">
        <f t="shared" si="1"/>
        <v>1184</v>
      </c>
    </row>
    <row r="23" spans="1:13" x14ac:dyDescent="0.2">
      <c r="A23" s="41" t="s">
        <v>145</v>
      </c>
      <c r="B23" s="259">
        <f t="shared" si="0"/>
        <v>25185</v>
      </c>
      <c r="C23" s="260">
        <f>24013</f>
        <v>24013</v>
      </c>
      <c r="D23" s="260"/>
      <c r="E23" s="260">
        <f>1172</f>
        <v>1172</v>
      </c>
      <c r="F23" s="261"/>
      <c r="J23" s="18">
        <f>J22-J21</f>
        <v>13424580</v>
      </c>
      <c r="L23" s="18">
        <v>21870</v>
      </c>
      <c r="M23" s="401">
        <f t="shared" si="1"/>
        <v>2143</v>
      </c>
    </row>
    <row r="24" spans="1:13" x14ac:dyDescent="0.2">
      <c r="A24" s="41" t="s">
        <v>146</v>
      </c>
      <c r="B24" s="259">
        <f t="shared" si="0"/>
        <v>52606</v>
      </c>
      <c r="C24" s="260">
        <f>51641</f>
        <v>51641</v>
      </c>
      <c r="D24" s="260"/>
      <c r="E24" s="260">
        <f>965</f>
        <v>965</v>
      </c>
      <c r="F24" s="261"/>
      <c r="L24" s="18">
        <v>47031</v>
      </c>
      <c r="M24" s="401">
        <f t="shared" si="1"/>
        <v>4610</v>
      </c>
    </row>
    <row r="25" spans="1:13" x14ac:dyDescent="0.2">
      <c r="A25" s="41" t="s">
        <v>92</v>
      </c>
      <c r="B25" s="259">
        <f t="shared" si="0"/>
        <v>34763</v>
      </c>
      <c r="C25" s="260">
        <f>33890</f>
        <v>33890</v>
      </c>
      <c r="D25" s="260"/>
      <c r="E25" s="260">
        <f>873</f>
        <v>873</v>
      </c>
      <c r="F25" s="261"/>
      <c r="L25" s="18">
        <v>30864</v>
      </c>
      <c r="M25" s="401">
        <f t="shared" si="1"/>
        <v>3026</v>
      </c>
    </row>
    <row r="26" spans="1:13" s="101" customFormat="1" ht="15.75" x14ac:dyDescent="0.25">
      <c r="A26" s="102" t="s">
        <v>1524</v>
      </c>
      <c r="B26" s="262">
        <f t="shared" si="0"/>
        <v>2318630</v>
      </c>
      <c r="C26" s="257">
        <f>SUM(C27:C44)</f>
        <v>777154</v>
      </c>
      <c r="D26" s="257">
        <f>SUM(D27:D44)</f>
        <v>618476</v>
      </c>
      <c r="E26" s="257">
        <f>SUM(E27:E44)</f>
        <v>23000</v>
      </c>
      <c r="F26" s="258">
        <f>SUM(F27:F44)</f>
        <v>900000</v>
      </c>
      <c r="G26" s="198"/>
    </row>
    <row r="27" spans="1:13" x14ac:dyDescent="0.2">
      <c r="A27" s="41" t="s">
        <v>59</v>
      </c>
      <c r="B27" s="259">
        <f t="shared" si="0"/>
        <v>16405</v>
      </c>
      <c r="C27" s="260">
        <f>15492</f>
        <v>15492</v>
      </c>
      <c r="D27" s="260"/>
      <c r="E27" s="260">
        <f>913</f>
        <v>913</v>
      </c>
      <c r="F27" s="261"/>
    </row>
    <row r="28" spans="1:13" x14ac:dyDescent="0.2">
      <c r="A28" s="41" t="s">
        <v>85</v>
      </c>
      <c r="B28" s="259">
        <f t="shared" si="0"/>
        <v>10559</v>
      </c>
      <c r="C28" s="260">
        <f>9747</f>
        <v>9747</v>
      </c>
      <c r="D28" s="260"/>
      <c r="E28" s="260">
        <f>812</f>
        <v>812</v>
      </c>
      <c r="F28" s="261"/>
    </row>
    <row r="29" spans="1:13" x14ac:dyDescent="0.2">
      <c r="A29" s="41" t="s">
        <v>171</v>
      </c>
      <c r="B29" s="259">
        <f t="shared" si="0"/>
        <v>623672</v>
      </c>
      <c r="C29" s="260">
        <f>4540</f>
        <v>4540</v>
      </c>
      <c r="D29" s="260">
        <f>618476</f>
        <v>618476</v>
      </c>
      <c r="E29" s="260">
        <f>656</f>
        <v>656</v>
      </c>
      <c r="F29" s="261"/>
    </row>
    <row r="30" spans="1:13" x14ac:dyDescent="0.2">
      <c r="A30" s="42" t="s">
        <v>60</v>
      </c>
      <c r="B30" s="259">
        <f t="shared" si="0"/>
        <v>1119273</v>
      </c>
      <c r="C30" s="260">
        <f>215063</f>
        <v>215063</v>
      </c>
      <c r="D30" s="260"/>
      <c r="E30" s="260">
        <f>4210</f>
        <v>4210</v>
      </c>
      <c r="F30" s="261">
        <f>900000</f>
        <v>900000</v>
      </c>
    </row>
    <row r="31" spans="1:13" x14ac:dyDescent="0.2">
      <c r="A31" s="41" t="s">
        <v>61</v>
      </c>
      <c r="B31" s="259">
        <f t="shared" si="0"/>
        <v>3630</v>
      </c>
      <c r="C31" s="260">
        <f>2862</f>
        <v>2862</v>
      </c>
      <c r="D31" s="260"/>
      <c r="E31" s="260">
        <f>768</f>
        <v>768</v>
      </c>
      <c r="F31" s="261"/>
    </row>
    <row r="32" spans="1:13" ht="15" customHeight="1" x14ac:dyDescent="0.2">
      <c r="A32" s="43" t="s">
        <v>247</v>
      </c>
      <c r="B32" s="259">
        <f t="shared" si="0"/>
        <v>70895</v>
      </c>
      <c r="C32" s="260">
        <f>69264</f>
        <v>69264</v>
      </c>
      <c r="D32" s="260"/>
      <c r="E32" s="260">
        <f>1631</f>
        <v>1631</v>
      </c>
      <c r="F32" s="261"/>
    </row>
    <row r="33" spans="1:7" x14ac:dyDescent="0.2">
      <c r="A33" s="41" t="s">
        <v>86</v>
      </c>
      <c r="B33" s="259">
        <f t="shared" si="0"/>
        <v>41704</v>
      </c>
      <c r="C33" s="260">
        <f>40495</f>
        <v>40495</v>
      </c>
      <c r="D33" s="260"/>
      <c r="E33" s="260">
        <f>1209</f>
        <v>1209</v>
      </c>
      <c r="F33" s="261"/>
    </row>
    <row r="34" spans="1:7" x14ac:dyDescent="0.2">
      <c r="A34" s="41" t="s">
        <v>142</v>
      </c>
      <c r="B34" s="259">
        <f t="shared" si="0"/>
        <v>30489</v>
      </c>
      <c r="C34" s="260">
        <f>29220</f>
        <v>29220</v>
      </c>
      <c r="D34" s="260"/>
      <c r="E34" s="260">
        <f>1269</f>
        <v>1269</v>
      </c>
      <c r="F34" s="261"/>
    </row>
    <row r="35" spans="1:7" x14ac:dyDescent="0.2">
      <c r="A35" s="41" t="s">
        <v>143</v>
      </c>
      <c r="B35" s="259">
        <f t="shared" si="0"/>
        <v>15859</v>
      </c>
      <c r="C35" s="260">
        <f>15256</f>
        <v>15256</v>
      </c>
      <c r="D35" s="260"/>
      <c r="E35" s="260">
        <f>603</f>
        <v>603</v>
      </c>
      <c r="F35" s="261"/>
    </row>
    <row r="36" spans="1:7" x14ac:dyDescent="0.2">
      <c r="A36" s="41" t="s">
        <v>87</v>
      </c>
      <c r="B36" s="259">
        <f t="shared" si="0"/>
        <v>5835</v>
      </c>
      <c r="C36" s="260">
        <f>4927</f>
        <v>4927</v>
      </c>
      <c r="D36" s="260"/>
      <c r="E36" s="260">
        <f>908</f>
        <v>908</v>
      </c>
      <c r="F36" s="261"/>
    </row>
    <row r="37" spans="1:7" x14ac:dyDescent="0.2">
      <c r="A37" s="42" t="s">
        <v>89</v>
      </c>
      <c r="B37" s="259">
        <f t="shared" si="0"/>
        <v>23732</v>
      </c>
      <c r="C37" s="260">
        <v>22098</v>
      </c>
      <c r="D37" s="260"/>
      <c r="E37" s="260">
        <f>1634</f>
        <v>1634</v>
      </c>
      <c r="F37" s="261"/>
    </row>
    <row r="38" spans="1:7" x14ac:dyDescent="0.2">
      <c r="A38" s="41" t="s">
        <v>172</v>
      </c>
      <c r="B38" s="259">
        <f t="shared" si="0"/>
        <v>28719</v>
      </c>
      <c r="C38" s="260">
        <f>27714</f>
        <v>27714</v>
      </c>
      <c r="D38" s="260"/>
      <c r="E38" s="260">
        <f>1005</f>
        <v>1005</v>
      </c>
      <c r="F38" s="261"/>
    </row>
    <row r="39" spans="1:7" x14ac:dyDescent="0.2">
      <c r="A39" s="41" t="s">
        <v>88</v>
      </c>
      <c r="B39" s="259">
        <f t="shared" si="0"/>
        <v>52983</v>
      </c>
      <c r="C39" s="260">
        <f>51942</f>
        <v>51942</v>
      </c>
      <c r="D39" s="260"/>
      <c r="E39" s="260">
        <f>1041</f>
        <v>1041</v>
      </c>
      <c r="F39" s="261"/>
    </row>
    <row r="40" spans="1:7" x14ac:dyDescent="0.2">
      <c r="A40" s="41" t="s">
        <v>90</v>
      </c>
      <c r="B40" s="259">
        <f t="shared" ref="B40:B63" si="2">SUM(C40+E40+F40+D40)</f>
        <v>148341</v>
      </c>
      <c r="C40" s="260">
        <f>145735</f>
        <v>145735</v>
      </c>
      <c r="D40" s="260"/>
      <c r="E40" s="260">
        <f>2606</f>
        <v>2606</v>
      </c>
      <c r="F40" s="261"/>
    </row>
    <row r="41" spans="1:7" x14ac:dyDescent="0.2">
      <c r="A41" s="41" t="s">
        <v>91</v>
      </c>
      <c r="B41" s="259">
        <f t="shared" si="2"/>
        <v>13980</v>
      </c>
      <c r="C41" s="260">
        <f>13255</f>
        <v>13255</v>
      </c>
      <c r="D41" s="260"/>
      <c r="E41" s="260">
        <f>725</f>
        <v>725</v>
      </c>
      <c r="F41" s="261"/>
    </row>
    <row r="42" spans="1:7" x14ac:dyDescent="0.2">
      <c r="A42" s="41" t="s">
        <v>145</v>
      </c>
      <c r="B42" s="259">
        <f t="shared" si="2"/>
        <v>25185</v>
      </c>
      <c r="C42" s="260">
        <f>24013</f>
        <v>24013</v>
      </c>
      <c r="D42" s="260"/>
      <c r="E42" s="260">
        <f>1172</f>
        <v>1172</v>
      </c>
      <c r="F42" s="261"/>
    </row>
    <row r="43" spans="1:7" x14ac:dyDescent="0.2">
      <c r="A43" s="41" t="s">
        <v>146</v>
      </c>
      <c r="B43" s="259">
        <f t="shared" si="2"/>
        <v>52606</v>
      </c>
      <c r="C43" s="260">
        <f>51641</f>
        <v>51641</v>
      </c>
      <c r="D43" s="260"/>
      <c r="E43" s="260">
        <f>965</f>
        <v>965</v>
      </c>
      <c r="F43" s="261"/>
    </row>
    <row r="44" spans="1:7" x14ac:dyDescent="0.2">
      <c r="A44" s="41" t="s">
        <v>92</v>
      </c>
      <c r="B44" s="259">
        <f t="shared" si="2"/>
        <v>34763</v>
      </c>
      <c r="C44" s="260">
        <f>33890</f>
        <v>33890</v>
      </c>
      <c r="D44" s="260"/>
      <c r="E44" s="260">
        <f>873</f>
        <v>873</v>
      </c>
      <c r="F44" s="261"/>
    </row>
    <row r="45" spans="1:7" ht="15.75" x14ac:dyDescent="0.25">
      <c r="A45" s="102" t="s">
        <v>2085</v>
      </c>
      <c r="B45" s="262">
        <f t="shared" si="2"/>
        <v>2318630</v>
      </c>
      <c r="C45" s="257">
        <f>SUM(C46:C63)</f>
        <v>777154</v>
      </c>
      <c r="D45" s="257">
        <f>SUM(D46:D63)</f>
        <v>618476</v>
      </c>
      <c r="E45" s="257">
        <f>SUM(E46:E63)</f>
        <v>23000</v>
      </c>
      <c r="F45" s="258">
        <f>SUM(F46:F63)</f>
        <v>900000</v>
      </c>
      <c r="G45" s="198"/>
    </row>
    <row r="46" spans="1:7" x14ac:dyDescent="0.2">
      <c r="A46" s="41" t="s">
        <v>59</v>
      </c>
      <c r="B46" s="259">
        <f t="shared" si="2"/>
        <v>16405</v>
      </c>
      <c r="C46" s="260">
        <f>15492</f>
        <v>15492</v>
      </c>
      <c r="D46" s="260"/>
      <c r="E46" s="260">
        <f>913</f>
        <v>913</v>
      </c>
      <c r="F46" s="261"/>
    </row>
    <row r="47" spans="1:7" x14ac:dyDescent="0.2">
      <c r="A47" s="41" t="s">
        <v>85</v>
      </c>
      <c r="B47" s="259">
        <f t="shared" si="2"/>
        <v>10559</v>
      </c>
      <c r="C47" s="260">
        <f>9747</f>
        <v>9747</v>
      </c>
      <c r="D47" s="260"/>
      <c r="E47" s="260">
        <f>812</f>
        <v>812</v>
      </c>
      <c r="F47" s="261"/>
    </row>
    <row r="48" spans="1:7" x14ac:dyDescent="0.2">
      <c r="A48" s="41" t="s">
        <v>171</v>
      </c>
      <c r="B48" s="259">
        <f t="shared" si="2"/>
        <v>623672</v>
      </c>
      <c r="C48" s="260">
        <f>4540</f>
        <v>4540</v>
      </c>
      <c r="D48" s="260">
        <f>618476</f>
        <v>618476</v>
      </c>
      <c r="E48" s="260">
        <f>656</f>
        <v>656</v>
      </c>
      <c r="F48" s="261"/>
    </row>
    <row r="49" spans="1:6" x14ac:dyDescent="0.2">
      <c r="A49" s="42" t="s">
        <v>60</v>
      </c>
      <c r="B49" s="259">
        <f t="shared" si="2"/>
        <v>1119273</v>
      </c>
      <c r="C49" s="260">
        <f>215063</f>
        <v>215063</v>
      </c>
      <c r="D49" s="260"/>
      <c r="E49" s="260">
        <f>4210</f>
        <v>4210</v>
      </c>
      <c r="F49" s="261">
        <f>900000</f>
        <v>900000</v>
      </c>
    </row>
    <row r="50" spans="1:6" x14ac:dyDescent="0.2">
      <c r="A50" s="41" t="s">
        <v>61</v>
      </c>
      <c r="B50" s="259">
        <f t="shared" si="2"/>
        <v>3630</v>
      </c>
      <c r="C50" s="260">
        <f>2862</f>
        <v>2862</v>
      </c>
      <c r="D50" s="260"/>
      <c r="E50" s="260">
        <f>768</f>
        <v>768</v>
      </c>
      <c r="F50" s="261"/>
    </row>
    <row r="51" spans="1:6" ht="15" customHeight="1" x14ac:dyDescent="0.2">
      <c r="A51" s="43" t="s">
        <v>247</v>
      </c>
      <c r="B51" s="259">
        <f t="shared" si="2"/>
        <v>70895</v>
      </c>
      <c r="C51" s="260">
        <f>69264</f>
        <v>69264</v>
      </c>
      <c r="D51" s="260"/>
      <c r="E51" s="260">
        <f>1631</f>
        <v>1631</v>
      </c>
      <c r="F51" s="261"/>
    </row>
    <row r="52" spans="1:6" x14ac:dyDescent="0.2">
      <c r="A52" s="41" t="s">
        <v>86</v>
      </c>
      <c r="B52" s="259">
        <f t="shared" si="2"/>
        <v>41704</v>
      </c>
      <c r="C52" s="260">
        <f>40495</f>
        <v>40495</v>
      </c>
      <c r="D52" s="260"/>
      <c r="E52" s="260">
        <f>1209</f>
        <v>1209</v>
      </c>
      <c r="F52" s="261"/>
    </row>
    <row r="53" spans="1:6" x14ac:dyDescent="0.2">
      <c r="A53" s="41" t="s">
        <v>142</v>
      </c>
      <c r="B53" s="259">
        <f t="shared" si="2"/>
        <v>30489</v>
      </c>
      <c r="C53" s="260">
        <f>29220</f>
        <v>29220</v>
      </c>
      <c r="D53" s="260"/>
      <c r="E53" s="260">
        <f>1269</f>
        <v>1269</v>
      </c>
      <c r="F53" s="261"/>
    </row>
    <row r="54" spans="1:6" x14ac:dyDescent="0.2">
      <c r="A54" s="41" t="s">
        <v>143</v>
      </c>
      <c r="B54" s="259">
        <f t="shared" si="2"/>
        <v>15859</v>
      </c>
      <c r="C54" s="260">
        <f>15256</f>
        <v>15256</v>
      </c>
      <c r="D54" s="260"/>
      <c r="E54" s="260">
        <f>603</f>
        <v>603</v>
      </c>
      <c r="F54" s="261"/>
    </row>
    <row r="55" spans="1:6" x14ac:dyDescent="0.2">
      <c r="A55" s="41" t="s">
        <v>87</v>
      </c>
      <c r="B55" s="259">
        <f t="shared" si="2"/>
        <v>5835</v>
      </c>
      <c r="C55" s="260">
        <f>4927</f>
        <v>4927</v>
      </c>
      <c r="D55" s="260"/>
      <c r="E55" s="260">
        <f>908</f>
        <v>908</v>
      </c>
      <c r="F55" s="261"/>
    </row>
    <row r="56" spans="1:6" x14ac:dyDescent="0.2">
      <c r="A56" s="42" t="s">
        <v>89</v>
      </c>
      <c r="B56" s="259">
        <f t="shared" si="2"/>
        <v>23732</v>
      </c>
      <c r="C56" s="260">
        <v>22098</v>
      </c>
      <c r="D56" s="260"/>
      <c r="E56" s="260">
        <f>1634</f>
        <v>1634</v>
      </c>
      <c r="F56" s="261"/>
    </row>
    <row r="57" spans="1:6" x14ac:dyDescent="0.2">
      <c r="A57" s="41" t="s">
        <v>172</v>
      </c>
      <c r="B57" s="259">
        <f t="shared" si="2"/>
        <v>28719</v>
      </c>
      <c r="C57" s="260">
        <f>27714</f>
        <v>27714</v>
      </c>
      <c r="D57" s="260"/>
      <c r="E57" s="260">
        <f>1005</f>
        <v>1005</v>
      </c>
      <c r="F57" s="261"/>
    </row>
    <row r="58" spans="1:6" x14ac:dyDescent="0.2">
      <c r="A58" s="41" t="s">
        <v>88</v>
      </c>
      <c r="B58" s="259">
        <f t="shared" si="2"/>
        <v>52983</v>
      </c>
      <c r="C58" s="260">
        <f>51942</f>
        <v>51942</v>
      </c>
      <c r="D58" s="260"/>
      <c r="E58" s="260">
        <f>1041</f>
        <v>1041</v>
      </c>
      <c r="F58" s="261"/>
    </row>
    <row r="59" spans="1:6" x14ac:dyDescent="0.2">
      <c r="A59" s="41" t="s">
        <v>90</v>
      </c>
      <c r="B59" s="259">
        <f t="shared" si="2"/>
        <v>148341</v>
      </c>
      <c r="C59" s="260">
        <f>145735</f>
        <v>145735</v>
      </c>
      <c r="D59" s="260"/>
      <c r="E59" s="260">
        <f>2606</f>
        <v>2606</v>
      </c>
      <c r="F59" s="261"/>
    </row>
    <row r="60" spans="1:6" x14ac:dyDescent="0.2">
      <c r="A60" s="41" t="s">
        <v>91</v>
      </c>
      <c r="B60" s="259">
        <f t="shared" si="2"/>
        <v>13980</v>
      </c>
      <c r="C60" s="260">
        <f>13255</f>
        <v>13255</v>
      </c>
      <c r="D60" s="260"/>
      <c r="E60" s="260">
        <f>725</f>
        <v>725</v>
      </c>
      <c r="F60" s="261"/>
    </row>
    <row r="61" spans="1:6" x14ac:dyDescent="0.2">
      <c r="A61" s="41" t="s">
        <v>145</v>
      </c>
      <c r="B61" s="259">
        <f t="shared" si="2"/>
        <v>25185</v>
      </c>
      <c r="C61" s="260">
        <f>24013</f>
        <v>24013</v>
      </c>
      <c r="D61" s="260"/>
      <c r="E61" s="260">
        <f>1172</f>
        <v>1172</v>
      </c>
      <c r="F61" s="261"/>
    </row>
    <row r="62" spans="1:6" x14ac:dyDescent="0.2">
      <c r="A62" s="41" t="s">
        <v>146</v>
      </c>
      <c r="B62" s="259">
        <f t="shared" si="2"/>
        <v>52606</v>
      </c>
      <c r="C62" s="260">
        <f>51641</f>
        <v>51641</v>
      </c>
      <c r="D62" s="260"/>
      <c r="E62" s="260">
        <f>965</f>
        <v>965</v>
      </c>
      <c r="F62" s="261"/>
    </row>
    <row r="63" spans="1:6" x14ac:dyDescent="0.2">
      <c r="A63" s="41" t="s">
        <v>92</v>
      </c>
      <c r="B63" s="259">
        <f t="shared" si="2"/>
        <v>34763</v>
      </c>
      <c r="C63" s="260">
        <f>33890</f>
        <v>33890</v>
      </c>
      <c r="D63" s="260"/>
      <c r="E63" s="260">
        <f>873</f>
        <v>873</v>
      </c>
      <c r="F63" s="261"/>
    </row>
  </sheetData>
  <mergeCells count="6">
    <mergeCell ref="A1:F1"/>
    <mergeCell ref="A5:A6"/>
    <mergeCell ref="B5:B6"/>
    <mergeCell ref="A3:F3"/>
    <mergeCell ref="C5:F5"/>
    <mergeCell ref="A2:F2"/>
  </mergeCells>
  <phoneticPr fontId="3" type="noConversion"/>
  <pageMargins left="0.23622047244094491" right="0.23622047244094491" top="0.74803149606299213" bottom="0.74803149606299213" header="0.31496062992125984" footer="0.31496062992125984"/>
  <pageSetup paperSize="9" scale="78"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4"/>
  <sheetViews>
    <sheetView topLeftCell="A2" zoomScaleNormal="100" workbookViewId="0">
      <selection activeCell="C28" sqref="C28"/>
    </sheetView>
  </sheetViews>
  <sheetFormatPr defaultRowHeight="12.75" x14ac:dyDescent="0.2"/>
  <cols>
    <col min="1" max="1" width="43" customWidth="1"/>
    <col min="2" max="2" width="15.7109375" customWidth="1"/>
    <col min="3" max="3" width="16.140625" customWidth="1"/>
    <col min="4" max="4" width="16.85546875" customWidth="1"/>
    <col min="5" max="5" width="13.140625" customWidth="1"/>
  </cols>
  <sheetData>
    <row r="1" spans="1:6" ht="54" hidden="1" customHeight="1" x14ac:dyDescent="0.2">
      <c r="A1" s="444" t="str">
        <f>"Приложение №"&amp;Н2сбал&amp;"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c r="C1" s="444"/>
      <c r="D1" s="444"/>
      <c r="E1" s="19"/>
    </row>
    <row r="2" spans="1:6" ht="70.5" customHeight="1" x14ac:dyDescent="0.2">
      <c r="A2" s="444" t="str">
        <f>"Приложение "&amp;Н1сбал&amp;" к решению
Богучанского районного Совета депутатов
от "&amp;Р1дата&amp;" года №"&amp;Р1номер</f>
        <v>Приложение 22 к решению
Богучанского районного Совета депутатов
от  04.12.2020 года №5/1-16</v>
      </c>
      <c r="B2" s="444"/>
      <c r="C2" s="444"/>
      <c r="D2" s="444"/>
      <c r="E2" s="19"/>
      <c r="F2" s="3"/>
    </row>
    <row r="3" spans="1:6" ht="84" customHeight="1" x14ac:dyDescent="0.3">
      <c r="A3" s="489" t="str">
        <f>"Иные межбюджетные трансферты на поддержку мер по обеспечению сбалансированности бюджетов поселений на  "&amp;год&amp;" год и плановый период "&amp;ПлПер&amp;" годов"</f>
        <v>Иные межбюджетные трансферты на поддержку мер по обеспечению сбалансированности бюджетов поселений на  2021 год и плановый период 2022-2023 годов</v>
      </c>
      <c r="B3" s="489"/>
      <c r="C3" s="489"/>
      <c r="D3" s="489"/>
      <c r="E3" s="19"/>
      <c r="F3" s="3"/>
    </row>
    <row r="4" spans="1:6" x14ac:dyDescent="0.2">
      <c r="A4" s="177"/>
      <c r="B4" s="8"/>
      <c r="C4" s="8"/>
      <c r="D4" s="178" t="s">
        <v>73</v>
      </c>
      <c r="E4" s="19"/>
      <c r="F4" s="3"/>
    </row>
    <row r="5" spans="1:6" ht="14.25" x14ac:dyDescent="0.2">
      <c r="A5" s="22" t="s">
        <v>22</v>
      </c>
      <c r="B5" s="22" t="s">
        <v>1417</v>
      </c>
      <c r="C5" s="22" t="s">
        <v>1523</v>
      </c>
      <c r="D5" s="22" t="s">
        <v>2082</v>
      </c>
      <c r="E5" s="33">
        <v>1110080120</v>
      </c>
      <c r="F5" s="3" t="s">
        <v>276</v>
      </c>
    </row>
    <row r="6" spans="1:6" ht="15" x14ac:dyDescent="0.2">
      <c r="A6" s="413" t="s">
        <v>74</v>
      </c>
      <c r="B6" s="301">
        <f>SUM(B7:B24)</f>
        <v>36570000</v>
      </c>
      <c r="C6" s="301">
        <f>SUM(C7:C24)</f>
        <v>28250000</v>
      </c>
      <c r="D6" s="301">
        <f>SUM(D7:D24)</f>
        <v>28250000</v>
      </c>
      <c r="E6" s="114">
        <f ca="1">SUMIF(РзПз,"????"&amp;E$5,СумВед)-B6</f>
        <v>0</v>
      </c>
      <c r="F6" s="3">
        <v>2016</v>
      </c>
    </row>
    <row r="7" spans="1:6" ht="14.25" x14ac:dyDescent="0.2">
      <c r="A7" s="351" t="s">
        <v>672</v>
      </c>
      <c r="B7" s="267">
        <f>3133200</f>
        <v>3133200</v>
      </c>
      <c r="C7" s="432">
        <f>2506000</f>
        <v>2506000</v>
      </c>
      <c r="D7" s="432">
        <f>2506000</f>
        <v>2506000</v>
      </c>
      <c r="E7" s="114">
        <f ca="1">SUMIF(РзПзПлПер,"????"&amp;E$5,СумВед14)-C6</f>
        <v>-28250000</v>
      </c>
      <c r="F7" s="3">
        <v>2017</v>
      </c>
    </row>
    <row r="8" spans="1:6" ht="28.5" x14ac:dyDescent="0.2">
      <c r="A8" s="351" t="s">
        <v>85</v>
      </c>
      <c r="B8" s="267">
        <f>2878600</f>
        <v>2878600</v>
      </c>
      <c r="C8" s="432">
        <v>1302000</v>
      </c>
      <c r="D8" s="432">
        <v>1302000</v>
      </c>
      <c r="E8" s="114">
        <f ca="1">SUMIF(РзПзПлПер,"????"&amp;E$5,СумВед15)-D6</f>
        <v>-28250000</v>
      </c>
      <c r="F8" s="3">
        <v>2018</v>
      </c>
    </row>
    <row r="9" spans="1:6" ht="28.5" hidden="1" x14ac:dyDescent="0.2">
      <c r="A9" s="433" t="s">
        <v>171</v>
      </c>
      <c r="B9" s="267"/>
      <c r="C9" s="432"/>
      <c r="D9" s="432"/>
      <c r="E9" s="19"/>
      <c r="F9" s="3"/>
    </row>
    <row r="10" spans="1:6" ht="14.25" hidden="1" x14ac:dyDescent="0.2">
      <c r="A10" s="433" t="s">
        <v>60</v>
      </c>
      <c r="B10" s="267"/>
      <c r="C10" s="432"/>
      <c r="D10" s="432"/>
      <c r="E10" s="19"/>
      <c r="F10" s="3"/>
    </row>
    <row r="11" spans="1:6" ht="28.5" x14ac:dyDescent="0.2">
      <c r="A11" s="351" t="s">
        <v>61</v>
      </c>
      <c r="B11" s="267">
        <f>3503300</f>
        <v>3503300</v>
      </c>
      <c r="C11" s="432">
        <f>2802000</f>
        <v>2802000</v>
      </c>
      <c r="D11" s="432">
        <f>2802000</f>
        <v>2802000</v>
      </c>
      <c r="E11" s="19"/>
      <c r="F11" s="3"/>
    </row>
    <row r="12" spans="1:6" ht="16.5" customHeight="1" x14ac:dyDescent="0.2">
      <c r="A12" s="43" t="s">
        <v>247</v>
      </c>
      <c r="B12" s="267">
        <f>1553100</f>
        <v>1553100</v>
      </c>
      <c r="C12" s="432">
        <v>1242000</v>
      </c>
      <c r="D12" s="432">
        <v>1242000</v>
      </c>
      <c r="E12" s="19"/>
      <c r="F12" s="3"/>
    </row>
    <row r="13" spans="1:6" ht="14.25" x14ac:dyDescent="0.2">
      <c r="A13" s="351" t="s">
        <v>86</v>
      </c>
      <c r="B13" s="267">
        <f>3165300</f>
        <v>3165300</v>
      </c>
      <c r="C13" s="432">
        <v>2532000</v>
      </c>
      <c r="D13" s="432">
        <v>2532000</v>
      </c>
      <c r="E13" s="37"/>
      <c r="F13" s="3"/>
    </row>
    <row r="14" spans="1:6" ht="14.25" x14ac:dyDescent="0.2">
      <c r="A14" s="351" t="s">
        <v>142</v>
      </c>
      <c r="B14" s="267">
        <f>5749700</f>
        <v>5749700</v>
      </c>
      <c r="C14" s="432">
        <v>4599000</v>
      </c>
      <c r="D14" s="432">
        <v>4599000</v>
      </c>
      <c r="E14" s="19"/>
      <c r="F14" s="3"/>
    </row>
    <row r="15" spans="1:6" ht="28.5" hidden="1" x14ac:dyDescent="0.2">
      <c r="A15" s="351" t="s">
        <v>143</v>
      </c>
      <c r="B15" s="267"/>
      <c r="C15" s="432"/>
      <c r="D15" s="432"/>
      <c r="E15" s="19"/>
      <c r="F15" s="3"/>
    </row>
    <row r="16" spans="1:6" ht="28.5" x14ac:dyDescent="0.2">
      <c r="A16" s="351" t="s">
        <v>87</v>
      </c>
      <c r="B16" s="267">
        <f>2824000</f>
        <v>2824000</v>
      </c>
      <c r="C16" s="432">
        <v>2259000</v>
      </c>
      <c r="D16" s="432">
        <v>2259000</v>
      </c>
      <c r="E16" s="19"/>
      <c r="F16" s="3"/>
    </row>
    <row r="17" spans="1:6" ht="28.5" x14ac:dyDescent="0.2">
      <c r="A17" s="351" t="s">
        <v>89</v>
      </c>
      <c r="B17" s="267">
        <v>119100</v>
      </c>
      <c r="C17" s="432">
        <v>95000</v>
      </c>
      <c r="D17" s="432">
        <v>95000</v>
      </c>
      <c r="E17" s="19"/>
      <c r="F17" s="3"/>
    </row>
    <row r="18" spans="1:6" ht="15" customHeight="1" x14ac:dyDescent="0.2">
      <c r="A18" s="351" t="s">
        <v>172</v>
      </c>
      <c r="B18" s="267">
        <f>306200</f>
        <v>306200</v>
      </c>
      <c r="C18" s="432">
        <v>245000</v>
      </c>
      <c r="D18" s="432">
        <v>245000</v>
      </c>
      <c r="E18" s="19"/>
      <c r="F18" s="3"/>
    </row>
    <row r="19" spans="1:6" ht="14.25" x14ac:dyDescent="0.2">
      <c r="A19" s="351" t="s">
        <v>88</v>
      </c>
      <c r="B19" s="267">
        <f>4898000</f>
        <v>4898000</v>
      </c>
      <c r="C19" s="432">
        <v>3918000</v>
      </c>
      <c r="D19" s="432">
        <v>3918000</v>
      </c>
      <c r="E19" s="19"/>
      <c r="F19" s="3"/>
    </row>
    <row r="20" spans="1:6" ht="28.5" hidden="1" x14ac:dyDescent="0.2">
      <c r="A20" s="351" t="s">
        <v>90</v>
      </c>
      <c r="B20" s="267"/>
      <c r="C20" s="432"/>
      <c r="D20" s="432"/>
      <c r="E20" s="19"/>
      <c r="F20" s="3"/>
    </row>
    <row r="21" spans="1:6" ht="28.5" x14ac:dyDescent="0.2">
      <c r="A21" s="351" t="s">
        <v>91</v>
      </c>
      <c r="B21" s="267">
        <f>520400</f>
        <v>520400</v>
      </c>
      <c r="C21" s="432">
        <v>416000</v>
      </c>
      <c r="D21" s="432">
        <v>416000</v>
      </c>
      <c r="E21" s="19"/>
      <c r="F21" s="3"/>
    </row>
    <row r="22" spans="1:6" ht="28.5" x14ac:dyDescent="0.2">
      <c r="A22" s="351" t="s">
        <v>145</v>
      </c>
      <c r="B22" s="267">
        <f>3080600</f>
        <v>3080600</v>
      </c>
      <c r="C22" s="432">
        <v>2464000</v>
      </c>
      <c r="D22" s="432">
        <v>2464000</v>
      </c>
      <c r="E22" s="19"/>
      <c r="F22" s="3"/>
    </row>
    <row r="23" spans="1:6" ht="14.25" x14ac:dyDescent="0.2">
      <c r="A23" s="351" t="s">
        <v>146</v>
      </c>
      <c r="B23" s="267">
        <f>1366800</f>
        <v>1366800</v>
      </c>
      <c r="C23" s="432">
        <v>1093000</v>
      </c>
      <c r="D23" s="432">
        <v>1093000</v>
      </c>
      <c r="E23" s="19"/>
      <c r="F23" s="3"/>
    </row>
    <row r="24" spans="1:6" ht="15" x14ac:dyDescent="0.25">
      <c r="A24" s="253" t="s">
        <v>92</v>
      </c>
      <c r="B24" s="263">
        <f>3471700</f>
        <v>3471700</v>
      </c>
      <c r="C24" s="312">
        <v>2777000</v>
      </c>
      <c r="D24" s="312">
        <v>2777000</v>
      </c>
      <c r="E24" s="19"/>
      <c r="F24" s="3"/>
    </row>
  </sheetData>
  <mergeCells count="3">
    <mergeCell ref="A2:D2"/>
    <mergeCell ref="A3:D3"/>
    <mergeCell ref="A1:D1"/>
  </mergeCells>
  <pageMargins left="0.70866141732283472" right="0.11811023622047245"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213"/>
  <sheetViews>
    <sheetView topLeftCell="A39" zoomScale="90" zoomScaleNormal="90" zoomScaleSheetLayoutView="75" workbookViewId="0">
      <selection activeCell="B40" sqref="B40:D40"/>
    </sheetView>
  </sheetViews>
  <sheetFormatPr defaultRowHeight="44.25" customHeight="1" x14ac:dyDescent="0.2"/>
  <cols>
    <col min="1" max="1" width="5.28515625" style="131" bestFit="1" customWidth="1"/>
    <col min="2" max="2" width="9.5703125" style="131" customWidth="1"/>
    <col min="3" max="3" width="36.42578125" style="131" customWidth="1"/>
    <col min="4" max="4" width="103.42578125" style="132" customWidth="1"/>
    <col min="5" max="5" width="26.85546875" style="127" customWidth="1"/>
    <col min="6" max="16384" width="9.140625" style="127"/>
  </cols>
  <sheetData>
    <row r="1" spans="1:9" ht="44.25" hidden="1" customHeight="1" x14ac:dyDescent="0.2">
      <c r="A1" s="445" t="str">
        <f>"Приложение №"&amp;Н2адох&amp;"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5"/>
      <c r="C1" s="445"/>
      <c r="D1" s="445"/>
      <c r="E1" s="126"/>
    </row>
    <row r="2" spans="1:9" ht="44.25" customHeight="1" x14ac:dyDescent="0.2">
      <c r="A2" s="445" t="str">
        <f>"Приложение "&amp;Н1адох&amp;" к решению
Богучанского районного Совета депутатов
от "&amp;Р1дата&amp;" года №"&amp;Р1номер</f>
        <v>Приложение 2 к решению
Богучанского районного Совета депутатов
от  04.12.2020 года №5/1-16</v>
      </c>
      <c r="B2" s="445"/>
      <c r="C2" s="445"/>
      <c r="D2" s="445"/>
      <c r="E2" s="126"/>
      <c r="F2" s="126"/>
      <c r="G2" s="126"/>
      <c r="H2" s="126"/>
      <c r="I2" s="126"/>
    </row>
    <row r="3" spans="1:9" ht="44.25" customHeight="1" x14ac:dyDescent="0.2">
      <c r="A3" s="452" t="str">
        <f>"Главные администраторы доходов районного бюджета на "&amp;год&amp;" год и плановый период "&amp;ПлПер&amp;" годов"</f>
        <v>Главные администраторы доходов районного бюджета на 2021 год и плановый период 2022-2023 годов</v>
      </c>
      <c r="B3" s="452"/>
      <c r="C3" s="452"/>
      <c r="D3" s="452"/>
      <c r="E3" s="128"/>
      <c r="F3" s="128"/>
      <c r="G3" s="128"/>
      <c r="H3" s="128"/>
      <c r="I3" s="128"/>
    </row>
    <row r="4" spans="1:9" ht="44.25" customHeight="1" x14ac:dyDescent="0.2">
      <c r="A4" s="130" t="s">
        <v>318</v>
      </c>
      <c r="B4" s="130" t="s">
        <v>319</v>
      </c>
      <c r="C4" s="130" t="s">
        <v>320</v>
      </c>
      <c r="D4" s="130" t="s">
        <v>321</v>
      </c>
    </row>
    <row r="5" spans="1:9" ht="44.25" customHeight="1" x14ac:dyDescent="0.2">
      <c r="A5" s="453" t="s">
        <v>322</v>
      </c>
      <c r="B5" s="453"/>
      <c r="C5" s="453"/>
      <c r="D5" s="453"/>
    </row>
    <row r="6" spans="1:9" ht="44.25" customHeight="1" x14ac:dyDescent="0.2">
      <c r="A6" s="307"/>
      <c r="B6" s="454" t="s">
        <v>360</v>
      </c>
      <c r="C6" s="455"/>
      <c r="D6" s="456"/>
    </row>
    <row r="7" spans="1:9" ht="44.25" customHeight="1" x14ac:dyDescent="0.2">
      <c r="A7" s="130">
        <v>1</v>
      </c>
      <c r="B7" s="153">
        <v>801</v>
      </c>
      <c r="C7" s="152" t="s">
        <v>1672</v>
      </c>
      <c r="D7" s="158" t="s">
        <v>1673</v>
      </c>
    </row>
    <row r="8" spans="1:9" ht="44.25" customHeight="1" x14ac:dyDescent="0.2">
      <c r="A8" s="130">
        <v>2</v>
      </c>
      <c r="B8" s="152" t="s">
        <v>185</v>
      </c>
      <c r="C8" s="156" t="s">
        <v>337</v>
      </c>
      <c r="D8" s="154" t="s">
        <v>338</v>
      </c>
    </row>
    <row r="9" spans="1:9" ht="44.25" customHeight="1" x14ac:dyDescent="0.2">
      <c r="A9" s="130">
        <v>3</v>
      </c>
      <c r="B9" s="152" t="s">
        <v>185</v>
      </c>
      <c r="C9" s="153" t="s">
        <v>339</v>
      </c>
      <c r="D9" s="154" t="s">
        <v>340</v>
      </c>
    </row>
    <row r="10" spans="1:9" ht="44.25" customHeight="1" x14ac:dyDescent="0.2">
      <c r="A10" s="307"/>
      <c r="B10" s="454" t="s">
        <v>1765</v>
      </c>
      <c r="C10" s="455"/>
      <c r="D10" s="456"/>
    </row>
    <row r="11" spans="1:9" ht="44.25" customHeight="1" x14ac:dyDescent="0.2">
      <c r="A11" s="130">
        <v>4</v>
      </c>
      <c r="B11" s="153">
        <v>802</v>
      </c>
      <c r="C11" s="152" t="s">
        <v>1672</v>
      </c>
      <c r="D11" s="158" t="s">
        <v>1673</v>
      </c>
    </row>
    <row r="12" spans="1:9" ht="44.25" customHeight="1" x14ac:dyDescent="0.2">
      <c r="A12" s="130">
        <v>5</v>
      </c>
      <c r="B12" s="153">
        <v>802</v>
      </c>
      <c r="C12" s="156" t="s">
        <v>337</v>
      </c>
      <c r="D12" s="154" t="s">
        <v>338</v>
      </c>
    </row>
    <row r="13" spans="1:9" ht="44.25" customHeight="1" x14ac:dyDescent="0.2">
      <c r="A13" s="130">
        <v>6</v>
      </c>
      <c r="B13" s="153">
        <v>802</v>
      </c>
      <c r="C13" s="153" t="s">
        <v>1613</v>
      </c>
      <c r="D13" s="154" t="s">
        <v>356</v>
      </c>
    </row>
    <row r="14" spans="1:9" ht="44.25" customHeight="1" x14ac:dyDescent="0.2">
      <c r="A14" s="130"/>
      <c r="B14" s="449" t="s">
        <v>1405</v>
      </c>
      <c r="C14" s="450"/>
      <c r="D14" s="451"/>
    </row>
    <row r="15" spans="1:9" ht="44.25" customHeight="1" x14ac:dyDescent="0.2">
      <c r="A15" s="130">
        <v>7</v>
      </c>
      <c r="B15" s="156">
        <v>806</v>
      </c>
      <c r="C15" s="156" t="s">
        <v>341</v>
      </c>
      <c r="D15" s="154" t="s">
        <v>1190</v>
      </c>
    </row>
    <row r="16" spans="1:9" ht="44.25" customHeight="1" x14ac:dyDescent="0.2">
      <c r="A16" s="130">
        <v>8</v>
      </c>
      <c r="B16" s="152" t="s">
        <v>5</v>
      </c>
      <c r="C16" s="153" t="s">
        <v>349</v>
      </c>
      <c r="D16" s="157" t="s">
        <v>213</v>
      </c>
    </row>
    <row r="17" spans="1:4" ht="44.25" customHeight="1" x14ac:dyDescent="0.2">
      <c r="A17" s="130">
        <v>9</v>
      </c>
      <c r="B17" s="152" t="s">
        <v>5</v>
      </c>
      <c r="C17" s="153" t="s">
        <v>342</v>
      </c>
      <c r="D17" s="157" t="s">
        <v>693</v>
      </c>
    </row>
    <row r="18" spans="1:4" ht="44.25" customHeight="1" x14ac:dyDescent="0.2">
      <c r="A18" s="130">
        <v>10</v>
      </c>
      <c r="B18" s="152" t="s">
        <v>5</v>
      </c>
      <c r="C18" s="152" t="s">
        <v>354</v>
      </c>
      <c r="D18" s="158" t="s">
        <v>355</v>
      </c>
    </row>
    <row r="19" spans="1:4" ht="44.25" customHeight="1" x14ac:dyDescent="0.2">
      <c r="A19" s="130">
        <v>11</v>
      </c>
      <c r="B19" s="153">
        <v>806</v>
      </c>
      <c r="C19" s="152" t="s">
        <v>1672</v>
      </c>
      <c r="D19" s="158" t="s">
        <v>1673</v>
      </c>
    </row>
    <row r="20" spans="1:4" ht="44.25" customHeight="1" x14ac:dyDescent="0.2">
      <c r="A20" s="130">
        <v>12</v>
      </c>
      <c r="B20" s="152" t="s">
        <v>5</v>
      </c>
      <c r="C20" s="152" t="s">
        <v>1373</v>
      </c>
      <c r="D20" s="158" t="s">
        <v>1767</v>
      </c>
    </row>
    <row r="21" spans="1:4" ht="44.25" customHeight="1" x14ac:dyDescent="0.2">
      <c r="A21" s="130">
        <v>13</v>
      </c>
      <c r="B21" s="152" t="s">
        <v>5</v>
      </c>
      <c r="C21" s="153" t="s">
        <v>1614</v>
      </c>
      <c r="D21" s="159" t="s">
        <v>1615</v>
      </c>
    </row>
    <row r="22" spans="1:4" ht="44.25" customHeight="1" x14ac:dyDescent="0.2">
      <c r="A22" s="130">
        <v>14</v>
      </c>
      <c r="B22" s="152" t="s">
        <v>5</v>
      </c>
      <c r="C22" s="153" t="s">
        <v>1627</v>
      </c>
      <c r="D22" s="159" t="s">
        <v>1626</v>
      </c>
    </row>
    <row r="23" spans="1:4" ht="44.25" customHeight="1" x14ac:dyDescent="0.2">
      <c r="A23" s="130">
        <v>15</v>
      </c>
      <c r="B23" s="152" t="s">
        <v>5</v>
      </c>
      <c r="C23" s="153" t="s">
        <v>1616</v>
      </c>
      <c r="D23" s="155" t="s">
        <v>1629</v>
      </c>
    </row>
    <row r="24" spans="1:4" ht="44.25" customHeight="1" x14ac:dyDescent="0.2">
      <c r="A24" s="130">
        <v>16</v>
      </c>
      <c r="B24" s="152" t="s">
        <v>5</v>
      </c>
      <c r="C24" s="153" t="s">
        <v>1628</v>
      </c>
      <c r="D24" s="157" t="s">
        <v>1590</v>
      </c>
    </row>
    <row r="25" spans="1:4" ht="44.25" customHeight="1" x14ac:dyDescent="0.2">
      <c r="A25" s="130">
        <v>17</v>
      </c>
      <c r="B25" s="152" t="s">
        <v>5</v>
      </c>
      <c r="C25" s="153" t="s">
        <v>1710</v>
      </c>
      <c r="D25" s="360" t="s">
        <v>1618</v>
      </c>
    </row>
    <row r="26" spans="1:4" ht="44.25" customHeight="1" x14ac:dyDescent="0.2">
      <c r="A26" s="130">
        <v>18</v>
      </c>
      <c r="B26" s="152" t="s">
        <v>5</v>
      </c>
      <c r="C26" s="153" t="s">
        <v>1711</v>
      </c>
      <c r="D26" s="360" t="s">
        <v>1712</v>
      </c>
    </row>
    <row r="27" spans="1:4" ht="44.25" customHeight="1" x14ac:dyDescent="0.2">
      <c r="A27" s="130">
        <v>19</v>
      </c>
      <c r="B27" s="152" t="s">
        <v>5</v>
      </c>
      <c r="C27" s="153" t="s">
        <v>1709</v>
      </c>
      <c r="D27" s="157" t="s">
        <v>1594</v>
      </c>
    </row>
    <row r="28" spans="1:4" ht="44.25" customHeight="1" x14ac:dyDescent="0.2">
      <c r="A28" s="130">
        <v>20</v>
      </c>
      <c r="B28" s="152" t="s">
        <v>5</v>
      </c>
      <c r="C28" s="156" t="s">
        <v>337</v>
      </c>
      <c r="D28" s="154" t="s">
        <v>338</v>
      </c>
    </row>
    <row r="29" spans="1:4" ht="44.25" customHeight="1" x14ac:dyDescent="0.2">
      <c r="A29" s="130">
        <v>21</v>
      </c>
      <c r="B29" s="152" t="s">
        <v>5</v>
      </c>
      <c r="C29" s="153" t="s">
        <v>345</v>
      </c>
      <c r="D29" s="157" t="s">
        <v>1191</v>
      </c>
    </row>
    <row r="30" spans="1:4" ht="44.25" customHeight="1" x14ac:dyDescent="0.2">
      <c r="A30" s="130">
        <v>22</v>
      </c>
      <c r="B30" s="152" t="s">
        <v>5</v>
      </c>
      <c r="C30" s="153" t="s">
        <v>1619</v>
      </c>
      <c r="D30" s="157" t="s">
        <v>1768</v>
      </c>
    </row>
    <row r="31" spans="1:4" ht="44.25" customHeight="1" x14ac:dyDescent="0.2">
      <c r="A31" s="130">
        <v>23</v>
      </c>
      <c r="B31" s="152" t="s">
        <v>5</v>
      </c>
      <c r="C31" s="156" t="s">
        <v>1720</v>
      </c>
      <c r="D31" s="157" t="s">
        <v>482</v>
      </c>
    </row>
    <row r="32" spans="1:4" ht="44.25" customHeight="1" x14ac:dyDescent="0.2">
      <c r="A32" s="130">
        <v>24</v>
      </c>
      <c r="B32" s="152" t="s">
        <v>5</v>
      </c>
      <c r="C32" s="156" t="s">
        <v>1621</v>
      </c>
      <c r="D32" s="154" t="s">
        <v>1769</v>
      </c>
    </row>
    <row r="33" spans="1:4" ht="44.25" customHeight="1" x14ac:dyDescent="0.2">
      <c r="A33" s="130">
        <v>25</v>
      </c>
      <c r="B33" s="152" t="s">
        <v>5</v>
      </c>
      <c r="C33" s="156" t="s">
        <v>1622</v>
      </c>
      <c r="D33" s="154" t="s">
        <v>1770</v>
      </c>
    </row>
    <row r="34" spans="1:4" ht="44.25" customHeight="1" x14ac:dyDescent="0.2">
      <c r="A34" s="130">
        <v>26</v>
      </c>
      <c r="B34" s="152" t="s">
        <v>5</v>
      </c>
      <c r="C34" s="156" t="s">
        <v>1623</v>
      </c>
      <c r="D34" s="154" t="s">
        <v>1771</v>
      </c>
    </row>
    <row r="35" spans="1:4" ht="44.25" customHeight="1" x14ac:dyDescent="0.2">
      <c r="A35" s="130">
        <v>27</v>
      </c>
      <c r="B35" s="152" t="s">
        <v>5</v>
      </c>
      <c r="C35" s="156" t="s">
        <v>1624</v>
      </c>
      <c r="D35" s="154" t="s">
        <v>1772</v>
      </c>
    </row>
    <row r="36" spans="1:4" ht="44.25" customHeight="1" x14ac:dyDescent="0.2">
      <c r="A36" s="130"/>
      <c r="B36" s="449" t="s">
        <v>1123</v>
      </c>
      <c r="C36" s="450"/>
      <c r="D36" s="450"/>
    </row>
    <row r="37" spans="1:4" ht="44.25" customHeight="1" x14ac:dyDescent="0.2">
      <c r="A37" s="130">
        <v>28</v>
      </c>
      <c r="B37" s="153">
        <v>810</v>
      </c>
      <c r="C37" s="152" t="s">
        <v>1672</v>
      </c>
      <c r="D37" s="158" t="s">
        <v>1673</v>
      </c>
    </row>
    <row r="38" spans="1:4" ht="44.25" customHeight="1" x14ac:dyDescent="0.2">
      <c r="A38" s="130">
        <v>29</v>
      </c>
      <c r="B38" s="152" t="s">
        <v>394</v>
      </c>
      <c r="C38" s="156" t="s">
        <v>337</v>
      </c>
      <c r="D38" s="154" t="s">
        <v>338</v>
      </c>
    </row>
    <row r="39" spans="1:4" ht="44.25" customHeight="1" x14ac:dyDescent="0.2">
      <c r="A39" s="130">
        <v>30</v>
      </c>
      <c r="B39" s="152" t="s">
        <v>394</v>
      </c>
      <c r="C39" s="153" t="s">
        <v>339</v>
      </c>
      <c r="D39" s="154" t="s">
        <v>340</v>
      </c>
    </row>
    <row r="40" spans="1:4" ht="44.25" customHeight="1" x14ac:dyDescent="0.2">
      <c r="A40" s="130"/>
      <c r="B40" s="454" t="s">
        <v>270</v>
      </c>
      <c r="C40" s="455"/>
      <c r="D40" s="456"/>
    </row>
    <row r="41" spans="1:4" ht="44.25" customHeight="1" x14ac:dyDescent="0.2">
      <c r="A41" s="130">
        <v>31</v>
      </c>
      <c r="B41" s="152" t="s">
        <v>214</v>
      </c>
      <c r="C41" s="156" t="s">
        <v>1621</v>
      </c>
      <c r="D41" s="154" t="s">
        <v>1769</v>
      </c>
    </row>
    <row r="42" spans="1:4" ht="44.25" customHeight="1" x14ac:dyDescent="0.2">
      <c r="A42" s="130">
        <v>32</v>
      </c>
      <c r="B42" s="152" t="s">
        <v>214</v>
      </c>
      <c r="C42" s="156" t="s">
        <v>1623</v>
      </c>
      <c r="D42" s="154" t="s">
        <v>1771</v>
      </c>
    </row>
    <row r="43" spans="1:4" ht="44.25" customHeight="1" x14ac:dyDescent="0.2">
      <c r="A43" s="130">
        <v>33</v>
      </c>
      <c r="B43" s="152" t="s">
        <v>214</v>
      </c>
      <c r="C43" s="156" t="s">
        <v>1867</v>
      </c>
      <c r="D43" s="154" t="s">
        <v>1868</v>
      </c>
    </row>
    <row r="44" spans="1:4" ht="44.25" customHeight="1" x14ac:dyDescent="0.2">
      <c r="A44" s="130">
        <v>34</v>
      </c>
      <c r="B44" s="153">
        <v>830</v>
      </c>
      <c r="C44" s="152" t="s">
        <v>1672</v>
      </c>
      <c r="D44" s="158" t="s">
        <v>1673</v>
      </c>
    </row>
    <row r="45" spans="1:4" ht="44.25" customHeight="1" x14ac:dyDescent="0.2">
      <c r="A45" s="130">
        <v>35</v>
      </c>
      <c r="B45" s="152" t="s">
        <v>214</v>
      </c>
      <c r="C45" s="156" t="s">
        <v>1617</v>
      </c>
      <c r="D45" s="155" t="s">
        <v>1618</v>
      </c>
    </row>
    <row r="46" spans="1:4" ht="44.25" customHeight="1" x14ac:dyDescent="0.2">
      <c r="A46" s="130">
        <v>36</v>
      </c>
      <c r="B46" s="152" t="s">
        <v>214</v>
      </c>
      <c r="C46" s="156" t="s">
        <v>1616</v>
      </c>
      <c r="D46" s="155" t="s">
        <v>1629</v>
      </c>
    </row>
    <row r="47" spans="1:4" ht="44.25" customHeight="1" x14ac:dyDescent="0.2">
      <c r="A47" s="130">
        <v>37</v>
      </c>
      <c r="B47" s="152" t="s">
        <v>214</v>
      </c>
      <c r="C47" s="156" t="s">
        <v>337</v>
      </c>
      <c r="D47" s="154" t="s">
        <v>338</v>
      </c>
    </row>
    <row r="48" spans="1:4" ht="44.25" customHeight="1" x14ac:dyDescent="0.2">
      <c r="A48" s="130">
        <v>38</v>
      </c>
      <c r="B48" s="152" t="s">
        <v>214</v>
      </c>
      <c r="C48" s="153" t="s">
        <v>339</v>
      </c>
      <c r="D48" s="154" t="s">
        <v>340</v>
      </c>
    </row>
    <row r="49" spans="1:4" ht="44.25" customHeight="1" x14ac:dyDescent="0.2">
      <c r="A49" s="130"/>
      <c r="B49" s="449" t="s">
        <v>1538</v>
      </c>
      <c r="C49" s="450"/>
      <c r="D49" s="451"/>
    </row>
    <row r="50" spans="1:4" ht="44.25" customHeight="1" x14ac:dyDescent="0.2">
      <c r="A50" s="130">
        <v>39</v>
      </c>
      <c r="B50" s="153">
        <v>856</v>
      </c>
      <c r="C50" s="152" t="s">
        <v>1672</v>
      </c>
      <c r="D50" s="158" t="s">
        <v>1673</v>
      </c>
    </row>
    <row r="51" spans="1:4" ht="44.25" customHeight="1" x14ac:dyDescent="0.2">
      <c r="A51" s="130">
        <v>40</v>
      </c>
      <c r="B51" s="152" t="s">
        <v>246</v>
      </c>
      <c r="C51" s="156" t="s">
        <v>337</v>
      </c>
      <c r="D51" s="154" t="s">
        <v>338</v>
      </c>
    </row>
    <row r="52" spans="1:4" ht="44.25" customHeight="1" x14ac:dyDescent="0.2">
      <c r="A52" s="130">
        <v>41</v>
      </c>
      <c r="B52" s="152" t="s">
        <v>246</v>
      </c>
      <c r="C52" s="153" t="s">
        <v>345</v>
      </c>
      <c r="D52" s="154" t="s">
        <v>1191</v>
      </c>
    </row>
    <row r="53" spans="1:4" ht="44.25" customHeight="1" x14ac:dyDescent="0.2">
      <c r="A53" s="130">
        <v>42</v>
      </c>
      <c r="B53" s="152" t="s">
        <v>246</v>
      </c>
      <c r="C53" s="156" t="s">
        <v>1636</v>
      </c>
      <c r="D53" s="154" t="s">
        <v>1773</v>
      </c>
    </row>
    <row r="54" spans="1:4" ht="44.25" customHeight="1" x14ac:dyDescent="0.2">
      <c r="A54" s="130">
        <v>43</v>
      </c>
      <c r="B54" s="152" t="s">
        <v>246</v>
      </c>
      <c r="C54" s="156" t="s">
        <v>1660</v>
      </c>
      <c r="D54" s="154" t="s">
        <v>1774</v>
      </c>
    </row>
    <row r="55" spans="1:4" s="129" customFormat="1" ht="44.25" customHeight="1" x14ac:dyDescent="0.25">
      <c r="A55" s="130"/>
      <c r="B55" s="449" t="s">
        <v>1404</v>
      </c>
      <c r="C55" s="450"/>
      <c r="D55" s="451"/>
    </row>
    <row r="56" spans="1:4" ht="75" x14ac:dyDescent="0.2">
      <c r="A56" s="130">
        <v>44</v>
      </c>
      <c r="B56" s="152" t="s">
        <v>68</v>
      </c>
      <c r="C56" s="153" t="s">
        <v>323</v>
      </c>
      <c r="D56" s="154" t="s">
        <v>1775</v>
      </c>
    </row>
    <row r="57" spans="1:4" ht="60" x14ac:dyDescent="0.2">
      <c r="A57" s="130">
        <v>45</v>
      </c>
      <c r="B57" s="152" t="s">
        <v>68</v>
      </c>
      <c r="C57" s="153" t="s">
        <v>324</v>
      </c>
      <c r="D57" s="154" t="s">
        <v>1776</v>
      </c>
    </row>
    <row r="58" spans="1:4" ht="60" x14ac:dyDescent="0.2">
      <c r="A58" s="130">
        <v>46</v>
      </c>
      <c r="B58" s="152" t="s">
        <v>68</v>
      </c>
      <c r="C58" s="153" t="s">
        <v>325</v>
      </c>
      <c r="D58" s="154" t="s">
        <v>1777</v>
      </c>
    </row>
    <row r="59" spans="1:4" ht="60" x14ac:dyDescent="0.2">
      <c r="A59" s="130">
        <v>47</v>
      </c>
      <c r="B59" s="152" t="s">
        <v>68</v>
      </c>
      <c r="C59" s="153" t="s">
        <v>326</v>
      </c>
      <c r="D59" s="154" t="s">
        <v>1778</v>
      </c>
    </row>
    <row r="60" spans="1:4" ht="60" x14ac:dyDescent="0.2">
      <c r="A60" s="130">
        <v>48</v>
      </c>
      <c r="B60" s="152" t="s">
        <v>68</v>
      </c>
      <c r="C60" s="153" t="s">
        <v>327</v>
      </c>
      <c r="D60" s="154" t="s">
        <v>1779</v>
      </c>
    </row>
    <row r="61" spans="1:4" ht="60" x14ac:dyDescent="0.2">
      <c r="A61" s="130">
        <v>49</v>
      </c>
      <c r="B61" s="152" t="s">
        <v>68</v>
      </c>
      <c r="C61" s="153" t="s">
        <v>328</v>
      </c>
      <c r="D61" s="154" t="s">
        <v>1780</v>
      </c>
    </row>
    <row r="62" spans="1:4" ht="45" x14ac:dyDescent="0.2">
      <c r="A62" s="130">
        <v>50</v>
      </c>
      <c r="B62" s="156">
        <v>863</v>
      </c>
      <c r="C62" s="153" t="s">
        <v>329</v>
      </c>
      <c r="D62" s="154" t="s">
        <v>1781</v>
      </c>
    </row>
    <row r="63" spans="1:4" ht="45" x14ac:dyDescent="0.2">
      <c r="A63" s="130">
        <v>51</v>
      </c>
      <c r="B63" s="156">
        <v>863</v>
      </c>
      <c r="C63" s="153" t="s">
        <v>330</v>
      </c>
      <c r="D63" s="154" t="s">
        <v>1782</v>
      </c>
    </row>
    <row r="64" spans="1:4" ht="45" x14ac:dyDescent="0.2">
      <c r="A64" s="130">
        <v>52</v>
      </c>
      <c r="B64" s="156">
        <v>863</v>
      </c>
      <c r="C64" s="153" t="s">
        <v>331</v>
      </c>
      <c r="D64" s="154" t="s">
        <v>1783</v>
      </c>
    </row>
    <row r="65" spans="1:4" ht="45" x14ac:dyDescent="0.2">
      <c r="A65" s="130">
        <v>53</v>
      </c>
      <c r="B65" s="156">
        <v>863</v>
      </c>
      <c r="C65" s="153" t="s">
        <v>332</v>
      </c>
      <c r="D65" s="154" t="s">
        <v>1784</v>
      </c>
    </row>
    <row r="66" spans="1:4" ht="45" x14ac:dyDescent="0.2">
      <c r="A66" s="130">
        <v>54</v>
      </c>
      <c r="B66" s="156">
        <v>863</v>
      </c>
      <c r="C66" s="153" t="s">
        <v>333</v>
      </c>
      <c r="D66" s="154" t="s">
        <v>1785</v>
      </c>
    </row>
    <row r="67" spans="1:4" ht="45" x14ac:dyDescent="0.2">
      <c r="A67" s="130">
        <v>55</v>
      </c>
      <c r="B67" s="156">
        <v>863</v>
      </c>
      <c r="C67" s="153" t="s">
        <v>594</v>
      </c>
      <c r="D67" s="154" t="s">
        <v>1786</v>
      </c>
    </row>
    <row r="68" spans="1:4" s="129" customFormat="1" ht="44.25" customHeight="1" x14ac:dyDescent="0.25">
      <c r="A68" s="130">
        <v>56</v>
      </c>
      <c r="B68" s="156">
        <v>863</v>
      </c>
      <c r="C68" s="153" t="s">
        <v>595</v>
      </c>
      <c r="D68" s="157" t="s">
        <v>596</v>
      </c>
    </row>
    <row r="69" spans="1:4" s="129" customFormat="1" ht="44.25" customHeight="1" x14ac:dyDescent="0.25">
      <c r="A69" s="130">
        <v>57</v>
      </c>
      <c r="B69" s="153">
        <v>863</v>
      </c>
      <c r="C69" s="152" t="s">
        <v>1672</v>
      </c>
      <c r="D69" s="158" t="s">
        <v>1673</v>
      </c>
    </row>
    <row r="70" spans="1:4" ht="44.25" customHeight="1" x14ac:dyDescent="0.2">
      <c r="A70" s="130">
        <v>58</v>
      </c>
      <c r="B70" s="156">
        <v>863</v>
      </c>
      <c r="C70" s="156" t="s">
        <v>597</v>
      </c>
      <c r="D70" s="154" t="s">
        <v>598</v>
      </c>
    </row>
    <row r="71" spans="1:4" s="129" customFormat="1" ht="60" x14ac:dyDescent="0.25">
      <c r="A71" s="130">
        <v>59</v>
      </c>
      <c r="B71" s="156">
        <v>863</v>
      </c>
      <c r="C71" s="153" t="s">
        <v>1422</v>
      </c>
      <c r="D71" s="154" t="s">
        <v>1787</v>
      </c>
    </row>
    <row r="72" spans="1:4" ht="60" x14ac:dyDescent="0.2">
      <c r="A72" s="130">
        <v>60</v>
      </c>
      <c r="B72" s="156">
        <v>863</v>
      </c>
      <c r="C72" s="153" t="s">
        <v>335</v>
      </c>
      <c r="D72" s="154" t="s">
        <v>1788</v>
      </c>
    </row>
    <row r="73" spans="1:4" s="129" customFormat="1" ht="45" x14ac:dyDescent="0.25">
      <c r="A73" s="130">
        <v>61</v>
      </c>
      <c r="B73" s="156">
        <v>863</v>
      </c>
      <c r="C73" s="153" t="s">
        <v>336</v>
      </c>
      <c r="D73" s="154" t="s">
        <v>1789</v>
      </c>
    </row>
    <row r="74" spans="1:4" ht="45" x14ac:dyDescent="0.2">
      <c r="A74" s="130">
        <v>62</v>
      </c>
      <c r="B74" s="156">
        <v>863</v>
      </c>
      <c r="C74" s="153" t="s">
        <v>599</v>
      </c>
      <c r="D74" s="154" t="s">
        <v>1790</v>
      </c>
    </row>
    <row r="75" spans="1:4" ht="44.25" customHeight="1" x14ac:dyDescent="0.2">
      <c r="A75" s="130">
        <v>63</v>
      </c>
      <c r="B75" s="156">
        <v>863</v>
      </c>
      <c r="C75" s="153" t="s">
        <v>1628</v>
      </c>
      <c r="D75" s="157" t="s">
        <v>1590</v>
      </c>
    </row>
    <row r="76" spans="1:4" ht="44.25" customHeight="1" x14ac:dyDescent="0.2">
      <c r="A76" s="130">
        <v>64</v>
      </c>
      <c r="B76" s="156">
        <v>863</v>
      </c>
      <c r="C76" s="156" t="s">
        <v>337</v>
      </c>
      <c r="D76" s="154" t="s">
        <v>338</v>
      </c>
    </row>
    <row r="77" spans="1:4" ht="44.25" customHeight="1" x14ac:dyDescent="0.2">
      <c r="A77" s="130">
        <v>65</v>
      </c>
      <c r="B77" s="156">
        <v>863</v>
      </c>
      <c r="C77" s="156" t="s">
        <v>339</v>
      </c>
      <c r="D77" s="154" t="s">
        <v>340</v>
      </c>
    </row>
    <row r="78" spans="1:4" ht="44.25" customHeight="1" x14ac:dyDescent="0.2">
      <c r="A78" s="130">
        <v>66</v>
      </c>
      <c r="B78" s="156">
        <v>863</v>
      </c>
      <c r="C78" s="156" t="s">
        <v>1621</v>
      </c>
      <c r="D78" s="154" t="s">
        <v>1769</v>
      </c>
    </row>
    <row r="79" spans="1:4" ht="44.25" customHeight="1" x14ac:dyDescent="0.2">
      <c r="A79" s="130">
        <v>67</v>
      </c>
      <c r="B79" s="156">
        <v>863</v>
      </c>
      <c r="C79" s="156" t="s">
        <v>1625</v>
      </c>
      <c r="D79" s="154" t="s">
        <v>1791</v>
      </c>
    </row>
    <row r="80" spans="1:4" ht="44.25" customHeight="1" x14ac:dyDescent="0.2">
      <c r="A80" s="130"/>
      <c r="B80" s="449" t="s">
        <v>1403</v>
      </c>
      <c r="C80" s="450"/>
      <c r="D80" s="451"/>
    </row>
    <row r="81" spans="1:4" ht="44.25" customHeight="1" x14ac:dyDescent="0.2">
      <c r="A81" s="130">
        <v>68</v>
      </c>
      <c r="B81" s="152" t="s">
        <v>220</v>
      </c>
      <c r="C81" s="152" t="s">
        <v>343</v>
      </c>
      <c r="D81" s="158" t="s">
        <v>344</v>
      </c>
    </row>
    <row r="82" spans="1:4" ht="44.25" customHeight="1" x14ac:dyDescent="0.2">
      <c r="A82" s="130">
        <v>69</v>
      </c>
      <c r="B82" s="152" t="s">
        <v>220</v>
      </c>
      <c r="C82" s="152" t="s">
        <v>350</v>
      </c>
      <c r="D82" s="158" t="s">
        <v>351</v>
      </c>
    </row>
    <row r="83" spans="1:4" ht="44.25" customHeight="1" x14ac:dyDescent="0.2">
      <c r="A83" s="130">
        <v>70</v>
      </c>
      <c r="B83" s="152" t="s">
        <v>220</v>
      </c>
      <c r="C83" s="152" t="s">
        <v>352</v>
      </c>
      <c r="D83" s="158" t="s">
        <v>353</v>
      </c>
    </row>
    <row r="84" spans="1:4" ht="44.25" customHeight="1" x14ac:dyDescent="0.2">
      <c r="A84" s="130">
        <v>71</v>
      </c>
      <c r="B84" s="152" t="s">
        <v>220</v>
      </c>
      <c r="C84" s="152" t="s">
        <v>354</v>
      </c>
      <c r="D84" s="158" t="s">
        <v>355</v>
      </c>
    </row>
    <row r="85" spans="1:4" ht="44.25" customHeight="1" x14ac:dyDescent="0.2">
      <c r="A85" s="130">
        <v>72</v>
      </c>
      <c r="B85" s="152" t="s">
        <v>220</v>
      </c>
      <c r="C85" s="152" t="s">
        <v>1407</v>
      </c>
      <c r="D85" s="158" t="s">
        <v>1374</v>
      </c>
    </row>
    <row r="86" spans="1:4" ht="44.25" customHeight="1" x14ac:dyDescent="0.2">
      <c r="A86" s="130">
        <v>73</v>
      </c>
      <c r="B86" s="153">
        <v>875</v>
      </c>
      <c r="C86" s="152" t="s">
        <v>1672</v>
      </c>
      <c r="D86" s="158" t="s">
        <v>1673</v>
      </c>
    </row>
    <row r="87" spans="1:4" ht="44.25" customHeight="1" x14ac:dyDescent="0.2">
      <c r="A87" s="130">
        <v>74</v>
      </c>
      <c r="B87" s="152" t="s">
        <v>220</v>
      </c>
      <c r="C87" s="153" t="s">
        <v>1627</v>
      </c>
      <c r="D87" s="92" t="s">
        <v>1626</v>
      </c>
    </row>
    <row r="88" spans="1:4" ht="44.25" customHeight="1" x14ac:dyDescent="0.2">
      <c r="A88" s="130">
        <v>75</v>
      </c>
      <c r="B88" s="152" t="s">
        <v>220</v>
      </c>
      <c r="C88" s="156" t="s">
        <v>337</v>
      </c>
      <c r="D88" s="154" t="s">
        <v>338</v>
      </c>
    </row>
    <row r="89" spans="1:4" ht="44.25" customHeight="1" x14ac:dyDescent="0.2">
      <c r="A89" s="130">
        <v>76</v>
      </c>
      <c r="B89" s="152" t="s">
        <v>220</v>
      </c>
      <c r="C89" s="153" t="s">
        <v>345</v>
      </c>
      <c r="D89" s="154" t="s">
        <v>1192</v>
      </c>
    </row>
    <row r="90" spans="1:4" ht="45" x14ac:dyDescent="0.2">
      <c r="A90" s="130">
        <v>77</v>
      </c>
      <c r="B90" s="152" t="s">
        <v>220</v>
      </c>
      <c r="C90" s="153" t="s">
        <v>1619</v>
      </c>
      <c r="D90" s="157" t="s">
        <v>1768</v>
      </c>
    </row>
    <row r="91" spans="1:4" ht="44.25" customHeight="1" x14ac:dyDescent="0.2">
      <c r="A91" s="130">
        <v>78</v>
      </c>
      <c r="B91" s="152" t="s">
        <v>220</v>
      </c>
      <c r="C91" s="156" t="s">
        <v>1620</v>
      </c>
      <c r="D91" s="154" t="s">
        <v>600</v>
      </c>
    </row>
    <row r="92" spans="1:4" ht="44.25" customHeight="1" x14ac:dyDescent="0.2">
      <c r="A92" s="130">
        <v>79</v>
      </c>
      <c r="B92" s="152" t="s">
        <v>220</v>
      </c>
      <c r="C92" s="156" t="s">
        <v>1634</v>
      </c>
      <c r="D92" s="154" t="s">
        <v>347</v>
      </c>
    </row>
    <row r="93" spans="1:4" ht="44.25" customHeight="1" x14ac:dyDescent="0.2">
      <c r="A93" s="130">
        <v>80</v>
      </c>
      <c r="B93" s="152" t="s">
        <v>220</v>
      </c>
      <c r="C93" s="156" t="s">
        <v>1635</v>
      </c>
      <c r="D93" s="154" t="s">
        <v>348</v>
      </c>
    </row>
    <row r="94" spans="1:4" ht="44.25" customHeight="1" x14ac:dyDescent="0.2">
      <c r="A94" s="130">
        <v>81</v>
      </c>
      <c r="B94" s="152" t="s">
        <v>220</v>
      </c>
      <c r="C94" s="153" t="s">
        <v>1630</v>
      </c>
      <c r="D94" s="154" t="s">
        <v>1792</v>
      </c>
    </row>
    <row r="95" spans="1:4" ht="44.25" customHeight="1" x14ac:dyDescent="0.2">
      <c r="A95" s="130">
        <v>82</v>
      </c>
      <c r="B95" s="152" t="s">
        <v>220</v>
      </c>
      <c r="C95" s="153" t="s">
        <v>1631</v>
      </c>
      <c r="D95" s="154" t="s">
        <v>1793</v>
      </c>
    </row>
    <row r="96" spans="1:4" ht="44.25" customHeight="1" x14ac:dyDescent="0.2">
      <c r="A96" s="130">
        <v>83</v>
      </c>
      <c r="B96" s="152" t="s">
        <v>220</v>
      </c>
      <c r="C96" s="153" t="s">
        <v>1632</v>
      </c>
      <c r="D96" s="154" t="s">
        <v>1794</v>
      </c>
    </row>
    <row r="97" spans="1:4" ht="44.25" customHeight="1" x14ac:dyDescent="0.2">
      <c r="A97" s="130">
        <v>84</v>
      </c>
      <c r="B97" s="152" t="s">
        <v>220</v>
      </c>
      <c r="C97" s="153" t="s">
        <v>1633</v>
      </c>
      <c r="D97" s="154" t="s">
        <v>1795</v>
      </c>
    </row>
    <row r="98" spans="1:4" ht="30" x14ac:dyDescent="0.2">
      <c r="A98" s="130">
        <v>85</v>
      </c>
      <c r="B98" s="166" t="s">
        <v>220</v>
      </c>
      <c r="C98" s="156" t="s">
        <v>1636</v>
      </c>
      <c r="D98" s="154" t="s">
        <v>1773</v>
      </c>
    </row>
    <row r="99" spans="1:4" ht="45" x14ac:dyDescent="0.2">
      <c r="A99" s="130">
        <v>86</v>
      </c>
      <c r="B99" s="166" t="s">
        <v>220</v>
      </c>
      <c r="C99" s="156" t="s">
        <v>1637</v>
      </c>
      <c r="D99" s="154" t="s">
        <v>1193</v>
      </c>
    </row>
    <row r="100" spans="1:4" ht="15.75" x14ac:dyDescent="0.2">
      <c r="A100" s="130"/>
      <c r="B100" s="446" t="s">
        <v>1766</v>
      </c>
      <c r="C100" s="447"/>
      <c r="D100" s="448"/>
    </row>
    <row r="101" spans="1:4" ht="30" x14ac:dyDescent="0.2">
      <c r="A101" s="130">
        <v>87</v>
      </c>
      <c r="B101" s="153">
        <v>880</v>
      </c>
      <c r="C101" s="152" t="s">
        <v>342</v>
      </c>
      <c r="D101" s="158" t="s">
        <v>1187</v>
      </c>
    </row>
    <row r="102" spans="1:4" ht="30" x14ac:dyDescent="0.2">
      <c r="A102" s="130">
        <v>88</v>
      </c>
      <c r="B102" s="153">
        <v>880</v>
      </c>
      <c r="C102" s="152" t="s">
        <v>1672</v>
      </c>
      <c r="D102" s="158" t="s">
        <v>1673</v>
      </c>
    </row>
    <row r="103" spans="1:4" ht="15" x14ac:dyDescent="0.2">
      <c r="A103" s="130">
        <v>89</v>
      </c>
      <c r="B103" s="153">
        <v>880</v>
      </c>
      <c r="C103" s="156" t="s">
        <v>337</v>
      </c>
      <c r="D103" s="154" t="s">
        <v>338</v>
      </c>
    </row>
    <row r="104" spans="1:4" ht="15" x14ac:dyDescent="0.2">
      <c r="A104" s="130">
        <v>90</v>
      </c>
      <c r="B104" s="153">
        <v>880</v>
      </c>
      <c r="C104" s="153" t="s">
        <v>339</v>
      </c>
      <c r="D104" s="154" t="s">
        <v>340</v>
      </c>
    </row>
    <row r="105" spans="1:4" ht="45" x14ac:dyDescent="0.2">
      <c r="A105" s="130">
        <v>91</v>
      </c>
      <c r="B105" s="251">
        <v>880</v>
      </c>
      <c r="C105" s="251" t="s">
        <v>1623</v>
      </c>
      <c r="D105" s="154" t="s">
        <v>1771</v>
      </c>
    </row>
    <row r="106" spans="1:4" ht="15.75" x14ac:dyDescent="0.2">
      <c r="A106" s="130"/>
      <c r="B106" s="449" t="s">
        <v>37</v>
      </c>
      <c r="C106" s="450"/>
      <c r="D106" s="451"/>
    </row>
    <row r="107" spans="1:4" ht="30" x14ac:dyDescent="0.2">
      <c r="A107" s="130">
        <v>92</v>
      </c>
      <c r="B107" s="153">
        <v>890</v>
      </c>
      <c r="C107" s="152" t="s">
        <v>1713</v>
      </c>
      <c r="D107" s="158" t="s">
        <v>1796</v>
      </c>
    </row>
    <row r="108" spans="1:4" ht="30" x14ac:dyDescent="0.2">
      <c r="A108" s="130">
        <v>93</v>
      </c>
      <c r="B108" s="153">
        <v>890</v>
      </c>
      <c r="C108" s="152" t="s">
        <v>1672</v>
      </c>
      <c r="D108" s="158" t="s">
        <v>1673</v>
      </c>
    </row>
    <row r="109" spans="1:4" ht="30" x14ac:dyDescent="0.2">
      <c r="A109" s="130">
        <v>94</v>
      </c>
      <c r="B109" s="152" t="s">
        <v>221</v>
      </c>
      <c r="C109" s="153" t="s">
        <v>1614</v>
      </c>
      <c r="D109" s="159" t="s">
        <v>1615</v>
      </c>
    </row>
    <row r="110" spans="1:4" ht="45" x14ac:dyDescent="0.2">
      <c r="A110" s="130">
        <v>95</v>
      </c>
      <c r="B110" s="152" t="s">
        <v>221</v>
      </c>
      <c r="C110" s="153" t="s">
        <v>1613</v>
      </c>
      <c r="D110" s="154" t="s">
        <v>356</v>
      </c>
    </row>
    <row r="111" spans="1:4" ht="45" x14ac:dyDescent="0.2">
      <c r="A111" s="130">
        <v>96</v>
      </c>
      <c r="B111" s="152" t="s">
        <v>221</v>
      </c>
      <c r="C111" s="153" t="s">
        <v>1638</v>
      </c>
      <c r="D111" s="154" t="s">
        <v>1639</v>
      </c>
    </row>
    <row r="112" spans="1:4" ht="15" x14ac:dyDescent="0.2">
      <c r="A112" s="130">
        <v>97</v>
      </c>
      <c r="B112" s="152" t="s">
        <v>221</v>
      </c>
      <c r="C112" s="156" t="s">
        <v>337</v>
      </c>
      <c r="D112" s="154" t="s">
        <v>338</v>
      </c>
    </row>
    <row r="113" spans="1:4" ht="15" x14ac:dyDescent="0.2">
      <c r="A113" s="130">
        <v>98</v>
      </c>
      <c r="B113" s="152" t="s">
        <v>221</v>
      </c>
      <c r="C113" s="156" t="s">
        <v>345</v>
      </c>
      <c r="D113" s="154" t="s">
        <v>1194</v>
      </c>
    </row>
    <row r="114" spans="1:4" ht="31.5" customHeight="1" x14ac:dyDescent="0.2">
      <c r="A114" s="130">
        <v>99</v>
      </c>
      <c r="B114" s="152" t="s">
        <v>221</v>
      </c>
      <c r="C114" s="153" t="s">
        <v>1652</v>
      </c>
      <c r="D114" s="154" t="s">
        <v>358</v>
      </c>
    </row>
    <row r="115" spans="1:4" ht="30" x14ac:dyDescent="0.2">
      <c r="A115" s="130">
        <v>100</v>
      </c>
      <c r="B115" s="152" t="s">
        <v>221</v>
      </c>
      <c r="C115" s="153" t="s">
        <v>1435</v>
      </c>
      <c r="D115" s="155" t="s">
        <v>359</v>
      </c>
    </row>
    <row r="116" spans="1:4" ht="15" x14ac:dyDescent="0.2">
      <c r="A116" s="130">
        <v>101</v>
      </c>
      <c r="B116" s="152" t="s">
        <v>221</v>
      </c>
      <c r="C116" s="153" t="s">
        <v>1653</v>
      </c>
      <c r="D116" s="155" t="s">
        <v>1654</v>
      </c>
    </row>
    <row r="117" spans="1:4" ht="75" x14ac:dyDescent="0.2">
      <c r="A117" s="130">
        <v>102</v>
      </c>
      <c r="B117" s="152" t="s">
        <v>221</v>
      </c>
      <c r="C117" s="153" t="s">
        <v>1436</v>
      </c>
      <c r="D117" s="155" t="s">
        <v>1655</v>
      </c>
    </row>
    <row r="118" spans="1:4" ht="60" x14ac:dyDescent="0.2">
      <c r="A118" s="130">
        <v>103</v>
      </c>
      <c r="B118" s="152" t="s">
        <v>1114</v>
      </c>
      <c r="C118" s="153" t="s">
        <v>1437</v>
      </c>
      <c r="D118" s="155" t="s">
        <v>1656</v>
      </c>
    </row>
    <row r="119" spans="1:4" ht="45" x14ac:dyDescent="0.2">
      <c r="A119" s="130">
        <v>104</v>
      </c>
      <c r="B119" s="152" t="s">
        <v>221</v>
      </c>
      <c r="C119" s="153" t="s">
        <v>1438</v>
      </c>
      <c r="D119" s="155" t="s">
        <v>1140</v>
      </c>
    </row>
    <row r="120" spans="1:4" ht="90" x14ac:dyDescent="0.2">
      <c r="A120" s="130">
        <v>105</v>
      </c>
      <c r="B120" s="152" t="s">
        <v>221</v>
      </c>
      <c r="C120" s="153" t="s">
        <v>1707</v>
      </c>
      <c r="D120" s="155" t="s">
        <v>1706</v>
      </c>
    </row>
    <row r="121" spans="1:4" ht="75" x14ac:dyDescent="0.2">
      <c r="A121" s="130">
        <v>106</v>
      </c>
      <c r="B121" s="152" t="s">
        <v>221</v>
      </c>
      <c r="C121" s="153" t="s">
        <v>1714</v>
      </c>
      <c r="D121" s="155" t="s">
        <v>1715</v>
      </c>
    </row>
    <row r="122" spans="1:4" ht="30" x14ac:dyDescent="0.2">
      <c r="A122" s="130">
        <v>107</v>
      </c>
      <c r="B122" s="152" t="s">
        <v>221</v>
      </c>
      <c r="C122" s="153" t="s">
        <v>1640</v>
      </c>
      <c r="D122" s="155" t="s">
        <v>1657</v>
      </c>
    </row>
    <row r="123" spans="1:4" ht="59.25" customHeight="1" x14ac:dyDescent="0.2">
      <c r="A123" s="130">
        <v>108</v>
      </c>
      <c r="B123" s="152" t="s">
        <v>221</v>
      </c>
      <c r="C123" s="153" t="s">
        <v>1945</v>
      </c>
      <c r="D123" s="155" t="s">
        <v>1946</v>
      </c>
    </row>
    <row r="124" spans="1:4" ht="45" x14ac:dyDescent="0.2">
      <c r="A124" s="130">
        <v>109</v>
      </c>
      <c r="B124" s="152" t="s">
        <v>221</v>
      </c>
      <c r="C124" s="153" t="s">
        <v>1439</v>
      </c>
      <c r="D124" s="155" t="s">
        <v>1395</v>
      </c>
    </row>
    <row r="125" spans="1:4" ht="30" x14ac:dyDescent="0.2">
      <c r="A125" s="130">
        <v>110</v>
      </c>
      <c r="B125" s="152" t="s">
        <v>221</v>
      </c>
      <c r="C125" s="153" t="s">
        <v>1440</v>
      </c>
      <c r="D125" s="188" t="s">
        <v>1658</v>
      </c>
    </row>
    <row r="126" spans="1:4" ht="30" x14ac:dyDescent="0.2">
      <c r="A126" s="130">
        <v>111</v>
      </c>
      <c r="B126" s="152" t="s">
        <v>221</v>
      </c>
      <c r="C126" s="153" t="s">
        <v>1441</v>
      </c>
      <c r="D126" s="188" t="s">
        <v>1597</v>
      </c>
    </row>
    <row r="127" spans="1:4" ht="30" x14ac:dyDescent="0.2">
      <c r="A127" s="130">
        <v>112</v>
      </c>
      <c r="B127" s="152" t="s">
        <v>221</v>
      </c>
      <c r="C127" s="153" t="s">
        <v>1641</v>
      </c>
      <c r="D127" s="188" t="s">
        <v>1659</v>
      </c>
    </row>
    <row r="128" spans="1:4" ht="60" x14ac:dyDescent="0.2">
      <c r="A128" s="130">
        <v>113</v>
      </c>
      <c r="B128" s="152" t="s">
        <v>221</v>
      </c>
      <c r="C128" s="153" t="s">
        <v>1676</v>
      </c>
      <c r="D128" s="188" t="s">
        <v>1798</v>
      </c>
    </row>
    <row r="129" spans="1:4" ht="60" x14ac:dyDescent="0.2">
      <c r="A129" s="130">
        <v>114</v>
      </c>
      <c r="B129" s="152" t="s">
        <v>221</v>
      </c>
      <c r="C129" s="153" t="s">
        <v>1442</v>
      </c>
      <c r="D129" s="155" t="s">
        <v>1799</v>
      </c>
    </row>
    <row r="130" spans="1:4" ht="45" x14ac:dyDescent="0.2">
      <c r="A130" s="130">
        <v>115</v>
      </c>
      <c r="B130" s="152" t="s">
        <v>221</v>
      </c>
      <c r="C130" s="153" t="s">
        <v>1716</v>
      </c>
      <c r="D130" s="155" t="s">
        <v>1800</v>
      </c>
    </row>
    <row r="131" spans="1:4" ht="60" x14ac:dyDescent="0.2">
      <c r="A131" s="130">
        <v>116</v>
      </c>
      <c r="B131" s="152" t="s">
        <v>221</v>
      </c>
      <c r="C131" s="153" t="s">
        <v>1708</v>
      </c>
      <c r="D131" s="155" t="s">
        <v>1801</v>
      </c>
    </row>
    <row r="132" spans="1:4" ht="60" x14ac:dyDescent="0.2">
      <c r="A132" s="130">
        <v>117</v>
      </c>
      <c r="B132" s="152" t="s">
        <v>221</v>
      </c>
      <c r="C132" s="153" t="s">
        <v>1642</v>
      </c>
      <c r="D132" s="155" t="s">
        <v>1802</v>
      </c>
    </row>
    <row r="133" spans="1:4" ht="105" x14ac:dyDescent="0.2">
      <c r="A133" s="130">
        <v>118</v>
      </c>
      <c r="B133" s="152" t="s">
        <v>221</v>
      </c>
      <c r="C133" s="153" t="s">
        <v>1443</v>
      </c>
      <c r="D133" s="155" t="s">
        <v>1803</v>
      </c>
    </row>
    <row r="134" spans="1:4" ht="30" x14ac:dyDescent="0.2">
      <c r="A134" s="130">
        <v>119</v>
      </c>
      <c r="B134" s="152" t="s">
        <v>221</v>
      </c>
      <c r="C134" s="153" t="s">
        <v>1444</v>
      </c>
      <c r="D134" s="155" t="s">
        <v>1804</v>
      </c>
    </row>
    <row r="135" spans="1:4" ht="30" x14ac:dyDescent="0.2">
      <c r="A135" s="130">
        <v>120</v>
      </c>
      <c r="B135" s="152" t="s">
        <v>221</v>
      </c>
      <c r="C135" s="153" t="s">
        <v>1445</v>
      </c>
      <c r="D135" s="155" t="s">
        <v>1805</v>
      </c>
    </row>
    <row r="136" spans="1:4" ht="45" x14ac:dyDescent="0.2">
      <c r="A136" s="130">
        <v>121</v>
      </c>
      <c r="B136" s="152" t="s">
        <v>221</v>
      </c>
      <c r="C136" s="153" t="s">
        <v>1446</v>
      </c>
      <c r="D136" s="155" t="s">
        <v>1806</v>
      </c>
    </row>
    <row r="137" spans="1:4" ht="60" x14ac:dyDescent="0.2">
      <c r="A137" s="130">
        <v>122</v>
      </c>
      <c r="B137" s="152" t="s">
        <v>221</v>
      </c>
      <c r="C137" s="153" t="s">
        <v>1447</v>
      </c>
      <c r="D137" s="155" t="s">
        <v>1807</v>
      </c>
    </row>
    <row r="138" spans="1:4" ht="45" x14ac:dyDescent="0.2">
      <c r="A138" s="130">
        <v>123</v>
      </c>
      <c r="B138" s="152" t="s">
        <v>221</v>
      </c>
      <c r="C138" s="153" t="s">
        <v>1904</v>
      </c>
      <c r="D138" s="155" t="s">
        <v>1905</v>
      </c>
    </row>
    <row r="139" spans="1:4" ht="45" x14ac:dyDescent="0.2">
      <c r="A139" s="130">
        <v>124</v>
      </c>
      <c r="B139" s="152" t="s">
        <v>221</v>
      </c>
      <c r="C139" s="153" t="s">
        <v>1862</v>
      </c>
      <c r="D139" s="155" t="s">
        <v>1863</v>
      </c>
    </row>
    <row r="140" spans="1:4" ht="45" x14ac:dyDescent="0.2">
      <c r="A140" s="130">
        <v>125</v>
      </c>
      <c r="B140" s="152" t="s">
        <v>221</v>
      </c>
      <c r="C140" s="153" t="s">
        <v>1643</v>
      </c>
      <c r="D140" s="155" t="s">
        <v>1808</v>
      </c>
    </row>
    <row r="141" spans="1:4" ht="60" x14ac:dyDescent="0.2">
      <c r="A141" s="130">
        <v>126</v>
      </c>
      <c r="B141" s="152" t="s">
        <v>221</v>
      </c>
      <c r="C141" s="153" t="s">
        <v>1644</v>
      </c>
      <c r="D141" s="155" t="s">
        <v>1809</v>
      </c>
    </row>
    <row r="142" spans="1:4" ht="60" x14ac:dyDescent="0.2">
      <c r="A142" s="130">
        <v>127</v>
      </c>
      <c r="B142" s="152" t="s">
        <v>221</v>
      </c>
      <c r="C142" s="153" t="s">
        <v>1448</v>
      </c>
      <c r="D142" s="155" t="s">
        <v>1810</v>
      </c>
    </row>
    <row r="143" spans="1:4" ht="30" x14ac:dyDescent="0.2">
      <c r="A143" s="130">
        <v>128</v>
      </c>
      <c r="B143" s="152" t="s">
        <v>221</v>
      </c>
      <c r="C143" s="153" t="s">
        <v>1726</v>
      </c>
      <c r="D143" s="155" t="s">
        <v>1811</v>
      </c>
    </row>
    <row r="144" spans="1:4" ht="30" x14ac:dyDescent="0.2">
      <c r="A144" s="130">
        <v>129</v>
      </c>
      <c r="B144" s="152" t="s">
        <v>221</v>
      </c>
      <c r="C144" s="153" t="s">
        <v>1645</v>
      </c>
      <c r="D144" s="155" t="s">
        <v>1812</v>
      </c>
    </row>
    <row r="145" spans="1:4" ht="45" x14ac:dyDescent="0.2">
      <c r="A145" s="130">
        <v>130</v>
      </c>
      <c r="B145" s="152" t="s">
        <v>221</v>
      </c>
      <c r="C145" s="152" t="s">
        <v>1449</v>
      </c>
      <c r="D145" s="160" t="s">
        <v>1813</v>
      </c>
    </row>
    <row r="146" spans="1:4" ht="60" x14ac:dyDescent="0.2">
      <c r="A146" s="130">
        <v>131</v>
      </c>
      <c r="B146" s="152" t="s">
        <v>221</v>
      </c>
      <c r="C146" s="152" t="s">
        <v>1856</v>
      </c>
      <c r="D146" s="160" t="s">
        <v>1857</v>
      </c>
    </row>
    <row r="147" spans="1:4" ht="30" x14ac:dyDescent="0.2">
      <c r="A147" s="130">
        <v>132</v>
      </c>
      <c r="B147" s="152" t="s">
        <v>221</v>
      </c>
      <c r="C147" s="152" t="s">
        <v>1753</v>
      </c>
      <c r="D147" s="160" t="s">
        <v>1814</v>
      </c>
    </row>
    <row r="148" spans="1:4" ht="30" x14ac:dyDescent="0.2">
      <c r="A148" s="130">
        <v>133</v>
      </c>
      <c r="B148" s="152" t="s">
        <v>221</v>
      </c>
      <c r="C148" s="152" t="s">
        <v>1646</v>
      </c>
      <c r="D148" s="160" t="s">
        <v>1815</v>
      </c>
    </row>
    <row r="149" spans="1:4" ht="30" x14ac:dyDescent="0.2">
      <c r="A149" s="130">
        <v>134</v>
      </c>
      <c r="B149" s="152" t="s">
        <v>221</v>
      </c>
      <c r="C149" s="152" t="s">
        <v>1450</v>
      </c>
      <c r="D149" s="160" t="s">
        <v>1816</v>
      </c>
    </row>
    <row r="150" spans="1:4" ht="30" x14ac:dyDescent="0.2">
      <c r="A150" s="130">
        <v>135</v>
      </c>
      <c r="B150" s="152" t="s">
        <v>221</v>
      </c>
      <c r="C150" s="153" t="s">
        <v>1451</v>
      </c>
      <c r="D150" s="161" t="s">
        <v>1817</v>
      </c>
    </row>
    <row r="151" spans="1:4" ht="45" x14ac:dyDescent="0.2">
      <c r="A151" s="130">
        <v>136</v>
      </c>
      <c r="B151" s="152" t="s">
        <v>221</v>
      </c>
      <c r="C151" s="152" t="s">
        <v>1452</v>
      </c>
      <c r="D151" s="155" t="s">
        <v>1818</v>
      </c>
    </row>
    <row r="152" spans="1:4" ht="45" x14ac:dyDescent="0.2">
      <c r="A152" s="130">
        <v>137</v>
      </c>
      <c r="B152" s="152" t="s">
        <v>221</v>
      </c>
      <c r="C152" s="152" t="s">
        <v>1453</v>
      </c>
      <c r="D152" s="155" t="s">
        <v>1819</v>
      </c>
    </row>
    <row r="153" spans="1:4" ht="45" x14ac:dyDescent="0.2">
      <c r="A153" s="130">
        <v>138</v>
      </c>
      <c r="B153" s="152" t="s">
        <v>221</v>
      </c>
      <c r="C153" s="153" t="s">
        <v>1647</v>
      </c>
      <c r="D153" s="155" t="s">
        <v>1820</v>
      </c>
    </row>
    <row r="154" spans="1:4" ht="30" x14ac:dyDescent="0.2">
      <c r="A154" s="130">
        <v>139</v>
      </c>
      <c r="B154" s="152" t="s">
        <v>221</v>
      </c>
      <c r="C154" s="153" t="s">
        <v>1454</v>
      </c>
      <c r="D154" s="188" t="s">
        <v>1821</v>
      </c>
    </row>
    <row r="155" spans="1:4" ht="45" x14ac:dyDescent="0.2">
      <c r="A155" s="130">
        <v>140</v>
      </c>
      <c r="B155" s="152" t="s">
        <v>221</v>
      </c>
      <c r="C155" s="152" t="s">
        <v>1455</v>
      </c>
      <c r="D155" s="155" t="s">
        <v>1822</v>
      </c>
    </row>
    <row r="156" spans="1:4" ht="90" x14ac:dyDescent="0.2">
      <c r="A156" s="130">
        <v>141</v>
      </c>
      <c r="B156" s="152" t="s">
        <v>221</v>
      </c>
      <c r="C156" s="152" t="s">
        <v>1456</v>
      </c>
      <c r="D156" s="160" t="s">
        <v>1823</v>
      </c>
    </row>
    <row r="157" spans="1:4" ht="90" x14ac:dyDescent="0.2">
      <c r="A157" s="130">
        <v>142</v>
      </c>
      <c r="B157" s="152" t="s">
        <v>221</v>
      </c>
      <c r="C157" s="152" t="s">
        <v>1457</v>
      </c>
      <c r="D157" s="160" t="s">
        <v>1824</v>
      </c>
    </row>
    <row r="158" spans="1:4" ht="30" x14ac:dyDescent="0.2">
      <c r="A158" s="130">
        <v>143</v>
      </c>
      <c r="B158" s="152" t="s">
        <v>221</v>
      </c>
      <c r="C158" s="152" t="s">
        <v>1458</v>
      </c>
      <c r="D158" s="188" t="s">
        <v>1942</v>
      </c>
    </row>
    <row r="159" spans="1:4" ht="60" x14ac:dyDescent="0.2">
      <c r="A159" s="130">
        <v>144</v>
      </c>
      <c r="B159" s="152" t="s">
        <v>221</v>
      </c>
      <c r="C159" s="152" t="s">
        <v>1459</v>
      </c>
      <c r="D159" s="160" t="s">
        <v>1825</v>
      </c>
    </row>
    <row r="160" spans="1:4" ht="75" x14ac:dyDescent="0.2">
      <c r="A160" s="130">
        <v>145</v>
      </c>
      <c r="B160" s="152" t="s">
        <v>221</v>
      </c>
      <c r="C160" s="152" t="s">
        <v>1460</v>
      </c>
      <c r="D160" s="160" t="s">
        <v>1826</v>
      </c>
    </row>
    <row r="161" spans="1:4" ht="45" x14ac:dyDescent="0.2">
      <c r="A161" s="130">
        <v>146</v>
      </c>
      <c r="B161" s="152" t="s">
        <v>221</v>
      </c>
      <c r="C161" s="152" t="s">
        <v>1947</v>
      </c>
      <c r="D161" s="160" t="s">
        <v>1948</v>
      </c>
    </row>
    <row r="162" spans="1:4" ht="60" x14ac:dyDescent="0.2">
      <c r="A162" s="130">
        <v>147</v>
      </c>
      <c r="B162" s="152" t="s">
        <v>221</v>
      </c>
      <c r="C162" s="152" t="s">
        <v>1648</v>
      </c>
      <c r="D162" s="188" t="s">
        <v>1827</v>
      </c>
    </row>
    <row r="163" spans="1:4" ht="60" x14ac:dyDescent="0.2">
      <c r="A163" s="130">
        <v>148</v>
      </c>
      <c r="B163" s="152" t="s">
        <v>221</v>
      </c>
      <c r="C163" s="152" t="s">
        <v>1485</v>
      </c>
      <c r="D163" s="160" t="s">
        <v>1828</v>
      </c>
    </row>
    <row r="164" spans="1:4" ht="60" x14ac:dyDescent="0.2">
      <c r="A164" s="130">
        <v>149</v>
      </c>
      <c r="B164" s="152" t="s">
        <v>221</v>
      </c>
      <c r="C164" s="152" t="s">
        <v>1754</v>
      </c>
      <c r="D164" s="160" t="s">
        <v>1829</v>
      </c>
    </row>
    <row r="165" spans="1:4" ht="135" x14ac:dyDescent="0.2">
      <c r="A165" s="130">
        <v>150</v>
      </c>
      <c r="B165" s="152" t="s">
        <v>221</v>
      </c>
      <c r="C165" s="152" t="s">
        <v>1461</v>
      </c>
      <c r="D165" s="188" t="s">
        <v>1830</v>
      </c>
    </row>
    <row r="166" spans="1:4" ht="135" x14ac:dyDescent="0.2">
      <c r="A166" s="130">
        <v>151</v>
      </c>
      <c r="B166" s="152" t="s">
        <v>221</v>
      </c>
      <c r="C166" s="152" t="s">
        <v>1462</v>
      </c>
      <c r="D166" s="188" t="s">
        <v>1831</v>
      </c>
    </row>
    <row r="167" spans="1:4" ht="45" x14ac:dyDescent="0.2">
      <c r="A167" s="130">
        <v>152</v>
      </c>
      <c r="B167" s="152" t="s">
        <v>221</v>
      </c>
      <c r="C167" s="152" t="s">
        <v>1463</v>
      </c>
      <c r="D167" s="160" t="s">
        <v>1832</v>
      </c>
    </row>
    <row r="168" spans="1:4" ht="57" customHeight="1" x14ac:dyDescent="0.2">
      <c r="A168" s="130">
        <v>153</v>
      </c>
      <c r="B168" s="152" t="s">
        <v>221</v>
      </c>
      <c r="C168" s="152" t="s">
        <v>1956</v>
      </c>
      <c r="D168" s="160" t="s">
        <v>1957</v>
      </c>
    </row>
    <row r="169" spans="1:4" ht="60" x14ac:dyDescent="0.2">
      <c r="A169" s="130">
        <v>154</v>
      </c>
      <c r="B169" s="152" t="s">
        <v>221</v>
      </c>
      <c r="C169" s="152" t="s">
        <v>1464</v>
      </c>
      <c r="D169" s="160" t="s">
        <v>1833</v>
      </c>
    </row>
    <row r="170" spans="1:4" ht="60" x14ac:dyDescent="0.2">
      <c r="A170" s="130">
        <v>155</v>
      </c>
      <c r="B170" s="152" t="s">
        <v>221</v>
      </c>
      <c r="C170" s="152" t="s">
        <v>1465</v>
      </c>
      <c r="D170" s="188" t="s">
        <v>1834</v>
      </c>
    </row>
    <row r="171" spans="1:4" ht="60" x14ac:dyDescent="0.2">
      <c r="A171" s="130">
        <v>156</v>
      </c>
      <c r="B171" s="152" t="s">
        <v>221</v>
      </c>
      <c r="C171" s="152" t="s">
        <v>1466</v>
      </c>
      <c r="D171" s="188" t="s">
        <v>1835</v>
      </c>
    </row>
    <row r="172" spans="1:4" ht="45" x14ac:dyDescent="0.2">
      <c r="A172" s="130">
        <v>157</v>
      </c>
      <c r="B172" s="152" t="s">
        <v>221</v>
      </c>
      <c r="C172" s="152" t="s">
        <v>1467</v>
      </c>
      <c r="D172" s="188" t="s">
        <v>1836</v>
      </c>
    </row>
    <row r="173" spans="1:4" ht="45" x14ac:dyDescent="0.2">
      <c r="A173" s="130">
        <v>158</v>
      </c>
      <c r="B173" s="152" t="s">
        <v>221</v>
      </c>
      <c r="C173" s="152" t="s">
        <v>1468</v>
      </c>
      <c r="D173" s="188" t="s">
        <v>1837</v>
      </c>
    </row>
    <row r="174" spans="1:4" ht="45" x14ac:dyDescent="0.2">
      <c r="A174" s="130">
        <v>159</v>
      </c>
      <c r="B174" s="152" t="s">
        <v>221</v>
      </c>
      <c r="C174" s="152" t="s">
        <v>1469</v>
      </c>
      <c r="D174" s="188" t="s">
        <v>1838</v>
      </c>
    </row>
    <row r="175" spans="1:4" ht="45" x14ac:dyDescent="0.2">
      <c r="A175" s="130">
        <v>160</v>
      </c>
      <c r="B175" s="152" t="s">
        <v>221</v>
      </c>
      <c r="C175" s="152" t="s">
        <v>1470</v>
      </c>
      <c r="D175" s="188" t="s">
        <v>1839</v>
      </c>
    </row>
    <row r="176" spans="1:4" ht="90" x14ac:dyDescent="0.2">
      <c r="A176" s="130">
        <v>161</v>
      </c>
      <c r="B176" s="152" t="s">
        <v>221</v>
      </c>
      <c r="C176" s="152" t="s">
        <v>1471</v>
      </c>
      <c r="D176" s="188" t="s">
        <v>1840</v>
      </c>
    </row>
    <row r="177" spans="1:4" ht="105" x14ac:dyDescent="0.2">
      <c r="A177" s="130">
        <v>162</v>
      </c>
      <c r="B177" s="152" t="s">
        <v>221</v>
      </c>
      <c r="C177" s="152" t="s">
        <v>1472</v>
      </c>
      <c r="D177" s="188" t="s">
        <v>1841</v>
      </c>
    </row>
    <row r="178" spans="1:4" ht="60" x14ac:dyDescent="0.2">
      <c r="A178" s="130">
        <v>163</v>
      </c>
      <c r="B178" s="152" t="s">
        <v>221</v>
      </c>
      <c r="C178" s="152" t="s">
        <v>1473</v>
      </c>
      <c r="D178" s="188" t="s">
        <v>1842</v>
      </c>
    </row>
    <row r="179" spans="1:4" ht="45" x14ac:dyDescent="0.2">
      <c r="A179" s="130">
        <v>164</v>
      </c>
      <c r="B179" s="152" t="s">
        <v>221</v>
      </c>
      <c r="C179" s="152" t="s">
        <v>1474</v>
      </c>
      <c r="D179" s="188" t="s">
        <v>1843</v>
      </c>
    </row>
    <row r="180" spans="1:4" ht="75" x14ac:dyDescent="0.2">
      <c r="A180" s="130">
        <v>165</v>
      </c>
      <c r="B180" s="152" t="s">
        <v>221</v>
      </c>
      <c r="C180" s="152" t="s">
        <v>1475</v>
      </c>
      <c r="D180" s="188" t="s">
        <v>1844</v>
      </c>
    </row>
    <row r="181" spans="1:4" ht="60" x14ac:dyDescent="0.2">
      <c r="A181" s="130">
        <v>166</v>
      </c>
      <c r="B181" s="152" t="s">
        <v>221</v>
      </c>
      <c r="C181" s="152" t="s">
        <v>1649</v>
      </c>
      <c r="D181" s="188" t="s">
        <v>1845</v>
      </c>
    </row>
    <row r="182" spans="1:4" ht="135" x14ac:dyDescent="0.2">
      <c r="A182" s="130">
        <v>167</v>
      </c>
      <c r="B182" s="152" t="s">
        <v>221</v>
      </c>
      <c r="C182" s="152" t="s">
        <v>1476</v>
      </c>
      <c r="D182" s="188" t="s">
        <v>1846</v>
      </c>
    </row>
    <row r="183" spans="1:4" ht="45" x14ac:dyDescent="0.2">
      <c r="A183" s="130">
        <v>168</v>
      </c>
      <c r="B183" s="152" t="s">
        <v>221</v>
      </c>
      <c r="C183" s="152" t="s">
        <v>1477</v>
      </c>
      <c r="D183" s="188" t="s">
        <v>1847</v>
      </c>
    </row>
    <row r="184" spans="1:4" ht="45" x14ac:dyDescent="0.2">
      <c r="A184" s="130">
        <v>169</v>
      </c>
      <c r="B184" s="152" t="s">
        <v>221</v>
      </c>
      <c r="C184" s="152" t="s">
        <v>1478</v>
      </c>
      <c r="D184" s="188" t="s">
        <v>1848</v>
      </c>
    </row>
    <row r="185" spans="1:4" ht="30" x14ac:dyDescent="0.2">
      <c r="A185" s="130">
        <v>170</v>
      </c>
      <c r="B185" s="152" t="s">
        <v>221</v>
      </c>
      <c r="C185" s="152" t="s">
        <v>1479</v>
      </c>
      <c r="D185" s="160" t="s">
        <v>1849</v>
      </c>
    </row>
    <row r="186" spans="1:4" ht="90" x14ac:dyDescent="0.2">
      <c r="A186" s="130">
        <v>171</v>
      </c>
      <c r="B186" s="152" t="s">
        <v>221</v>
      </c>
      <c r="C186" s="152" t="s">
        <v>1480</v>
      </c>
      <c r="D186" s="160" t="s">
        <v>1603</v>
      </c>
    </row>
    <row r="187" spans="1:4" ht="45" x14ac:dyDescent="0.2">
      <c r="A187" s="130">
        <v>172</v>
      </c>
      <c r="B187" s="152" t="s">
        <v>221</v>
      </c>
      <c r="C187" s="152" t="s">
        <v>1481</v>
      </c>
      <c r="D187" s="160" t="s">
        <v>1606</v>
      </c>
    </row>
    <row r="188" spans="1:4" ht="30" x14ac:dyDescent="0.2">
      <c r="A188" s="130">
        <v>173</v>
      </c>
      <c r="B188" s="152" t="s">
        <v>221</v>
      </c>
      <c r="C188" s="152" t="s">
        <v>1482</v>
      </c>
      <c r="D188" s="160" t="s">
        <v>1605</v>
      </c>
    </row>
    <row r="189" spans="1:4" ht="30" x14ac:dyDescent="0.2">
      <c r="A189" s="130">
        <v>174</v>
      </c>
      <c r="B189" s="152" t="s">
        <v>221</v>
      </c>
      <c r="C189" s="152" t="s">
        <v>1760</v>
      </c>
      <c r="D189" s="160" t="s">
        <v>1866</v>
      </c>
    </row>
    <row r="190" spans="1:4" ht="45" x14ac:dyDescent="0.2">
      <c r="A190" s="130">
        <v>175</v>
      </c>
      <c r="B190" s="152" t="s">
        <v>221</v>
      </c>
      <c r="C190" s="152" t="s">
        <v>1483</v>
      </c>
      <c r="D190" s="188" t="s">
        <v>234</v>
      </c>
    </row>
    <row r="191" spans="1:4" ht="60" x14ac:dyDescent="0.2">
      <c r="A191" s="130">
        <v>176</v>
      </c>
      <c r="B191" s="152" t="s">
        <v>221</v>
      </c>
      <c r="C191" s="152" t="s">
        <v>1755</v>
      </c>
      <c r="D191" s="188" t="s">
        <v>1756</v>
      </c>
    </row>
    <row r="192" spans="1:4" ht="42.75" customHeight="1" x14ac:dyDescent="0.2">
      <c r="A192" s="130">
        <v>177</v>
      </c>
      <c r="B192" s="152" t="s">
        <v>221</v>
      </c>
      <c r="C192" s="152" t="s">
        <v>1858</v>
      </c>
      <c r="D192" s="188" t="s">
        <v>1859</v>
      </c>
    </row>
    <row r="193" spans="1:4" ht="30" x14ac:dyDescent="0.2">
      <c r="A193" s="130">
        <v>178</v>
      </c>
      <c r="B193" s="152" t="s">
        <v>221</v>
      </c>
      <c r="C193" s="153" t="s">
        <v>1486</v>
      </c>
      <c r="D193" s="154" t="s">
        <v>1850</v>
      </c>
    </row>
    <row r="194" spans="1:4" ht="60" x14ac:dyDescent="0.2">
      <c r="A194" s="130">
        <v>179</v>
      </c>
      <c r="B194" s="152" t="s">
        <v>221</v>
      </c>
      <c r="C194" s="153" t="s">
        <v>1869</v>
      </c>
      <c r="D194" s="154" t="s">
        <v>1870</v>
      </c>
    </row>
    <row r="195" spans="1:4" ht="135" x14ac:dyDescent="0.2">
      <c r="A195" s="130">
        <v>180</v>
      </c>
      <c r="B195" s="152" t="s">
        <v>221</v>
      </c>
      <c r="C195" s="153" t="s">
        <v>1949</v>
      </c>
      <c r="D195" s="154" t="s">
        <v>1950</v>
      </c>
    </row>
    <row r="196" spans="1:4" ht="60" x14ac:dyDescent="0.2">
      <c r="A196" s="130">
        <v>181</v>
      </c>
      <c r="B196" s="152" t="s">
        <v>221</v>
      </c>
      <c r="C196" s="153" t="s">
        <v>1717</v>
      </c>
      <c r="D196" s="155" t="s">
        <v>1851</v>
      </c>
    </row>
    <row r="197" spans="1:4" ht="45" x14ac:dyDescent="0.2">
      <c r="A197" s="130">
        <v>182</v>
      </c>
      <c r="B197" s="152" t="s">
        <v>221</v>
      </c>
      <c r="C197" s="153" t="s">
        <v>1752</v>
      </c>
      <c r="D197" s="155" t="s">
        <v>1852</v>
      </c>
    </row>
    <row r="198" spans="1:4" ht="30" x14ac:dyDescent="0.2">
      <c r="A198" s="130">
        <v>183</v>
      </c>
      <c r="B198" s="152" t="s">
        <v>221</v>
      </c>
      <c r="C198" s="153" t="s">
        <v>1484</v>
      </c>
      <c r="D198" s="155" t="s">
        <v>1853</v>
      </c>
    </row>
    <row r="199" spans="1:4" ht="75" x14ac:dyDescent="0.2">
      <c r="A199" s="130">
        <v>184</v>
      </c>
      <c r="B199" s="152" t="s">
        <v>221</v>
      </c>
      <c r="C199" s="156" t="s">
        <v>1650</v>
      </c>
      <c r="D199" s="155" t="s">
        <v>601</v>
      </c>
    </row>
    <row r="200" spans="1:4" ht="45" x14ac:dyDescent="0.2">
      <c r="A200" s="130">
        <v>185</v>
      </c>
      <c r="B200" s="152" t="s">
        <v>221</v>
      </c>
      <c r="C200" s="156" t="s">
        <v>1651</v>
      </c>
      <c r="D200" s="154" t="s">
        <v>1368</v>
      </c>
    </row>
    <row r="201" spans="1:4" ht="45" x14ac:dyDescent="0.2">
      <c r="A201" s="130">
        <v>186</v>
      </c>
      <c r="B201" s="152" t="s">
        <v>221</v>
      </c>
      <c r="C201" s="156" t="s">
        <v>1423</v>
      </c>
      <c r="D201" s="154" t="s">
        <v>1195</v>
      </c>
    </row>
    <row r="202" spans="1:4" ht="60" x14ac:dyDescent="0.2">
      <c r="A202" s="130">
        <v>187</v>
      </c>
      <c r="B202" s="152" t="s">
        <v>221</v>
      </c>
      <c r="C202" s="153" t="s">
        <v>1424</v>
      </c>
      <c r="D202" s="155" t="s">
        <v>1854</v>
      </c>
    </row>
    <row r="203" spans="1:4" ht="45" x14ac:dyDescent="0.2">
      <c r="A203" s="130">
        <v>188</v>
      </c>
      <c r="B203" s="152" t="s">
        <v>221</v>
      </c>
      <c r="C203" s="153" t="s">
        <v>1425</v>
      </c>
      <c r="D203" s="154" t="s">
        <v>1196</v>
      </c>
    </row>
    <row r="204" spans="1:4" ht="60" x14ac:dyDescent="0.2">
      <c r="A204" s="130">
        <v>189</v>
      </c>
      <c r="B204" s="152" t="s">
        <v>221</v>
      </c>
      <c r="C204" s="153" t="s">
        <v>1426</v>
      </c>
      <c r="D204" s="155" t="s">
        <v>1360</v>
      </c>
    </row>
    <row r="205" spans="1:4" ht="60" x14ac:dyDescent="0.2">
      <c r="A205" s="130">
        <v>190</v>
      </c>
      <c r="B205" s="152" t="s">
        <v>221</v>
      </c>
      <c r="C205" s="153" t="s">
        <v>1427</v>
      </c>
      <c r="D205" s="155" t="s">
        <v>1855</v>
      </c>
    </row>
    <row r="206" spans="1:4" ht="45" x14ac:dyDescent="0.2">
      <c r="A206" s="130">
        <v>191</v>
      </c>
      <c r="B206" s="152" t="s">
        <v>221</v>
      </c>
      <c r="C206" s="153" t="s">
        <v>1428</v>
      </c>
      <c r="D206" s="154" t="s">
        <v>1197</v>
      </c>
    </row>
    <row r="207" spans="1:4" ht="45" x14ac:dyDescent="0.2">
      <c r="A207" s="130">
        <v>192</v>
      </c>
      <c r="B207" s="152" t="s">
        <v>221</v>
      </c>
      <c r="C207" s="153" t="s">
        <v>1429</v>
      </c>
      <c r="D207" s="154" t="s">
        <v>1198</v>
      </c>
    </row>
    <row r="208" spans="1:4" ht="45" x14ac:dyDescent="0.2">
      <c r="A208" s="130">
        <v>193</v>
      </c>
      <c r="B208" s="152" t="s">
        <v>221</v>
      </c>
      <c r="C208" s="153" t="s">
        <v>1430</v>
      </c>
      <c r="D208" s="154" t="s">
        <v>1375</v>
      </c>
    </row>
    <row r="209" spans="1:4" ht="30" x14ac:dyDescent="0.2">
      <c r="A209" s="130">
        <v>194</v>
      </c>
      <c r="B209" s="152" t="s">
        <v>221</v>
      </c>
      <c r="C209" s="153" t="s">
        <v>1431</v>
      </c>
      <c r="D209" s="154" t="s">
        <v>1366</v>
      </c>
    </row>
    <row r="210" spans="1:4" ht="45" x14ac:dyDescent="0.2">
      <c r="A210" s="130">
        <v>195</v>
      </c>
      <c r="B210" s="152" t="s">
        <v>221</v>
      </c>
      <c r="C210" s="153" t="s">
        <v>1487</v>
      </c>
      <c r="D210" s="154" t="s">
        <v>1488</v>
      </c>
    </row>
    <row r="211" spans="1:4" ht="30" x14ac:dyDescent="0.2">
      <c r="A211" s="130">
        <v>196</v>
      </c>
      <c r="B211" s="152" t="s">
        <v>221</v>
      </c>
      <c r="C211" s="153" t="s">
        <v>1432</v>
      </c>
      <c r="D211" s="154" t="s">
        <v>1367</v>
      </c>
    </row>
    <row r="212" spans="1:4" ht="30" x14ac:dyDescent="0.2">
      <c r="A212" s="130">
        <v>197</v>
      </c>
      <c r="B212" s="152" t="s">
        <v>221</v>
      </c>
      <c r="C212" s="153" t="s">
        <v>1433</v>
      </c>
      <c r="D212" s="154" t="s">
        <v>1199</v>
      </c>
    </row>
    <row r="213" spans="1:4" ht="60" x14ac:dyDescent="0.2">
      <c r="A213" s="130">
        <v>198</v>
      </c>
      <c r="B213" s="152" t="s">
        <v>221</v>
      </c>
      <c r="C213" s="153" t="s">
        <v>1434</v>
      </c>
      <c r="D213" s="155" t="s">
        <v>1200</v>
      </c>
    </row>
  </sheetData>
  <autoFilter ref="A4:I272"/>
  <mergeCells count="14">
    <mergeCell ref="B106:D106"/>
    <mergeCell ref="B40:D40"/>
    <mergeCell ref="B6:D6"/>
    <mergeCell ref="B10:D10"/>
    <mergeCell ref="B14:D14"/>
    <mergeCell ref="B36:D36"/>
    <mergeCell ref="A1:D1"/>
    <mergeCell ref="B100:D100"/>
    <mergeCell ref="B49:D49"/>
    <mergeCell ref="B80:D80"/>
    <mergeCell ref="A2:D2"/>
    <mergeCell ref="A3:D3"/>
    <mergeCell ref="A5:D5"/>
    <mergeCell ref="B55:D55"/>
  </mergeCells>
  <pageMargins left="0.98425196850393704" right="0.39370078740157483" top="0.39370078740157483" bottom="0.97" header="0.39370078740157483" footer="0.23622047244094491"/>
  <pageSetup paperSize="9" scale="58" fitToHeight="0"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rgb="FF00B0F0"/>
  </sheetPr>
  <dimension ref="A1:H63"/>
  <sheetViews>
    <sheetView topLeftCell="A8" workbookViewId="0">
      <selection activeCell="A5" sqref="A5:A6"/>
    </sheetView>
  </sheetViews>
  <sheetFormatPr defaultRowHeight="12.75" x14ac:dyDescent="0.2"/>
  <cols>
    <col min="1" max="1" width="47.85546875" style="3" customWidth="1"/>
    <col min="2" max="2" width="15.5703125" style="3" customWidth="1"/>
    <col min="3" max="3" width="16.42578125" style="3" customWidth="1"/>
    <col min="4" max="4" width="14.85546875" style="3" customWidth="1"/>
    <col min="5" max="5" width="16.28515625" style="3" customWidth="1"/>
    <col min="6" max="6" width="16.5703125" style="3" customWidth="1"/>
    <col min="7" max="7" width="17.42578125" style="3" customWidth="1"/>
    <col min="8" max="16384" width="9.140625" style="3"/>
  </cols>
  <sheetData>
    <row r="1" spans="1:8" ht="45.75" hidden="1" customHeight="1" x14ac:dyDescent="0.2">
      <c r="A1" s="444" t="str">
        <f>"Приложение №"&amp;Н2ффп&amp;"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c r="C1" s="444"/>
      <c r="D1" s="444"/>
    </row>
    <row r="2" spans="1:8" ht="40.5" customHeight="1" x14ac:dyDescent="0.2">
      <c r="A2" s="444" t="str">
        <f>"Приложение "&amp;Н1ффп&amp;" к решению
Богучанского районного Совета депутатов
от "&amp;Р1дата&amp;" года №"&amp;Р1номер</f>
        <v>Приложение 13 к решению
Богучанского районного Совета депутатов
от  04.12.2020 года №5/1-16</v>
      </c>
      <c r="B2" s="444"/>
      <c r="C2" s="444"/>
      <c r="D2" s="444"/>
    </row>
    <row r="3" spans="1:8" ht="55.5" customHeight="1" x14ac:dyDescent="0.2">
      <c r="A3" s="470" t="str">
        <f>"Дотации на "&amp;год&amp;" год и плановый период "&amp;ПлПер&amp;" годов"</f>
        <v>Дотации на 2021 год и плановый период 2022-2023 годов</v>
      </c>
      <c r="B3" s="470"/>
      <c r="C3" s="470"/>
      <c r="D3" s="470"/>
    </row>
    <row r="4" spans="1:8" x14ac:dyDescent="0.2">
      <c r="D4" s="8" t="s">
        <v>73</v>
      </c>
    </row>
    <row r="5" spans="1:8" x14ac:dyDescent="0.2">
      <c r="A5" s="490" t="s">
        <v>22</v>
      </c>
      <c r="B5" s="492" t="s">
        <v>74</v>
      </c>
      <c r="C5" s="480" t="s">
        <v>1150</v>
      </c>
      <c r="D5" s="481"/>
    </row>
    <row r="6" spans="1:8" ht="135" customHeight="1" x14ac:dyDescent="0.2">
      <c r="A6" s="491"/>
      <c r="B6" s="493"/>
      <c r="C6" s="287" t="s">
        <v>1151</v>
      </c>
      <c r="D6" s="32" t="s">
        <v>1152</v>
      </c>
      <c r="F6" s="3">
        <v>1110076010</v>
      </c>
      <c r="G6" s="3">
        <v>1110080130</v>
      </c>
    </row>
    <row r="7" spans="1:8" ht="15" x14ac:dyDescent="0.2">
      <c r="A7" s="112" t="s">
        <v>1416</v>
      </c>
      <c r="B7" s="264">
        <f>SUM(B8:B25)</f>
        <v>93434200</v>
      </c>
      <c r="C7" s="264">
        <f>SUM(C8:C25)</f>
        <v>42780600</v>
      </c>
      <c r="D7" s="264">
        <f>SUM(D8:D25)</f>
        <v>50653600</v>
      </c>
      <c r="E7" s="113" t="s">
        <v>276</v>
      </c>
      <c r="F7" s="114">
        <f ca="1">SUMIF(РзПз,"????"&amp;F$6,СумВед)-C7</f>
        <v>0</v>
      </c>
      <c r="G7" s="114">
        <f ca="1">SUMIF(РзПз,"????"&amp;G$6,СумВед)-D7</f>
        <v>0</v>
      </c>
      <c r="H7" s="3">
        <v>2016</v>
      </c>
    </row>
    <row r="8" spans="1:8" ht="14.25" x14ac:dyDescent="0.2">
      <c r="A8" s="272" t="s">
        <v>672</v>
      </c>
      <c r="B8" s="273">
        <f t="shared" ref="B8:B25" si="0">C8+D8</f>
        <v>2791800</v>
      </c>
      <c r="C8" s="267">
        <v>1524400</v>
      </c>
      <c r="D8" s="267">
        <v>1267400</v>
      </c>
      <c r="F8" s="114">
        <f ca="1">SUMIF(РзПзПлПер,"????"&amp;F$6,СумВед14)-C26</f>
        <v>0</v>
      </c>
      <c r="G8" s="114">
        <f ca="1">SUMIF(РзПзПлПер,"????"&amp;G$6,СумВед14)-D26</f>
        <v>0</v>
      </c>
      <c r="H8" s="3">
        <v>2017</v>
      </c>
    </row>
    <row r="9" spans="1:8" ht="14.25" x14ac:dyDescent="0.2">
      <c r="A9" s="272" t="s">
        <v>85</v>
      </c>
      <c r="B9" s="273">
        <f t="shared" si="0"/>
        <v>4090800</v>
      </c>
      <c r="C9" s="267">
        <v>402000</v>
      </c>
      <c r="D9" s="267">
        <v>3688800</v>
      </c>
      <c r="F9" s="114">
        <f ca="1">SUMIF(РзПзПлПер,"????"&amp;F$6,СумВед15)-C45</f>
        <v>0</v>
      </c>
      <c r="G9" s="114">
        <f ca="1">SUMIF(РзПзПлПер,"????"&amp;G$6,СумВед15)-D45</f>
        <v>0</v>
      </c>
      <c r="H9" s="3">
        <v>2018</v>
      </c>
    </row>
    <row r="10" spans="1:8" ht="14.25" x14ac:dyDescent="0.2">
      <c r="A10" s="274" t="s">
        <v>171</v>
      </c>
      <c r="B10" s="273">
        <f t="shared" si="0"/>
        <v>6464500</v>
      </c>
      <c r="C10" s="267">
        <v>160800</v>
      </c>
      <c r="D10" s="267">
        <v>6303700</v>
      </c>
    </row>
    <row r="11" spans="1:8" ht="14.25" x14ac:dyDescent="0.2">
      <c r="A11" s="269" t="s">
        <v>60</v>
      </c>
      <c r="B11" s="270">
        <f t="shared" si="0"/>
        <v>6755200</v>
      </c>
      <c r="C11" s="271">
        <v>6755200</v>
      </c>
      <c r="D11" s="271"/>
      <c r="F11" s="37"/>
      <c r="G11" s="37"/>
    </row>
    <row r="12" spans="1:8" ht="14.25" x14ac:dyDescent="0.2">
      <c r="A12" s="10" t="s">
        <v>61</v>
      </c>
      <c r="B12" s="265">
        <f t="shared" si="0"/>
        <v>2981800</v>
      </c>
      <c r="C12" s="266">
        <v>919400</v>
      </c>
      <c r="D12" s="266">
        <v>2062400</v>
      </c>
    </row>
    <row r="13" spans="1:8" ht="14.25" customHeight="1" x14ac:dyDescent="0.2">
      <c r="A13" s="12" t="s">
        <v>247</v>
      </c>
      <c r="B13" s="265">
        <f t="shared" si="0"/>
        <v>8677800</v>
      </c>
      <c r="C13" s="266">
        <v>3853600</v>
      </c>
      <c r="D13" s="266">
        <v>4824200</v>
      </c>
    </row>
    <row r="14" spans="1:8" ht="14.25" x14ac:dyDescent="0.2">
      <c r="A14" s="10" t="s">
        <v>86</v>
      </c>
      <c r="B14" s="265">
        <f t="shared" si="0"/>
        <v>4030900</v>
      </c>
      <c r="C14" s="266">
        <v>1382800</v>
      </c>
      <c r="D14" s="266">
        <v>2648100</v>
      </c>
    </row>
    <row r="15" spans="1:8" ht="14.25" x14ac:dyDescent="0.2">
      <c r="A15" s="10" t="s">
        <v>142</v>
      </c>
      <c r="B15" s="265">
        <f t="shared" si="0"/>
        <v>4443700</v>
      </c>
      <c r="C15" s="266">
        <v>1594300</v>
      </c>
      <c r="D15" s="266">
        <v>2849400</v>
      </c>
    </row>
    <row r="16" spans="1:8" ht="14.25" x14ac:dyDescent="0.2">
      <c r="A16" s="10" t="s">
        <v>143</v>
      </c>
      <c r="B16" s="265">
        <f t="shared" si="0"/>
        <v>5613800</v>
      </c>
      <c r="C16" s="266">
        <v>272000</v>
      </c>
      <c r="D16" s="266">
        <v>5341800</v>
      </c>
    </row>
    <row r="17" spans="1:7" ht="14.25" x14ac:dyDescent="0.2">
      <c r="A17" s="10" t="s">
        <v>87</v>
      </c>
      <c r="B17" s="265">
        <f t="shared" si="0"/>
        <v>3411700</v>
      </c>
      <c r="C17" s="266">
        <v>1363100</v>
      </c>
      <c r="D17" s="266">
        <v>2048600</v>
      </c>
    </row>
    <row r="18" spans="1:7" ht="14.25" x14ac:dyDescent="0.2">
      <c r="A18" s="10" t="s">
        <v>89</v>
      </c>
      <c r="B18" s="265">
        <f t="shared" si="0"/>
        <v>7426100</v>
      </c>
      <c r="C18" s="266">
        <v>6189500</v>
      </c>
      <c r="D18" s="266">
        <v>1236600</v>
      </c>
    </row>
    <row r="19" spans="1:7" ht="13.5" customHeight="1" x14ac:dyDescent="0.2">
      <c r="A19" s="10" t="s">
        <v>172</v>
      </c>
      <c r="B19" s="265">
        <f t="shared" si="0"/>
        <v>8748200</v>
      </c>
      <c r="C19" s="266">
        <v>2217500</v>
      </c>
      <c r="D19" s="266">
        <v>6530700</v>
      </c>
    </row>
    <row r="20" spans="1:7" ht="14.25" x14ac:dyDescent="0.2">
      <c r="A20" s="10" t="s">
        <v>88</v>
      </c>
      <c r="B20" s="265">
        <f t="shared" si="0"/>
        <v>3807200</v>
      </c>
      <c r="C20" s="266">
        <v>2201700</v>
      </c>
      <c r="D20" s="266">
        <v>1605500</v>
      </c>
    </row>
    <row r="21" spans="1:7" ht="14.25" x14ac:dyDescent="0.2">
      <c r="A21" s="10" t="s">
        <v>90</v>
      </c>
      <c r="B21" s="265">
        <f t="shared" si="0"/>
        <v>5299000</v>
      </c>
      <c r="C21" s="266">
        <v>5299000</v>
      </c>
      <c r="D21" s="266"/>
    </row>
    <row r="22" spans="1:7" ht="14.25" x14ac:dyDescent="0.2">
      <c r="A22" s="10" t="s">
        <v>91</v>
      </c>
      <c r="B22" s="265">
        <f t="shared" si="0"/>
        <v>6097800</v>
      </c>
      <c r="C22" s="266">
        <v>714700</v>
      </c>
      <c r="D22" s="266">
        <v>5383100</v>
      </c>
    </row>
    <row r="23" spans="1:7" ht="14.25" x14ac:dyDescent="0.2">
      <c r="A23" s="10" t="s">
        <v>145</v>
      </c>
      <c r="B23" s="265">
        <f t="shared" si="0"/>
        <v>3532200</v>
      </c>
      <c r="C23" s="266">
        <v>2094400</v>
      </c>
      <c r="D23" s="266">
        <v>1437800</v>
      </c>
    </row>
    <row r="24" spans="1:7" ht="14.25" x14ac:dyDescent="0.2">
      <c r="A24" s="10" t="s">
        <v>146</v>
      </c>
      <c r="B24" s="265">
        <f t="shared" si="0"/>
        <v>6096500</v>
      </c>
      <c r="C24" s="266">
        <v>4778500</v>
      </c>
      <c r="D24" s="266">
        <v>1318000</v>
      </c>
    </row>
    <row r="25" spans="1:7" ht="14.25" x14ac:dyDescent="0.2">
      <c r="A25" s="10" t="s">
        <v>92</v>
      </c>
      <c r="B25" s="265">
        <f t="shared" si="0"/>
        <v>3165200</v>
      </c>
      <c r="C25" s="266">
        <v>1057700</v>
      </c>
      <c r="D25" s="266">
        <v>2107500</v>
      </c>
    </row>
    <row r="26" spans="1:7" ht="15" x14ac:dyDescent="0.2">
      <c r="A26" s="112" t="s">
        <v>1522</v>
      </c>
      <c r="B26" s="264">
        <f>SUM(B27:B44)</f>
        <v>74739500</v>
      </c>
      <c r="C26" s="264">
        <f>SUM(C27:C44)</f>
        <v>34224500</v>
      </c>
      <c r="D26" s="264">
        <f>SUM(D27:D44)</f>
        <v>40515000</v>
      </c>
      <c r="G26" s="313"/>
    </row>
    <row r="27" spans="1:7" ht="14.25" x14ac:dyDescent="0.2">
      <c r="A27" s="10" t="s">
        <v>59</v>
      </c>
      <c r="B27" s="265">
        <f t="shared" ref="B27:B44" si="1">C27+D27</f>
        <v>2232500</v>
      </c>
      <c r="C27" s="266">
        <v>1219500</v>
      </c>
      <c r="D27" s="266">
        <v>1013000</v>
      </c>
    </row>
    <row r="28" spans="1:7" ht="14.25" x14ac:dyDescent="0.2">
      <c r="A28" s="44" t="s">
        <v>85</v>
      </c>
      <c r="B28" s="265">
        <f t="shared" si="1"/>
        <v>3272600</v>
      </c>
      <c r="C28" s="266">
        <v>321600</v>
      </c>
      <c r="D28" s="266">
        <v>2951000</v>
      </c>
    </row>
    <row r="29" spans="1:7" ht="14.25" x14ac:dyDescent="0.2">
      <c r="A29" s="10" t="s">
        <v>171</v>
      </c>
      <c r="B29" s="265">
        <f t="shared" si="1"/>
        <v>5170600</v>
      </c>
      <c r="C29" s="266">
        <v>128600</v>
      </c>
      <c r="D29" s="266">
        <v>5042000</v>
      </c>
    </row>
    <row r="30" spans="1:7" ht="14.25" x14ac:dyDescent="0.2">
      <c r="A30" s="10" t="s">
        <v>60</v>
      </c>
      <c r="B30" s="265">
        <f t="shared" si="1"/>
        <v>5404200</v>
      </c>
      <c r="C30" s="266">
        <v>5404200</v>
      </c>
      <c r="D30" s="266"/>
    </row>
    <row r="31" spans="1:7" ht="14.25" x14ac:dyDescent="0.2">
      <c r="A31" s="10" t="s">
        <v>61</v>
      </c>
      <c r="B31" s="265">
        <f t="shared" si="1"/>
        <v>2384500</v>
      </c>
      <c r="C31" s="266">
        <v>735500</v>
      </c>
      <c r="D31" s="266">
        <v>1649000</v>
      </c>
    </row>
    <row r="32" spans="1:7" ht="14.25" customHeight="1" x14ac:dyDescent="0.2">
      <c r="A32" s="12" t="s">
        <v>247</v>
      </c>
      <c r="B32" s="265">
        <f t="shared" si="1"/>
        <v>6941900</v>
      </c>
      <c r="C32" s="266">
        <v>3082900</v>
      </c>
      <c r="D32" s="266">
        <v>3859000</v>
      </c>
    </row>
    <row r="33" spans="1:7" ht="14.25" x14ac:dyDescent="0.2">
      <c r="A33" s="10" t="s">
        <v>86</v>
      </c>
      <c r="B33" s="265">
        <f t="shared" si="1"/>
        <v>3224200</v>
      </c>
      <c r="C33" s="266">
        <v>1106200</v>
      </c>
      <c r="D33" s="266">
        <v>2118000</v>
      </c>
    </row>
    <row r="34" spans="1:7" ht="14.25" x14ac:dyDescent="0.2">
      <c r="A34" s="10" t="s">
        <v>142</v>
      </c>
      <c r="B34" s="265">
        <f t="shared" si="1"/>
        <v>3554400</v>
      </c>
      <c r="C34" s="266">
        <v>1275400</v>
      </c>
      <c r="D34" s="266">
        <v>2279000</v>
      </c>
    </row>
    <row r="35" spans="1:7" ht="14.25" x14ac:dyDescent="0.2">
      <c r="A35" s="10" t="s">
        <v>143</v>
      </c>
      <c r="B35" s="265">
        <f t="shared" si="1"/>
        <v>4490600</v>
      </c>
      <c r="C35" s="266">
        <v>217600</v>
      </c>
      <c r="D35" s="266">
        <v>4273000</v>
      </c>
    </row>
    <row r="36" spans="1:7" ht="14.25" x14ac:dyDescent="0.2">
      <c r="A36" s="10" t="s">
        <v>87</v>
      </c>
      <c r="B36" s="265">
        <f t="shared" si="1"/>
        <v>2728500</v>
      </c>
      <c r="C36" s="266">
        <v>1090500</v>
      </c>
      <c r="D36" s="266">
        <v>1638000</v>
      </c>
    </row>
    <row r="37" spans="1:7" ht="14.25" x14ac:dyDescent="0.2">
      <c r="A37" s="10" t="s">
        <v>89</v>
      </c>
      <c r="B37" s="265">
        <f t="shared" si="1"/>
        <v>5940600</v>
      </c>
      <c r="C37" s="266">
        <v>4951600</v>
      </c>
      <c r="D37" s="266">
        <v>989000</v>
      </c>
    </row>
    <row r="38" spans="1:7" ht="13.5" customHeight="1" x14ac:dyDescent="0.2">
      <c r="A38" s="10" t="s">
        <v>172</v>
      </c>
      <c r="B38" s="265">
        <f t="shared" si="1"/>
        <v>6998000</v>
      </c>
      <c r="C38" s="266">
        <v>1774000</v>
      </c>
      <c r="D38" s="266">
        <v>5224000</v>
      </c>
      <c r="G38" s="313"/>
    </row>
    <row r="39" spans="1:7" ht="14.25" x14ac:dyDescent="0.2">
      <c r="A39" s="10" t="s">
        <v>88</v>
      </c>
      <c r="B39" s="265">
        <f t="shared" si="1"/>
        <v>3045400</v>
      </c>
      <c r="C39" s="266">
        <v>1761400</v>
      </c>
      <c r="D39" s="266">
        <v>1284000</v>
      </c>
    </row>
    <row r="40" spans="1:7" ht="14.25" x14ac:dyDescent="0.2">
      <c r="A40" s="10" t="s">
        <v>90</v>
      </c>
      <c r="B40" s="265">
        <f t="shared" si="1"/>
        <v>4239200</v>
      </c>
      <c r="C40" s="266">
        <v>4239200</v>
      </c>
      <c r="D40" s="266"/>
    </row>
    <row r="41" spans="1:7" ht="14.25" x14ac:dyDescent="0.2">
      <c r="A41" s="10" t="s">
        <v>91</v>
      </c>
      <c r="B41" s="265">
        <f t="shared" si="1"/>
        <v>4877800</v>
      </c>
      <c r="C41" s="266">
        <v>571800</v>
      </c>
      <c r="D41" s="266">
        <v>4306000</v>
      </c>
    </row>
    <row r="42" spans="1:7" ht="14.25" x14ac:dyDescent="0.2">
      <c r="A42" s="10" t="s">
        <v>145</v>
      </c>
      <c r="B42" s="265">
        <f t="shared" si="1"/>
        <v>2825500</v>
      </c>
      <c r="C42" s="266">
        <v>1675500</v>
      </c>
      <c r="D42" s="266">
        <v>1150000</v>
      </c>
    </row>
    <row r="43" spans="1:7" ht="14.25" x14ac:dyDescent="0.2">
      <c r="A43" s="10" t="s">
        <v>146</v>
      </c>
      <c r="B43" s="265">
        <f t="shared" si="1"/>
        <v>4876800</v>
      </c>
      <c r="C43" s="266">
        <v>3822800</v>
      </c>
      <c r="D43" s="266">
        <v>1054000</v>
      </c>
    </row>
    <row r="44" spans="1:7" ht="14.25" x14ac:dyDescent="0.2">
      <c r="A44" s="10" t="s">
        <v>92</v>
      </c>
      <c r="B44" s="265">
        <f t="shared" si="1"/>
        <v>2532200</v>
      </c>
      <c r="C44" s="266">
        <v>846200</v>
      </c>
      <c r="D44" s="266">
        <v>1686000</v>
      </c>
    </row>
    <row r="45" spans="1:7" ht="15" x14ac:dyDescent="0.2">
      <c r="A45" s="112" t="s">
        <v>2086</v>
      </c>
      <c r="B45" s="264">
        <f>SUM(B46:B63)</f>
        <v>74739500</v>
      </c>
      <c r="C45" s="264">
        <f>SUM(C46:C63)</f>
        <v>34224500</v>
      </c>
      <c r="D45" s="264">
        <f>SUM(D46:D63)</f>
        <v>40515000</v>
      </c>
    </row>
    <row r="46" spans="1:7" ht="14.25" x14ac:dyDescent="0.2">
      <c r="A46" s="10" t="s">
        <v>59</v>
      </c>
      <c r="B46" s="265">
        <f t="shared" ref="B46:B63" si="2">C46+D46</f>
        <v>2232500</v>
      </c>
      <c r="C46" s="266">
        <v>1219500</v>
      </c>
      <c r="D46" s="266">
        <v>1013000</v>
      </c>
    </row>
    <row r="47" spans="1:7" ht="14.25" x14ac:dyDescent="0.2">
      <c r="A47" s="44" t="s">
        <v>85</v>
      </c>
      <c r="B47" s="265">
        <f t="shared" si="2"/>
        <v>3272600</v>
      </c>
      <c r="C47" s="266">
        <v>321600</v>
      </c>
      <c r="D47" s="266">
        <v>2951000</v>
      </c>
    </row>
    <row r="48" spans="1:7" ht="14.25" x14ac:dyDescent="0.2">
      <c r="A48" s="10" t="s">
        <v>171</v>
      </c>
      <c r="B48" s="265">
        <f t="shared" si="2"/>
        <v>5170600</v>
      </c>
      <c r="C48" s="266">
        <v>128600</v>
      </c>
      <c r="D48" s="266">
        <v>5042000</v>
      </c>
    </row>
    <row r="49" spans="1:4" ht="14.25" x14ac:dyDescent="0.2">
      <c r="A49" s="10" t="s">
        <v>60</v>
      </c>
      <c r="B49" s="265">
        <f t="shared" si="2"/>
        <v>5404200</v>
      </c>
      <c r="C49" s="266">
        <v>5404200</v>
      </c>
      <c r="D49" s="266"/>
    </row>
    <row r="50" spans="1:4" ht="14.25" x14ac:dyDescent="0.2">
      <c r="A50" s="10" t="s">
        <v>61</v>
      </c>
      <c r="B50" s="265">
        <f t="shared" si="2"/>
        <v>2384500</v>
      </c>
      <c r="C50" s="266">
        <v>735500</v>
      </c>
      <c r="D50" s="266">
        <v>1649000</v>
      </c>
    </row>
    <row r="51" spans="1:4" ht="13.5" customHeight="1" x14ac:dyDescent="0.2">
      <c r="A51" s="12" t="s">
        <v>247</v>
      </c>
      <c r="B51" s="265">
        <f t="shared" si="2"/>
        <v>6941900</v>
      </c>
      <c r="C51" s="266">
        <v>3082900</v>
      </c>
      <c r="D51" s="266">
        <v>3859000</v>
      </c>
    </row>
    <row r="52" spans="1:4" ht="14.25" x14ac:dyDescent="0.2">
      <c r="A52" s="10" t="s">
        <v>86</v>
      </c>
      <c r="B52" s="265">
        <f t="shared" si="2"/>
        <v>3224200</v>
      </c>
      <c r="C52" s="266">
        <v>1106200</v>
      </c>
      <c r="D52" s="266">
        <v>2118000</v>
      </c>
    </row>
    <row r="53" spans="1:4" ht="14.25" x14ac:dyDescent="0.2">
      <c r="A53" s="10" t="s">
        <v>142</v>
      </c>
      <c r="B53" s="265">
        <f t="shared" si="2"/>
        <v>3554400</v>
      </c>
      <c r="C53" s="266">
        <v>1275400</v>
      </c>
      <c r="D53" s="266">
        <v>2279000</v>
      </c>
    </row>
    <row r="54" spans="1:4" ht="14.25" x14ac:dyDescent="0.2">
      <c r="A54" s="10" t="s">
        <v>143</v>
      </c>
      <c r="B54" s="265">
        <f t="shared" si="2"/>
        <v>4490600</v>
      </c>
      <c r="C54" s="266">
        <v>217600</v>
      </c>
      <c r="D54" s="266">
        <v>4273000</v>
      </c>
    </row>
    <row r="55" spans="1:4" ht="14.25" x14ac:dyDescent="0.2">
      <c r="A55" s="10" t="s">
        <v>87</v>
      </c>
      <c r="B55" s="265">
        <f t="shared" si="2"/>
        <v>2728500</v>
      </c>
      <c r="C55" s="266">
        <v>1090500</v>
      </c>
      <c r="D55" s="266">
        <v>1638000</v>
      </c>
    </row>
    <row r="56" spans="1:4" ht="14.25" x14ac:dyDescent="0.2">
      <c r="A56" s="10" t="s">
        <v>89</v>
      </c>
      <c r="B56" s="265">
        <f t="shared" si="2"/>
        <v>5940600</v>
      </c>
      <c r="C56" s="266">
        <v>4951600</v>
      </c>
      <c r="D56" s="266">
        <v>989000</v>
      </c>
    </row>
    <row r="57" spans="1:4" ht="15" customHeight="1" x14ac:dyDescent="0.2">
      <c r="A57" s="10" t="s">
        <v>172</v>
      </c>
      <c r="B57" s="265">
        <f t="shared" si="2"/>
        <v>6998000</v>
      </c>
      <c r="C57" s="266">
        <v>1774000</v>
      </c>
      <c r="D57" s="266">
        <v>5224000</v>
      </c>
    </row>
    <row r="58" spans="1:4" ht="14.25" x14ac:dyDescent="0.2">
      <c r="A58" s="10" t="s">
        <v>88</v>
      </c>
      <c r="B58" s="265">
        <f t="shared" si="2"/>
        <v>3045400</v>
      </c>
      <c r="C58" s="266">
        <v>1761400</v>
      </c>
      <c r="D58" s="266">
        <v>1284000</v>
      </c>
    </row>
    <row r="59" spans="1:4" ht="14.25" x14ac:dyDescent="0.2">
      <c r="A59" s="10" t="s">
        <v>90</v>
      </c>
      <c r="B59" s="265">
        <f t="shared" si="2"/>
        <v>4239200</v>
      </c>
      <c r="C59" s="266">
        <v>4239200</v>
      </c>
      <c r="D59" s="266"/>
    </row>
    <row r="60" spans="1:4" ht="14.25" x14ac:dyDescent="0.2">
      <c r="A60" s="10" t="s">
        <v>91</v>
      </c>
      <c r="B60" s="265">
        <f t="shared" si="2"/>
        <v>4877800</v>
      </c>
      <c r="C60" s="266">
        <v>571800</v>
      </c>
      <c r="D60" s="266">
        <v>4306000</v>
      </c>
    </row>
    <row r="61" spans="1:4" ht="14.25" x14ac:dyDescent="0.2">
      <c r="A61" s="10" t="s">
        <v>145</v>
      </c>
      <c r="B61" s="265">
        <f t="shared" si="2"/>
        <v>2825500</v>
      </c>
      <c r="C61" s="266">
        <v>1675500</v>
      </c>
      <c r="D61" s="266">
        <v>1150000</v>
      </c>
    </row>
    <row r="62" spans="1:4" ht="14.25" x14ac:dyDescent="0.2">
      <c r="A62" s="10" t="s">
        <v>146</v>
      </c>
      <c r="B62" s="265">
        <f t="shared" si="2"/>
        <v>4876800</v>
      </c>
      <c r="C62" s="266">
        <v>3822800</v>
      </c>
      <c r="D62" s="266">
        <v>1054000</v>
      </c>
    </row>
    <row r="63" spans="1:4" ht="14.25" x14ac:dyDescent="0.2">
      <c r="A63" s="10" t="s">
        <v>92</v>
      </c>
      <c r="B63" s="265">
        <f t="shared" si="2"/>
        <v>2532200</v>
      </c>
      <c r="C63" s="266">
        <v>846200</v>
      </c>
      <c r="D63" s="266">
        <v>1686000</v>
      </c>
    </row>
  </sheetData>
  <mergeCells count="6">
    <mergeCell ref="A3:D3"/>
    <mergeCell ref="A2:D2"/>
    <mergeCell ref="A1:D1"/>
    <mergeCell ref="A5:A6"/>
    <mergeCell ref="B5:B6"/>
    <mergeCell ref="C5:D5"/>
  </mergeCells>
  <phoneticPr fontId="3" type="noConversion"/>
  <pageMargins left="0.59055118110236227" right="0.23622047244094491" top="0.59055118110236227" bottom="0.59055118110236227" header="0.31496062992125984" footer="0.31496062992125984"/>
  <pageSetup paperSize="9"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00B0F0"/>
  </sheetPr>
  <dimension ref="A1:G24"/>
  <sheetViews>
    <sheetView topLeftCell="A2" workbookViewId="0">
      <selection activeCell="D6" sqref="D6"/>
    </sheetView>
  </sheetViews>
  <sheetFormatPr defaultRowHeight="12.75" x14ac:dyDescent="0.2"/>
  <cols>
    <col min="1" max="1" width="48.5703125" style="3" customWidth="1"/>
    <col min="2" max="2" width="15" style="3" bestFit="1" customWidth="1"/>
    <col min="3" max="4" width="15" style="3" customWidth="1"/>
    <col min="5" max="5" width="9.140625" style="3"/>
    <col min="6" max="6" width="12.5703125" style="3" customWidth="1"/>
    <col min="7" max="16384" width="9.140625" style="3"/>
  </cols>
  <sheetData>
    <row r="1" spans="1:7" ht="45.75" hidden="1" customHeight="1" x14ac:dyDescent="0.2">
      <c r="A1" s="444" t="str">
        <f>"Приложение №"&amp;Н2мол&amp;"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c r="C1" s="444"/>
      <c r="D1" s="444"/>
    </row>
    <row r="2" spans="1:7" ht="45" customHeight="1" x14ac:dyDescent="0.2">
      <c r="A2" s="444" t="str">
        <f>"Приложение "&amp;Н1мол&amp;" к решению
Богучанского районного Совета депутатов
от "&amp;Р1дата&amp;" года №"&amp;Р1номер</f>
        <v>Приложение 21 к решению
Богучанского районного Совета депутатов
от  04.12.2020 года №5/1-16</v>
      </c>
      <c r="B2" s="444"/>
      <c r="C2" s="444"/>
      <c r="D2" s="444"/>
    </row>
    <row r="3" spans="1:7" ht="115.5" customHeight="1" x14ac:dyDescent="0.2">
      <c r="A3" s="470" t="s">
        <v>2102</v>
      </c>
      <c r="B3" s="470"/>
      <c r="C3" s="470"/>
      <c r="D3" s="470"/>
    </row>
    <row r="4" spans="1:7" x14ac:dyDescent="0.2">
      <c r="C4" s="8"/>
      <c r="D4" s="8" t="s">
        <v>73</v>
      </c>
    </row>
    <row r="5" spans="1:7" x14ac:dyDescent="0.2">
      <c r="A5" s="32" t="s">
        <v>22</v>
      </c>
      <c r="B5" s="32" t="s">
        <v>1525</v>
      </c>
      <c r="C5" s="32" t="s">
        <v>1523</v>
      </c>
      <c r="D5" s="32" t="s">
        <v>2082</v>
      </c>
      <c r="F5" s="39" t="s">
        <v>856</v>
      </c>
    </row>
    <row r="6" spans="1:7" ht="15" x14ac:dyDescent="0.2">
      <c r="A6" s="34" t="s">
        <v>74</v>
      </c>
      <c r="B6" s="35">
        <f>SUM(B7:B24)</f>
        <v>2500000</v>
      </c>
      <c r="C6" s="35">
        <f>SUM(C7:C24)</f>
        <v>2500000</v>
      </c>
      <c r="D6" s="35">
        <f>SUM(D7:D24)</f>
        <v>2500000</v>
      </c>
      <c r="E6" s="113" t="s">
        <v>276</v>
      </c>
      <c r="F6" s="116">
        <f ca="1">SUMIF(РзПз,"????"&amp;F$5,СумВед)-B6</f>
        <v>0</v>
      </c>
      <c r="G6" s="3">
        <v>2016</v>
      </c>
    </row>
    <row r="7" spans="1:7" ht="14.25" x14ac:dyDescent="0.2">
      <c r="A7" s="10" t="s">
        <v>672</v>
      </c>
      <c r="B7" s="314">
        <v>173610</v>
      </c>
      <c r="C7" s="314">
        <v>173610</v>
      </c>
      <c r="D7" s="314">
        <v>173610</v>
      </c>
      <c r="F7" s="116">
        <f ca="1">SUMIF(РзПзПлПер,"????"&amp;F$5,СумВед14)-C6</f>
        <v>0</v>
      </c>
      <c r="G7" s="3">
        <v>2017</v>
      </c>
    </row>
    <row r="8" spans="1:7" ht="14.25" x14ac:dyDescent="0.2">
      <c r="A8" s="10" t="s">
        <v>85</v>
      </c>
      <c r="B8" s="314">
        <v>86805</v>
      </c>
      <c r="C8" s="314">
        <v>86805</v>
      </c>
      <c r="D8" s="314">
        <v>86805</v>
      </c>
      <c r="F8" s="116">
        <f ca="1">SUMIF(РзПзПлПер,"????"&amp;F$5,СумВед15)-D6</f>
        <v>0</v>
      </c>
      <c r="G8" s="3">
        <v>2018</v>
      </c>
    </row>
    <row r="9" spans="1:7" ht="14.25" x14ac:dyDescent="0.2">
      <c r="A9" s="10" t="s">
        <v>171</v>
      </c>
      <c r="B9" s="314">
        <v>86805</v>
      </c>
      <c r="C9" s="314">
        <v>86805</v>
      </c>
      <c r="D9" s="314">
        <v>86805</v>
      </c>
      <c r="F9" s="38"/>
    </row>
    <row r="10" spans="1:7" ht="14.25" x14ac:dyDescent="0.2">
      <c r="A10" s="10" t="s">
        <v>60</v>
      </c>
      <c r="B10" s="314">
        <v>86821</v>
      </c>
      <c r="C10" s="314">
        <v>86821</v>
      </c>
      <c r="D10" s="314">
        <v>86821</v>
      </c>
    </row>
    <row r="11" spans="1:7" ht="14.25" x14ac:dyDescent="0.2">
      <c r="A11" s="10" t="s">
        <v>61</v>
      </c>
      <c r="B11" s="314">
        <v>86805</v>
      </c>
      <c r="C11" s="314">
        <v>86805</v>
      </c>
      <c r="D11" s="314">
        <v>86805</v>
      </c>
    </row>
    <row r="12" spans="1:7" ht="15" customHeight="1" x14ac:dyDescent="0.2">
      <c r="A12" s="12" t="s">
        <v>247</v>
      </c>
      <c r="B12" s="314">
        <v>277776</v>
      </c>
      <c r="C12" s="314">
        <v>277776</v>
      </c>
      <c r="D12" s="314">
        <v>277776</v>
      </c>
    </row>
    <row r="13" spans="1:7" ht="14.25" x14ac:dyDescent="0.2">
      <c r="A13" s="10" t="s">
        <v>86</v>
      </c>
      <c r="B13" s="314">
        <v>173610</v>
      </c>
      <c r="C13" s="314">
        <v>173610</v>
      </c>
      <c r="D13" s="314">
        <v>173610</v>
      </c>
    </row>
    <row r="14" spans="1:7" ht="14.25" x14ac:dyDescent="0.2">
      <c r="A14" s="10" t="s">
        <v>142</v>
      </c>
      <c r="B14" s="314">
        <v>173610</v>
      </c>
      <c r="C14" s="314">
        <v>173610</v>
      </c>
      <c r="D14" s="314">
        <v>173610</v>
      </c>
    </row>
    <row r="15" spans="1:7" ht="14.25" x14ac:dyDescent="0.2">
      <c r="A15" s="10" t="s">
        <v>143</v>
      </c>
      <c r="B15" s="314">
        <v>86805</v>
      </c>
      <c r="C15" s="314">
        <v>86805</v>
      </c>
      <c r="D15" s="314">
        <v>86805</v>
      </c>
    </row>
    <row r="16" spans="1:7" ht="14.25" x14ac:dyDescent="0.2">
      <c r="A16" s="10" t="s">
        <v>87</v>
      </c>
      <c r="B16" s="314">
        <v>173610</v>
      </c>
      <c r="C16" s="314">
        <v>173610</v>
      </c>
      <c r="D16" s="314">
        <v>173610</v>
      </c>
    </row>
    <row r="17" spans="1:4" ht="14.25" x14ac:dyDescent="0.2">
      <c r="A17" s="10" t="s">
        <v>89</v>
      </c>
      <c r="B17" s="314">
        <v>138888</v>
      </c>
      <c r="C17" s="314">
        <v>138888</v>
      </c>
      <c r="D17" s="314">
        <v>138888</v>
      </c>
    </row>
    <row r="18" spans="1:4" ht="14.25" x14ac:dyDescent="0.2">
      <c r="A18" s="10" t="s">
        <v>172</v>
      </c>
      <c r="B18" s="314">
        <v>86805</v>
      </c>
      <c r="C18" s="314">
        <v>86805</v>
      </c>
      <c r="D18" s="314">
        <v>86805</v>
      </c>
    </row>
    <row r="19" spans="1:4" ht="14.25" x14ac:dyDescent="0.2">
      <c r="A19" s="10" t="s">
        <v>88</v>
      </c>
      <c r="B19" s="314">
        <v>173610</v>
      </c>
      <c r="C19" s="314">
        <v>173610</v>
      </c>
      <c r="D19" s="314">
        <v>173610</v>
      </c>
    </row>
    <row r="20" spans="1:4" ht="14.25" x14ac:dyDescent="0.2">
      <c r="A20" s="10" t="s">
        <v>90</v>
      </c>
      <c r="B20" s="314">
        <v>173610</v>
      </c>
      <c r="C20" s="314">
        <v>173610</v>
      </c>
      <c r="D20" s="314">
        <v>173610</v>
      </c>
    </row>
    <row r="21" spans="1:4" ht="14.25" x14ac:dyDescent="0.2">
      <c r="A21" s="10" t="s">
        <v>91</v>
      </c>
      <c r="B21" s="314">
        <v>86805</v>
      </c>
      <c r="C21" s="314">
        <v>86805</v>
      </c>
      <c r="D21" s="314">
        <v>86805</v>
      </c>
    </row>
    <row r="22" spans="1:4" ht="14.25" x14ac:dyDescent="0.2">
      <c r="A22" s="10" t="s">
        <v>145</v>
      </c>
      <c r="B22" s="314">
        <v>121527</v>
      </c>
      <c r="C22" s="314">
        <v>121527</v>
      </c>
      <c r="D22" s="314">
        <v>121527</v>
      </c>
    </row>
    <row r="23" spans="1:4" ht="14.25" x14ac:dyDescent="0.2">
      <c r="A23" s="10" t="s">
        <v>146</v>
      </c>
      <c r="B23" s="314">
        <v>173610</v>
      </c>
      <c r="C23" s="314">
        <v>173610</v>
      </c>
      <c r="D23" s="314">
        <v>173610</v>
      </c>
    </row>
    <row r="24" spans="1:4" ht="14.25" x14ac:dyDescent="0.2">
      <c r="A24" s="10" t="s">
        <v>92</v>
      </c>
      <c r="B24" s="314">
        <v>138888</v>
      </c>
      <c r="C24" s="314">
        <v>138888</v>
      </c>
      <c r="D24" s="314">
        <v>138888</v>
      </c>
    </row>
  </sheetData>
  <mergeCells count="3">
    <mergeCell ref="A3:D3"/>
    <mergeCell ref="A2:D2"/>
    <mergeCell ref="A1:D1"/>
  </mergeCells>
  <phoneticPr fontId="3" type="noConversion"/>
  <pageMargins left="0.78740157480314965" right="0.23622047244094491" top="0.74803149606299213" bottom="0.74803149606299213" header="0.31496062992125984" footer="0.31496062992125984"/>
  <pageSetup paperSize="9"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rgb="FF00B0F0"/>
  </sheetPr>
  <dimension ref="A1:G24"/>
  <sheetViews>
    <sheetView topLeftCell="A2" workbookViewId="0">
      <selection sqref="A1:XFD1"/>
    </sheetView>
  </sheetViews>
  <sheetFormatPr defaultRowHeight="12.75" x14ac:dyDescent="0.2"/>
  <cols>
    <col min="1" max="1" width="51.140625" style="3" customWidth="1"/>
    <col min="2" max="2" width="8.42578125" style="3" hidden="1" customWidth="1"/>
    <col min="3" max="3" width="13" style="3" customWidth="1"/>
    <col min="4" max="4" width="11.85546875" style="3" customWidth="1"/>
    <col min="5" max="5" width="11.85546875" style="3" bestFit="1" customWidth="1"/>
    <col min="6" max="6" width="15" style="19" customWidth="1"/>
    <col min="7" max="16384" width="9.140625" style="3"/>
  </cols>
  <sheetData>
    <row r="1" spans="1:7" ht="51" hidden="1" customHeight="1" x14ac:dyDescent="0.2">
      <c r="A1" s="444" t="str">
        <f>"Приложение №"&amp;Н2ком&amp;"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c r="C1" s="444"/>
      <c r="D1" s="444"/>
      <c r="E1" s="444"/>
    </row>
    <row r="2" spans="1:7" ht="41.25" customHeight="1" x14ac:dyDescent="0.2">
      <c r="A2" s="444" t="str">
        <f>"Приложение "&amp;Н1ком&amp;" к решению
Богучанского районного Совета депутатов
от "&amp;Р1дата&amp;" года №"&amp;Р1номер</f>
        <v>Приложение 14 к решению
Богучанского районного Совета депутатов
от  04.12.2020 года №5/1-16</v>
      </c>
      <c r="B2" s="444"/>
      <c r="C2" s="444"/>
      <c r="D2" s="444"/>
      <c r="E2" s="444"/>
    </row>
    <row r="3" spans="1:7" ht="96.75" customHeight="1" x14ac:dyDescent="0.25">
      <c r="A3" s="443" t="s">
        <v>1724</v>
      </c>
      <c r="B3" s="443"/>
      <c r="C3" s="443"/>
      <c r="D3" s="443"/>
      <c r="E3" s="443"/>
    </row>
    <row r="4" spans="1:7" x14ac:dyDescent="0.2">
      <c r="D4" s="8"/>
      <c r="E4" s="8" t="s">
        <v>73</v>
      </c>
    </row>
    <row r="5" spans="1:7" x14ac:dyDescent="0.2">
      <c r="A5" s="32" t="s">
        <v>22</v>
      </c>
      <c r="B5" s="117" t="s">
        <v>40</v>
      </c>
      <c r="C5" s="32" t="s">
        <v>1417</v>
      </c>
      <c r="D5" s="32" t="s">
        <v>1523</v>
      </c>
      <c r="E5" s="32" t="s">
        <v>2082</v>
      </c>
      <c r="F5" s="33">
        <v>1110075140</v>
      </c>
      <c r="G5" s="3" t="s">
        <v>276</v>
      </c>
    </row>
    <row r="6" spans="1:7" ht="15" x14ac:dyDescent="0.2">
      <c r="A6" s="494" t="s">
        <v>74</v>
      </c>
      <c r="B6" s="495"/>
      <c r="C6" s="264">
        <f>SUM(C7:C24)</f>
        <v>265800</v>
      </c>
      <c r="D6" s="264">
        <f>SUM(D7:D24)</f>
        <v>265800</v>
      </c>
      <c r="E6" s="264">
        <f>SUM(E7:E24)</f>
        <v>265800</v>
      </c>
      <c r="F6" s="114">
        <f ca="1">SUMIF(РзПз,"????"&amp;F$5,СумВед)-C6</f>
        <v>0</v>
      </c>
      <c r="G6" s="3">
        <v>2013</v>
      </c>
    </row>
    <row r="7" spans="1:7" ht="14.25" x14ac:dyDescent="0.2">
      <c r="A7" s="36" t="s">
        <v>672</v>
      </c>
      <c r="B7" s="118" t="s">
        <v>41</v>
      </c>
      <c r="C7" s="267">
        <f>11600</f>
        <v>11600</v>
      </c>
      <c r="D7" s="267">
        <f>11600</f>
        <v>11600</v>
      </c>
      <c r="E7" s="267">
        <f>11600</f>
        <v>11600</v>
      </c>
      <c r="F7" s="114">
        <f ca="1">SUMIF(РзПзПлПер,"????"&amp;F$5,СумВед14)-D6</f>
        <v>0</v>
      </c>
      <c r="G7" s="3">
        <v>2014</v>
      </c>
    </row>
    <row r="8" spans="1:7" ht="14.25" x14ac:dyDescent="0.2">
      <c r="A8" s="36" t="s">
        <v>85</v>
      </c>
      <c r="B8" s="118" t="s">
        <v>42</v>
      </c>
      <c r="C8" s="267">
        <f>3500</f>
        <v>3500</v>
      </c>
      <c r="D8" s="267">
        <f>3500</f>
        <v>3500</v>
      </c>
      <c r="E8" s="267">
        <f>3500</f>
        <v>3500</v>
      </c>
      <c r="F8" s="114">
        <f ca="1">SUMIF(РзПзПлПер,"????"&amp;F$5,СумВед15)-E6</f>
        <v>0</v>
      </c>
      <c r="G8" s="3">
        <v>2015</v>
      </c>
    </row>
    <row r="9" spans="1:7" ht="14.25" x14ac:dyDescent="0.2">
      <c r="A9" s="36" t="s">
        <v>171</v>
      </c>
      <c r="B9" s="118" t="s">
        <v>43</v>
      </c>
      <c r="C9" s="267">
        <f>1400</f>
        <v>1400</v>
      </c>
      <c r="D9" s="267">
        <f>1400</f>
        <v>1400</v>
      </c>
      <c r="E9" s="267">
        <f>1400</f>
        <v>1400</v>
      </c>
    </row>
    <row r="10" spans="1:7" ht="14.25" x14ac:dyDescent="0.2">
      <c r="A10" s="36" t="s">
        <v>60</v>
      </c>
      <c r="B10" s="118" t="s">
        <v>44</v>
      </c>
      <c r="C10" s="267">
        <f>67700</f>
        <v>67700</v>
      </c>
      <c r="D10" s="267">
        <f>67700</f>
        <v>67700</v>
      </c>
      <c r="E10" s="267">
        <f>67700</f>
        <v>67700</v>
      </c>
    </row>
    <row r="11" spans="1:7" ht="14.25" x14ac:dyDescent="0.2">
      <c r="A11" s="36" t="s">
        <v>61</v>
      </c>
      <c r="B11" s="118" t="s">
        <v>45</v>
      </c>
      <c r="C11" s="267">
        <f>3700</f>
        <v>3700</v>
      </c>
      <c r="D11" s="267">
        <f>3700</f>
        <v>3700</v>
      </c>
      <c r="E11" s="267">
        <f>3700</f>
        <v>3700</v>
      </c>
    </row>
    <row r="12" spans="1:7" ht="14.25" x14ac:dyDescent="0.2">
      <c r="A12" s="12" t="s">
        <v>247</v>
      </c>
      <c r="B12" s="118" t="s">
        <v>46</v>
      </c>
      <c r="C12" s="267">
        <f>17900</f>
        <v>17900</v>
      </c>
      <c r="D12" s="267">
        <f>17900</f>
        <v>17900</v>
      </c>
      <c r="E12" s="267">
        <f>17900</f>
        <v>17900</v>
      </c>
    </row>
    <row r="13" spans="1:7" ht="14.25" x14ac:dyDescent="0.2">
      <c r="A13" s="36" t="s">
        <v>86</v>
      </c>
      <c r="B13" s="118" t="s">
        <v>47</v>
      </c>
      <c r="C13" s="267">
        <f>9600</f>
        <v>9600</v>
      </c>
      <c r="D13" s="267">
        <f>9600</f>
        <v>9600</v>
      </c>
      <c r="E13" s="267">
        <f>9600</f>
        <v>9600</v>
      </c>
    </row>
    <row r="14" spans="1:7" ht="14.25" x14ac:dyDescent="0.2">
      <c r="A14" s="36" t="s">
        <v>142</v>
      </c>
      <c r="B14" s="118" t="s">
        <v>48</v>
      </c>
      <c r="C14" s="267">
        <f>9000</f>
        <v>9000</v>
      </c>
      <c r="D14" s="267">
        <f>9000</f>
        <v>9000</v>
      </c>
      <c r="E14" s="267">
        <f>9000</f>
        <v>9000</v>
      </c>
    </row>
    <row r="15" spans="1:7" ht="14.25" x14ac:dyDescent="0.2">
      <c r="A15" s="36" t="s">
        <v>143</v>
      </c>
      <c r="B15" s="118" t="s">
        <v>49</v>
      </c>
      <c r="C15" s="267">
        <f>2500</f>
        <v>2500</v>
      </c>
      <c r="D15" s="267">
        <f>2500</f>
        <v>2500</v>
      </c>
      <c r="E15" s="267">
        <f>2500</f>
        <v>2500</v>
      </c>
    </row>
    <row r="16" spans="1:7" ht="14.25" x14ac:dyDescent="0.2">
      <c r="A16" s="36" t="s">
        <v>87</v>
      </c>
      <c r="B16" s="118" t="s">
        <v>50</v>
      </c>
      <c r="C16" s="267">
        <f>6900</f>
        <v>6900</v>
      </c>
      <c r="D16" s="267">
        <f>6900</f>
        <v>6900</v>
      </c>
      <c r="E16" s="267">
        <f>6900</f>
        <v>6900</v>
      </c>
    </row>
    <row r="17" spans="1:5" ht="14.25" x14ac:dyDescent="0.2">
      <c r="A17" s="36" t="s">
        <v>89</v>
      </c>
      <c r="B17" s="118" t="s">
        <v>51</v>
      </c>
      <c r="C17" s="267">
        <f>32800</f>
        <v>32800</v>
      </c>
      <c r="D17" s="267">
        <f>32800</f>
        <v>32800</v>
      </c>
      <c r="E17" s="267">
        <f>32800</f>
        <v>32800</v>
      </c>
    </row>
    <row r="18" spans="1:5" ht="14.25" x14ac:dyDescent="0.2">
      <c r="A18" s="36" t="s">
        <v>172</v>
      </c>
      <c r="B18" s="118" t="s">
        <v>52</v>
      </c>
      <c r="C18" s="267">
        <f>8900</f>
        <v>8900</v>
      </c>
      <c r="D18" s="267">
        <f>8900</f>
        <v>8900</v>
      </c>
      <c r="E18" s="267">
        <f>8900</f>
        <v>8900</v>
      </c>
    </row>
    <row r="19" spans="1:5" ht="14.25" x14ac:dyDescent="0.2">
      <c r="A19" s="24" t="s">
        <v>88</v>
      </c>
      <c r="B19" s="119" t="s">
        <v>53</v>
      </c>
      <c r="C19" s="267">
        <f>12900</f>
        <v>12900</v>
      </c>
      <c r="D19" s="267">
        <f>12900</f>
        <v>12900</v>
      </c>
      <c r="E19" s="267">
        <f>12900</f>
        <v>12900</v>
      </c>
    </row>
    <row r="20" spans="1:5" ht="14.25" x14ac:dyDescent="0.2">
      <c r="A20" s="36" t="s">
        <v>90</v>
      </c>
      <c r="B20" s="118" t="s">
        <v>54</v>
      </c>
      <c r="C20" s="267">
        <f>43200</f>
        <v>43200</v>
      </c>
      <c r="D20" s="267">
        <f>43200</f>
        <v>43200</v>
      </c>
      <c r="E20" s="267">
        <f>43200</f>
        <v>43200</v>
      </c>
    </row>
    <row r="21" spans="1:5" ht="14.25" x14ac:dyDescent="0.2">
      <c r="A21" s="36" t="s">
        <v>91</v>
      </c>
      <c r="B21" s="118" t="s">
        <v>55</v>
      </c>
      <c r="C21" s="267">
        <f>3800</f>
        <v>3800</v>
      </c>
      <c r="D21" s="267">
        <f>3800</f>
        <v>3800</v>
      </c>
      <c r="E21" s="267">
        <f>3800</f>
        <v>3800</v>
      </c>
    </row>
    <row r="22" spans="1:5" ht="14.25" x14ac:dyDescent="0.2">
      <c r="A22" s="36" t="s">
        <v>145</v>
      </c>
      <c r="B22" s="118" t="s">
        <v>56</v>
      </c>
      <c r="C22" s="267">
        <f>8000</f>
        <v>8000</v>
      </c>
      <c r="D22" s="267">
        <f>8000</f>
        <v>8000</v>
      </c>
      <c r="E22" s="267">
        <f>8000</f>
        <v>8000</v>
      </c>
    </row>
    <row r="23" spans="1:5" ht="14.25" x14ac:dyDescent="0.2">
      <c r="A23" s="36" t="s">
        <v>146</v>
      </c>
      <c r="B23" s="118" t="s">
        <v>57</v>
      </c>
      <c r="C23" s="267">
        <f>16800</f>
        <v>16800</v>
      </c>
      <c r="D23" s="267">
        <f>16800</f>
        <v>16800</v>
      </c>
      <c r="E23" s="267">
        <f>16800</f>
        <v>16800</v>
      </c>
    </row>
    <row r="24" spans="1:5" ht="14.25" x14ac:dyDescent="0.2">
      <c r="A24" s="36" t="s">
        <v>92</v>
      </c>
      <c r="B24" s="118" t="s">
        <v>58</v>
      </c>
      <c r="C24" s="267">
        <f>5600</f>
        <v>5600</v>
      </c>
      <c r="D24" s="267">
        <f>5600</f>
        <v>5600</v>
      </c>
      <c r="E24" s="267">
        <f>5600</f>
        <v>5600</v>
      </c>
    </row>
  </sheetData>
  <mergeCells count="4">
    <mergeCell ref="A6:B6"/>
    <mergeCell ref="A3:E3"/>
    <mergeCell ref="A2:E2"/>
    <mergeCell ref="A1:E1"/>
  </mergeCells>
  <phoneticPr fontId="3" type="noConversion"/>
  <pageMargins left="0.98425196850393704" right="0.43307086614173229" top="0.74803149606299213" bottom="0.74803149606299213" header="0.31496062992125984" footer="0.31496062992125984"/>
  <pageSetup paperSize="9" fitToHeight="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tabColor rgb="FF00B0F0"/>
  </sheetPr>
  <dimension ref="A1:G23"/>
  <sheetViews>
    <sheetView topLeftCell="A2" workbookViewId="0">
      <selection sqref="A1:XFD1"/>
    </sheetView>
  </sheetViews>
  <sheetFormatPr defaultRowHeight="12.75" x14ac:dyDescent="0.2"/>
  <cols>
    <col min="1" max="1" width="57.28515625" style="3" customWidth="1"/>
    <col min="2" max="2" width="15.28515625" style="3" customWidth="1"/>
    <col min="3" max="3" width="14.42578125" style="3" customWidth="1"/>
    <col min="4" max="4" width="16" style="3" hidden="1" customWidth="1"/>
    <col min="5" max="5" width="9.140625" style="3"/>
    <col min="6" max="6" width="16.140625" style="3" customWidth="1"/>
    <col min="7" max="7" width="12" style="3" customWidth="1"/>
    <col min="8" max="16384" width="9.140625" style="3"/>
  </cols>
  <sheetData>
    <row r="1" spans="1:7" ht="48" hidden="1" customHeight="1" x14ac:dyDescent="0.2">
      <c r="A1" s="444" t="str">
        <f>"Приложение №"&amp;Н2вус&amp;"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c r="C1" s="444"/>
      <c r="D1" s="444"/>
    </row>
    <row r="2" spans="1:7" ht="48" customHeight="1" x14ac:dyDescent="0.2">
      <c r="A2" s="444" t="str">
        <f>"Приложение "&amp;Н1вус&amp;" к решению
Богучанского районного Совета депутатов
от "&amp;Р1дата&amp;" года №"&amp;Р1номер</f>
        <v>Приложение 15 к решению
Богучанского районного Совета депутатов
от  04.12.2020 года №5/1-16</v>
      </c>
      <c r="B2" s="444"/>
      <c r="C2" s="444"/>
      <c r="D2" s="444"/>
    </row>
    <row r="3" spans="1:7" ht="117" customHeight="1" x14ac:dyDescent="0.25">
      <c r="A3" s="466" t="s">
        <v>2087</v>
      </c>
      <c r="B3" s="466"/>
      <c r="C3" s="466"/>
      <c r="D3" s="466"/>
    </row>
    <row r="4" spans="1:7" x14ac:dyDescent="0.2">
      <c r="B4" s="8"/>
      <c r="C4" s="8"/>
      <c r="D4" s="8" t="s">
        <v>73</v>
      </c>
    </row>
    <row r="5" spans="1:7" ht="14.25" x14ac:dyDescent="0.2">
      <c r="A5" s="32" t="s">
        <v>22</v>
      </c>
      <c r="B5" s="22" t="s">
        <v>1417</v>
      </c>
      <c r="C5" s="22" t="s">
        <v>1523</v>
      </c>
      <c r="D5" s="22" t="s">
        <v>2082</v>
      </c>
    </row>
    <row r="6" spans="1:7" ht="15" x14ac:dyDescent="0.2">
      <c r="A6" s="34" t="s">
        <v>74</v>
      </c>
      <c r="B6" s="264">
        <f>SUM(B7:B23)</f>
        <v>4948600</v>
      </c>
      <c r="C6" s="264">
        <f>SUM(C7:C23)</f>
        <v>5097000</v>
      </c>
      <c r="D6" s="264">
        <f>SUM(D7:D23)</f>
        <v>0</v>
      </c>
      <c r="E6" s="113" t="s">
        <v>276</v>
      </c>
      <c r="F6" s="115">
        <f ca="1">SUMIF(РзПз,"02031110051180",СумВед)-B6</f>
        <v>0</v>
      </c>
      <c r="G6" s="115">
        <f ca="1">SUMIF(РзПзПлПер,"02031110051180",СумВед14)-C6</f>
        <v>0</v>
      </c>
    </row>
    <row r="7" spans="1:7" ht="14.25" x14ac:dyDescent="0.2">
      <c r="A7" s="24" t="s">
        <v>672</v>
      </c>
      <c r="B7" s="266">
        <f>414370</f>
        <v>414370</v>
      </c>
      <c r="C7" s="315">
        <f>427245</f>
        <v>427245</v>
      </c>
      <c r="D7" s="364"/>
    </row>
    <row r="8" spans="1:7" ht="14.25" x14ac:dyDescent="0.2">
      <c r="A8" s="24" t="s">
        <v>85</v>
      </c>
      <c r="B8" s="266">
        <f>103192</f>
        <v>103192</v>
      </c>
      <c r="C8" s="315">
        <f>105711</f>
        <v>105711</v>
      </c>
      <c r="D8" s="364"/>
    </row>
    <row r="9" spans="1:7" ht="14.25" x14ac:dyDescent="0.2">
      <c r="A9" s="24" t="s">
        <v>171</v>
      </c>
      <c r="B9" s="266">
        <f>61915</f>
        <v>61915</v>
      </c>
      <c r="C9" s="315">
        <f>63427</f>
        <v>63427</v>
      </c>
      <c r="D9" s="364"/>
    </row>
    <row r="10" spans="1:7" ht="14.25" x14ac:dyDescent="0.2">
      <c r="A10" s="24" t="s">
        <v>61</v>
      </c>
      <c r="B10" s="266">
        <f>103192</f>
        <v>103192</v>
      </c>
      <c r="C10" s="315">
        <f>105712</f>
        <v>105712</v>
      </c>
      <c r="D10" s="364"/>
    </row>
    <row r="11" spans="1:7" ht="33" customHeight="1" x14ac:dyDescent="0.2">
      <c r="A11" s="24" t="s">
        <v>247</v>
      </c>
      <c r="B11" s="266">
        <f>414370</f>
        <v>414370</v>
      </c>
      <c r="C11" s="315">
        <f>427245</f>
        <v>427245</v>
      </c>
      <c r="D11" s="364"/>
    </row>
    <row r="12" spans="1:7" ht="14.25" x14ac:dyDescent="0.2">
      <c r="A12" s="40" t="s">
        <v>86</v>
      </c>
      <c r="B12" s="266">
        <f>414370</f>
        <v>414370</v>
      </c>
      <c r="C12" s="315">
        <f>427245</f>
        <v>427245</v>
      </c>
      <c r="D12" s="364"/>
    </row>
    <row r="13" spans="1:7" ht="14.25" x14ac:dyDescent="0.2">
      <c r="A13" s="24" t="s">
        <v>142</v>
      </c>
      <c r="B13" s="266">
        <f>414370</f>
        <v>414370</v>
      </c>
      <c r="C13" s="315">
        <f>427245</f>
        <v>427245</v>
      </c>
      <c r="D13" s="364"/>
    </row>
    <row r="14" spans="1:7" ht="30" customHeight="1" x14ac:dyDescent="0.2">
      <c r="A14" s="24" t="s">
        <v>143</v>
      </c>
      <c r="B14" s="266">
        <f>103192</f>
        <v>103192</v>
      </c>
      <c r="C14" s="315">
        <f>105712</f>
        <v>105712</v>
      </c>
      <c r="D14" s="364"/>
    </row>
    <row r="15" spans="1:7" ht="14.25" x14ac:dyDescent="0.2">
      <c r="A15" s="24" t="s">
        <v>87</v>
      </c>
      <c r="B15" s="266">
        <f>144470</f>
        <v>144470</v>
      </c>
      <c r="C15" s="315">
        <f>147996</f>
        <v>147996</v>
      </c>
      <c r="D15" s="364"/>
    </row>
    <row r="16" spans="1:7" ht="14.25" x14ac:dyDescent="0.2">
      <c r="A16" s="24" t="s">
        <v>89</v>
      </c>
      <c r="B16" s="266">
        <f>414370</f>
        <v>414370</v>
      </c>
      <c r="C16" s="315">
        <f>427245</f>
        <v>427245</v>
      </c>
      <c r="D16" s="364"/>
    </row>
    <row r="17" spans="1:4" ht="30" customHeight="1" x14ac:dyDescent="0.2">
      <c r="A17" s="24" t="s">
        <v>172</v>
      </c>
      <c r="B17" s="266">
        <f>414370</f>
        <v>414370</v>
      </c>
      <c r="C17" s="315">
        <f>427245</f>
        <v>427245</v>
      </c>
      <c r="D17" s="364"/>
    </row>
    <row r="18" spans="1:4" ht="14.25" x14ac:dyDescent="0.2">
      <c r="A18" s="24" t="s">
        <v>88</v>
      </c>
      <c r="B18" s="266">
        <f>414370</f>
        <v>414370</v>
      </c>
      <c r="C18" s="315">
        <f>427245</f>
        <v>427245</v>
      </c>
      <c r="D18" s="364"/>
    </row>
    <row r="19" spans="1:4" ht="14.25" x14ac:dyDescent="0.2">
      <c r="A19" s="24" t="s">
        <v>90</v>
      </c>
      <c r="B19" s="266">
        <f>414370</f>
        <v>414370</v>
      </c>
      <c r="C19" s="315">
        <f>427245</f>
        <v>427245</v>
      </c>
      <c r="D19" s="364"/>
    </row>
    <row r="20" spans="1:4" ht="14.25" x14ac:dyDescent="0.2">
      <c r="A20" s="24" t="s">
        <v>91</v>
      </c>
      <c r="B20" s="266">
        <f>144469</f>
        <v>144469</v>
      </c>
      <c r="C20" s="315">
        <f>147996</f>
        <v>147996</v>
      </c>
      <c r="D20" s="364"/>
    </row>
    <row r="21" spans="1:4" ht="14.25" x14ac:dyDescent="0.2">
      <c r="A21" s="24" t="s">
        <v>145</v>
      </c>
      <c r="B21" s="266">
        <f>414370</f>
        <v>414370</v>
      </c>
      <c r="C21" s="315">
        <f>427245</f>
        <v>427245</v>
      </c>
      <c r="D21" s="364"/>
    </row>
    <row r="22" spans="1:4" ht="14.25" x14ac:dyDescent="0.2">
      <c r="A22" s="24" t="s">
        <v>146</v>
      </c>
      <c r="B22" s="266">
        <f>414370</f>
        <v>414370</v>
      </c>
      <c r="C22" s="315">
        <f>427245</f>
        <v>427245</v>
      </c>
      <c r="D22" s="364"/>
    </row>
    <row r="23" spans="1:4" ht="14.25" x14ac:dyDescent="0.2">
      <c r="A23" s="24" t="s">
        <v>92</v>
      </c>
      <c r="B23" s="266">
        <f>144470</f>
        <v>144470</v>
      </c>
      <c r="C23" s="315">
        <f>147996</f>
        <v>147996</v>
      </c>
      <c r="D23" s="364"/>
    </row>
  </sheetData>
  <mergeCells count="3">
    <mergeCell ref="A3:D3"/>
    <mergeCell ref="A2:D2"/>
    <mergeCell ref="A1:D1"/>
  </mergeCells>
  <phoneticPr fontId="3" type="noConversion"/>
  <pageMargins left="0.98425196850393704" right="0.23622047244094491" top="0.74803149606299213" bottom="0.74803149606299213" header="0.31496062992125984" footer="0.31496062992125984"/>
  <pageSetup paperSize="9" fitToHeight="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14"/>
  <sheetViews>
    <sheetView topLeftCell="A2" workbookViewId="0">
      <selection activeCell="D20" sqref="D20"/>
    </sheetView>
  </sheetViews>
  <sheetFormatPr defaultRowHeight="12.75" x14ac:dyDescent="0.2"/>
  <cols>
    <col min="1" max="1" width="45.28515625" customWidth="1"/>
    <col min="2" max="2" width="14.7109375" customWidth="1"/>
    <col min="3" max="3" width="14.140625" customWidth="1"/>
    <col min="4" max="4" width="14.5703125" customWidth="1"/>
    <col min="5" max="5" width="19.140625" customWidth="1"/>
    <col min="6" max="6" width="13.85546875" customWidth="1"/>
    <col min="7" max="7" width="11.28515625" customWidth="1"/>
  </cols>
  <sheetData>
    <row r="1" spans="1:7" ht="55.5" hidden="1" customHeight="1" x14ac:dyDescent="0.2">
      <c r="A1" s="444" t="str">
        <f>"Приложение №"&amp;Н2акк&amp;"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c r="C1" s="444"/>
      <c r="D1" s="444"/>
    </row>
    <row r="2" spans="1:7" ht="60.75" customHeight="1" x14ac:dyDescent="0.2">
      <c r="A2" s="444" t="str">
        <f>"Приложение "&amp;Н1акк&amp;" к решению
Богучанского районного Совета депутатов
от "&amp;Р1дата&amp;" года №"&amp;Р1номер</f>
        <v>Приложение 18 к решению
Богучанского районного Совета депутатов
от  04.12.2020 года №5/1-16</v>
      </c>
      <c r="B2" s="444"/>
      <c r="C2" s="444"/>
      <c r="D2" s="444"/>
    </row>
    <row r="3" spans="1:7" ht="114" customHeight="1" x14ac:dyDescent="0.25">
      <c r="A3" s="443" t="str">
        <f>"Субсидии бюджетам поселений Богучанского района на организацию и проведение акарицидных обработок мест массового отдыха населенияния на "&amp;год&amp;" год и плановый период "&amp;ПлПер&amp;" годов"</f>
        <v>Субсидии бюджетам поселений Богучанского района на организацию и проведение акарицидных обработок мест массового отдыха населенияния на 2021 год и плановый период 2022-2023 годов</v>
      </c>
      <c r="B3" s="443"/>
      <c r="C3" s="443"/>
      <c r="D3" s="443"/>
    </row>
    <row r="4" spans="1:7" x14ac:dyDescent="0.2">
      <c r="A4" s="3"/>
      <c r="B4" s="3"/>
      <c r="C4" s="3"/>
      <c r="D4" s="8" t="s">
        <v>73</v>
      </c>
    </row>
    <row r="5" spans="1:7" ht="14.25" x14ac:dyDescent="0.2">
      <c r="A5" s="32" t="s">
        <v>22</v>
      </c>
      <c r="B5" s="22" t="s">
        <v>1417</v>
      </c>
      <c r="C5" s="22" t="s">
        <v>2084</v>
      </c>
      <c r="D5" s="22" t="s">
        <v>2082</v>
      </c>
      <c r="F5">
        <v>9090075550</v>
      </c>
    </row>
    <row r="6" spans="1:7" ht="15" customHeight="1" x14ac:dyDescent="0.2">
      <c r="A6" s="350" t="s">
        <v>74</v>
      </c>
      <c r="B6" s="264">
        <f>SUM(B7:B14)</f>
        <v>94700</v>
      </c>
      <c r="C6" s="264">
        <f>SUM(C7:C14)</f>
        <v>94700</v>
      </c>
      <c r="D6" s="264">
        <f>SUM(D7:D14)</f>
        <v>94700</v>
      </c>
      <c r="E6" s="147">
        <f ca="1">SUMIF(РзПз,"????"&amp;F5,СумВед)-B6</f>
        <v>-94700</v>
      </c>
      <c r="F6" s="147">
        <f ca="1">SUMIF(РзПзПлПер,"????"&amp;F5,СумВед14)-C6</f>
        <v>-94700</v>
      </c>
      <c r="G6" s="147">
        <f ca="1">SUMIF(РзПзПлПер,"????"&amp;F5,СумВед15)-D6</f>
        <v>-94700</v>
      </c>
    </row>
    <row r="7" spans="1:7" ht="14.25" x14ac:dyDescent="0.2">
      <c r="A7" s="351" t="s">
        <v>60</v>
      </c>
      <c r="B7" s="267">
        <v>18940</v>
      </c>
      <c r="C7" s="267">
        <v>18940</v>
      </c>
      <c r="D7" s="267">
        <v>18940</v>
      </c>
    </row>
    <row r="8" spans="1:7" ht="14.25" x14ac:dyDescent="0.2">
      <c r="A8" s="352" t="s">
        <v>1121</v>
      </c>
      <c r="B8" s="267">
        <v>11364</v>
      </c>
      <c r="C8" s="267">
        <v>11364</v>
      </c>
      <c r="D8" s="267">
        <v>11364</v>
      </c>
    </row>
    <row r="9" spans="1:7" ht="14.25" x14ac:dyDescent="0.2">
      <c r="A9" s="352" t="s">
        <v>142</v>
      </c>
      <c r="B9" s="267">
        <v>11364</v>
      </c>
      <c r="C9" s="267">
        <v>11364</v>
      </c>
      <c r="D9" s="267">
        <v>11364</v>
      </c>
    </row>
    <row r="10" spans="1:7" ht="14.25" x14ac:dyDescent="0.2">
      <c r="A10" s="352" t="s">
        <v>88</v>
      </c>
      <c r="B10" s="267">
        <v>15152</v>
      </c>
      <c r="C10" s="267">
        <v>15152</v>
      </c>
      <c r="D10" s="267">
        <v>15152</v>
      </c>
    </row>
    <row r="11" spans="1:7" ht="14.25" hidden="1" x14ac:dyDescent="0.2">
      <c r="A11" s="351" t="s">
        <v>1675</v>
      </c>
      <c r="B11" s="267"/>
      <c r="C11" s="267"/>
      <c r="D11" s="267"/>
    </row>
    <row r="12" spans="1:7" ht="14.25" x14ac:dyDescent="0.2">
      <c r="A12" s="351" t="s">
        <v>144</v>
      </c>
      <c r="B12" s="267">
        <v>26516</v>
      </c>
      <c r="C12" s="267">
        <v>26516</v>
      </c>
      <c r="D12" s="267">
        <v>26516</v>
      </c>
    </row>
    <row r="13" spans="1:7" ht="14.25" x14ac:dyDescent="0.2">
      <c r="A13" s="351" t="s">
        <v>1386</v>
      </c>
      <c r="B13" s="267">
        <v>11364</v>
      </c>
      <c r="C13" s="267">
        <v>11364</v>
      </c>
      <c r="D13" s="267">
        <v>11364</v>
      </c>
    </row>
    <row r="14" spans="1:7" ht="14.25" hidden="1" x14ac:dyDescent="0.2">
      <c r="A14" s="351" t="s">
        <v>1674</v>
      </c>
      <c r="B14" s="267"/>
      <c r="C14" s="267"/>
      <c r="D14" s="267"/>
    </row>
  </sheetData>
  <mergeCells count="3">
    <mergeCell ref="A2:D2"/>
    <mergeCell ref="A3:D3"/>
    <mergeCell ref="A1:D1"/>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rgb="FF00B0F0"/>
  </sheetPr>
  <dimension ref="A1:D12"/>
  <sheetViews>
    <sheetView topLeftCell="A20" workbookViewId="0">
      <selection activeCell="C12" sqref="C12"/>
    </sheetView>
  </sheetViews>
  <sheetFormatPr defaultRowHeight="12.75" x14ac:dyDescent="0.2"/>
  <cols>
    <col min="1" max="1" width="48.28515625" style="3" customWidth="1"/>
    <col min="2" max="2" width="17" style="3" customWidth="1"/>
    <col min="3" max="3" width="16" style="3" customWidth="1"/>
    <col min="4" max="4" width="14.7109375" style="3" customWidth="1"/>
    <col min="5" max="16384" width="9.140625" style="3"/>
  </cols>
  <sheetData>
    <row r="1" spans="1:4" ht="49.5" hidden="1" customHeight="1" x14ac:dyDescent="0.2">
      <c r="A1" s="444" t="str">
        <f>"Приложение №"&amp;Н2займ&amp;"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c r="C1" s="444"/>
      <c r="D1" s="444"/>
    </row>
    <row r="2" spans="1:4" ht="54.75" customHeight="1" x14ac:dyDescent="0.2">
      <c r="A2" s="444" t="str">
        <f>"Приложение "&amp;Н1займ&amp;" к решению
Богучанского районного Совета депутатов
от "&amp;Р1дата&amp;" года №"&amp;Р1номер</f>
        <v>Приложение 27 к решению
Богучанского районного Совета депутатов
от  04.12.2020 года №5/1-16</v>
      </c>
      <c r="B2" s="444"/>
      <c r="C2" s="444"/>
      <c r="D2" s="444"/>
    </row>
    <row r="3" spans="1:4" ht="64.5" customHeight="1" x14ac:dyDescent="0.25">
      <c r="A3" s="496" t="str">
        <f>"Программа муниципальных внутренних заимствований районного бюджета на "&amp;год&amp;" год и плановый период "&amp;ПлПер&amp;" годов"</f>
        <v>Программа муниципальных внутренних заимствований районного бюджета на 2021 год и плановый период 2022-2023 годов</v>
      </c>
      <c r="B3" s="496"/>
      <c r="C3" s="496"/>
      <c r="D3" s="496"/>
    </row>
    <row r="4" spans="1:4" ht="18" x14ac:dyDescent="0.25">
      <c r="A4" s="13"/>
      <c r="D4" s="8" t="s">
        <v>73</v>
      </c>
    </row>
    <row r="5" spans="1:4" s="15" customFormat="1" ht="28.5" x14ac:dyDescent="0.2">
      <c r="A5" s="14" t="s">
        <v>189</v>
      </c>
      <c r="B5" s="14" t="s">
        <v>1417</v>
      </c>
      <c r="C5" s="14" t="s">
        <v>1523</v>
      </c>
      <c r="D5" s="14" t="s">
        <v>2082</v>
      </c>
    </row>
    <row r="6" spans="1:4" s="15" customFormat="1" ht="28.5" x14ac:dyDescent="0.2">
      <c r="A6" s="16" t="s">
        <v>215</v>
      </c>
      <c r="B6" s="17">
        <f>B7-B8</f>
        <v>0</v>
      </c>
      <c r="C6" s="17">
        <f>C7-C8</f>
        <v>0</v>
      </c>
      <c r="D6" s="17">
        <f>D7-D8</f>
        <v>0</v>
      </c>
    </row>
    <row r="7" spans="1:4" s="15" customFormat="1" ht="14.25" x14ac:dyDescent="0.2">
      <c r="A7" s="16" t="s">
        <v>673</v>
      </c>
      <c r="B7" s="17">
        <v>20000000</v>
      </c>
      <c r="C7" s="17">
        <v>20000000</v>
      </c>
      <c r="D7" s="17">
        <v>20000000</v>
      </c>
    </row>
    <row r="8" spans="1:4" ht="14.25" x14ac:dyDescent="0.2">
      <c r="A8" s="16" t="s">
        <v>216</v>
      </c>
      <c r="B8" s="17">
        <v>20000000</v>
      </c>
      <c r="C8" s="17">
        <v>20000000</v>
      </c>
      <c r="D8" s="17">
        <v>20000000</v>
      </c>
    </row>
    <row r="9" spans="1:4" ht="57" x14ac:dyDescent="0.2">
      <c r="A9" s="16" t="s">
        <v>217</v>
      </c>
      <c r="B9" s="17">
        <f>B10-B11</f>
        <v>0</v>
      </c>
      <c r="C9" s="17">
        <f>C10-C11</f>
        <v>0</v>
      </c>
      <c r="D9" s="17">
        <f>D10-D11</f>
        <v>0</v>
      </c>
    </row>
    <row r="10" spans="1:4" ht="14.25" x14ac:dyDescent="0.2">
      <c r="A10" s="16" t="s">
        <v>235</v>
      </c>
      <c r="B10" s="17">
        <v>20000000</v>
      </c>
      <c r="C10" s="17">
        <v>20000000</v>
      </c>
      <c r="D10" s="17">
        <v>20000000</v>
      </c>
    </row>
    <row r="11" spans="1:4" ht="14.25" x14ac:dyDescent="0.2">
      <c r="A11" s="16" t="s">
        <v>32</v>
      </c>
      <c r="B11" s="17">
        <v>20000000</v>
      </c>
      <c r="C11" s="17">
        <v>20000000</v>
      </c>
      <c r="D11" s="17">
        <v>20000000</v>
      </c>
    </row>
    <row r="12" spans="1:4" ht="15" x14ac:dyDescent="0.2">
      <c r="A12" s="18"/>
    </row>
  </sheetData>
  <mergeCells count="3">
    <mergeCell ref="A3:D3"/>
    <mergeCell ref="A2:D2"/>
    <mergeCell ref="A1:D1"/>
  </mergeCells>
  <phoneticPr fontId="3" type="noConversion"/>
  <pageMargins left="0.78740157480314965" right="0.35433070866141736" top="0.39370078740157483" bottom="0.39370078740157483" header="0.51181102362204722" footer="0.51181102362204722"/>
  <pageSetup paperSize="9" scale="95"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3"/>
  <sheetViews>
    <sheetView topLeftCell="B2" zoomScaleNormal="100" workbookViewId="0">
      <selection activeCell="F9" sqref="F9"/>
    </sheetView>
  </sheetViews>
  <sheetFormatPr defaultRowHeight="12.75" x14ac:dyDescent="0.2"/>
  <cols>
    <col min="1" max="1" width="7" hidden="1" customWidth="1"/>
    <col min="2" max="2" width="45" customWidth="1"/>
    <col min="3" max="3" width="13.28515625" customWidth="1"/>
    <col min="4" max="4" width="6" customWidth="1"/>
    <col min="5" max="5" width="16.5703125" style="336" customWidth="1"/>
    <col min="6" max="6" width="15.85546875" style="336" customWidth="1"/>
    <col min="7" max="7" width="16" style="336" customWidth="1"/>
  </cols>
  <sheetData>
    <row r="1" spans="1:7" ht="48" hidden="1" customHeight="1" x14ac:dyDescent="0.2">
      <c r="A1" s="444" t="str">
        <f>"Приложение №"&amp;Н2Пересел&amp;"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c r="C1" s="444"/>
      <c r="D1" s="444"/>
      <c r="E1" s="444"/>
      <c r="F1" s="444"/>
      <c r="G1" s="444"/>
    </row>
    <row r="2" spans="1:7" ht="60" customHeight="1" x14ac:dyDescent="0.2">
      <c r="A2" s="444" t="str">
        <f>"Приложение №"&amp;Н1Пересел&amp;" к решению
Богучанского районного Совета депутатов
от "&amp;Р1дата&amp;" года №"&amp;Р1номер</f>
        <v>Приложение №23 к решению
Богучанского районного Совета депутатов
от  04.12.2020 года №5/1-16</v>
      </c>
      <c r="B2" s="444"/>
      <c r="C2" s="444"/>
      <c r="D2" s="444"/>
      <c r="E2" s="444"/>
      <c r="F2" s="444"/>
      <c r="G2" s="444"/>
    </row>
    <row r="3" spans="1:7" ht="15.75" customHeight="1" x14ac:dyDescent="0.2">
      <c r="A3" s="484"/>
      <c r="B3" s="484"/>
      <c r="C3" s="484"/>
      <c r="D3" s="484"/>
      <c r="E3" s="484"/>
      <c r="F3" s="484"/>
      <c r="G3" s="484"/>
    </row>
    <row r="4" spans="1:7" ht="93" customHeight="1" x14ac:dyDescent="0.2">
      <c r="A4" s="499" t="s">
        <v>2088</v>
      </c>
      <c r="B4" s="499"/>
      <c r="C4" s="499"/>
      <c r="D4" s="499"/>
      <c r="E4" s="499"/>
      <c r="F4" s="499"/>
      <c r="G4" s="499"/>
    </row>
    <row r="5" spans="1:7" ht="15.75" x14ac:dyDescent="0.25">
      <c r="A5" s="327"/>
      <c r="B5" s="328"/>
      <c r="C5" s="328"/>
      <c r="D5" s="328"/>
      <c r="E5" s="328"/>
      <c r="F5" s="328"/>
      <c r="G5" s="328"/>
    </row>
    <row r="6" spans="1:7" ht="15" x14ac:dyDescent="0.2">
      <c r="A6" s="329"/>
      <c r="B6" s="330"/>
      <c r="C6" s="331"/>
      <c r="D6" s="331"/>
      <c r="E6" s="332"/>
      <c r="F6" s="500" t="s">
        <v>73</v>
      </c>
      <c r="G6" s="500"/>
    </row>
    <row r="7" spans="1:7" ht="48" x14ac:dyDescent="0.2">
      <c r="A7" s="333" t="s">
        <v>170</v>
      </c>
      <c r="B7" s="334" t="s">
        <v>121</v>
      </c>
      <c r="C7" s="169" t="s">
        <v>1516</v>
      </c>
      <c r="D7" s="169" t="s">
        <v>1608</v>
      </c>
      <c r="E7" s="335" t="s">
        <v>2089</v>
      </c>
      <c r="F7" s="335" t="s">
        <v>2090</v>
      </c>
      <c r="G7" s="335" t="s">
        <v>2091</v>
      </c>
    </row>
    <row r="8" spans="1:7" ht="45.75" customHeight="1" x14ac:dyDescent="0.2">
      <c r="A8" s="337">
        <v>1</v>
      </c>
      <c r="B8" s="292" t="s">
        <v>497</v>
      </c>
      <c r="C8" s="241" t="s">
        <v>1038</v>
      </c>
      <c r="D8" s="338" t="s">
        <v>1314</v>
      </c>
      <c r="E8" s="339">
        <f>SUM(E9)</f>
        <v>4102441</v>
      </c>
      <c r="F8" s="339">
        <f>SUM(F9)</f>
        <v>4102441</v>
      </c>
      <c r="G8" s="339">
        <f>SUM(G9)</f>
        <v>4102441</v>
      </c>
    </row>
    <row r="9" spans="1:7" ht="102" x14ac:dyDescent="0.2">
      <c r="A9" s="337">
        <v>2</v>
      </c>
      <c r="B9" s="52" t="s">
        <v>1696</v>
      </c>
      <c r="C9" s="241" t="s">
        <v>1380</v>
      </c>
      <c r="D9" s="241" t="s">
        <v>385</v>
      </c>
      <c r="E9" s="339">
        <v>4102441</v>
      </c>
      <c r="F9" s="339">
        <v>4102441</v>
      </c>
      <c r="G9" s="339">
        <v>4102441</v>
      </c>
    </row>
    <row r="10" spans="1:7" ht="25.5" x14ac:dyDescent="0.2">
      <c r="A10" s="337">
        <v>3</v>
      </c>
      <c r="B10" s="7" t="s">
        <v>524</v>
      </c>
      <c r="C10" s="241" t="s">
        <v>1054</v>
      </c>
      <c r="D10" s="241"/>
      <c r="E10" s="339">
        <f>SUM(E11:E14)</f>
        <v>35016580</v>
      </c>
      <c r="F10" s="339">
        <f>SUM(F11:F14)</f>
        <v>35354600</v>
      </c>
      <c r="G10" s="339">
        <f>SUM(G11:G14)</f>
        <v>35712100</v>
      </c>
    </row>
    <row r="11" spans="1:7" ht="76.5" x14ac:dyDescent="0.2">
      <c r="A11" s="337"/>
      <c r="B11" s="52" t="s">
        <v>1697</v>
      </c>
      <c r="C11" s="240" t="s">
        <v>1383</v>
      </c>
      <c r="D11" s="241" t="s">
        <v>398</v>
      </c>
      <c r="E11" s="371">
        <v>8450180</v>
      </c>
      <c r="F11" s="290">
        <v>8788200</v>
      </c>
      <c r="G11" s="290">
        <v>9145700</v>
      </c>
    </row>
    <row r="12" spans="1:7" ht="102" x14ac:dyDescent="0.2">
      <c r="A12" s="337">
        <v>4</v>
      </c>
      <c r="B12" s="353" t="s">
        <v>1571</v>
      </c>
      <c r="C12" s="241" t="s">
        <v>1572</v>
      </c>
      <c r="D12" s="241" t="s">
        <v>398</v>
      </c>
      <c r="E12" s="371">
        <v>26207500</v>
      </c>
      <c r="F12" s="371">
        <v>26207500</v>
      </c>
      <c r="G12" s="371">
        <v>26207500</v>
      </c>
    </row>
    <row r="13" spans="1:7" ht="102" x14ac:dyDescent="0.2">
      <c r="A13" s="337"/>
      <c r="B13" s="353" t="s">
        <v>1734</v>
      </c>
      <c r="C13" s="241" t="s">
        <v>1735</v>
      </c>
      <c r="D13" s="377" t="s">
        <v>398</v>
      </c>
      <c r="E13" s="371">
        <v>358900</v>
      </c>
      <c r="F13" s="371">
        <v>358900</v>
      </c>
      <c r="G13" s="371">
        <v>358900</v>
      </c>
    </row>
    <row r="14" spans="1:7" ht="114.75" hidden="1" x14ac:dyDescent="0.2">
      <c r="A14" s="337"/>
      <c r="B14" s="52" t="s">
        <v>1927</v>
      </c>
      <c r="C14" s="392" t="s">
        <v>1928</v>
      </c>
      <c r="D14" s="392" t="s">
        <v>398</v>
      </c>
      <c r="E14" s="378"/>
      <c r="F14" s="340"/>
      <c r="G14" s="340"/>
    </row>
    <row r="15" spans="1:7" s="336" customFormat="1" ht="25.5" x14ac:dyDescent="0.2">
      <c r="A15" s="337"/>
      <c r="B15" s="7" t="s">
        <v>1563</v>
      </c>
      <c r="C15" s="241" t="s">
        <v>1060</v>
      </c>
      <c r="D15" s="241"/>
      <c r="E15" s="339">
        <f>SUM(E16:E22)</f>
        <v>94700</v>
      </c>
      <c r="F15" s="339">
        <f>SUM(F16:F22)</f>
        <v>94700</v>
      </c>
      <c r="G15" s="339">
        <f>SUM(G16:G22)</f>
        <v>94700</v>
      </c>
    </row>
    <row r="16" spans="1:7" ht="167.25" hidden="1" customHeight="1" x14ac:dyDescent="0.2">
      <c r="A16" s="3"/>
      <c r="B16" s="52" t="s">
        <v>1929</v>
      </c>
      <c r="C16" s="392" t="s">
        <v>1930</v>
      </c>
      <c r="D16" s="392" t="s">
        <v>428</v>
      </c>
      <c r="E16" s="378"/>
      <c r="F16" s="339"/>
      <c r="G16" s="339"/>
    </row>
    <row r="17" spans="1:7" ht="130.5" hidden="1" customHeight="1" x14ac:dyDescent="0.2">
      <c r="A17" s="3"/>
      <c r="B17" s="52" t="s">
        <v>1931</v>
      </c>
      <c r="C17" s="392" t="s">
        <v>1932</v>
      </c>
      <c r="D17" s="392" t="s">
        <v>428</v>
      </c>
      <c r="E17" s="378"/>
      <c r="F17" s="339"/>
      <c r="G17" s="339"/>
    </row>
    <row r="18" spans="1:7" ht="127.5" hidden="1" x14ac:dyDescent="0.2">
      <c r="A18" s="3"/>
      <c r="B18" s="353" t="s">
        <v>1736</v>
      </c>
      <c r="C18" s="240" t="s">
        <v>1737</v>
      </c>
      <c r="D18" s="377" t="s">
        <v>428</v>
      </c>
      <c r="E18" s="339"/>
      <c r="F18" s="339"/>
      <c r="G18" s="339"/>
    </row>
    <row r="19" spans="1:7" ht="127.5" x14ac:dyDescent="0.2">
      <c r="A19" s="3"/>
      <c r="B19" s="353" t="s">
        <v>1699</v>
      </c>
      <c r="C19" s="240" t="s">
        <v>1700</v>
      </c>
      <c r="D19" s="241" t="s">
        <v>413</v>
      </c>
      <c r="E19" s="371">
        <v>94700</v>
      </c>
      <c r="F19" s="371">
        <v>94700</v>
      </c>
      <c r="G19" s="371">
        <v>94700</v>
      </c>
    </row>
    <row r="20" spans="1:7" ht="165.75" hidden="1" x14ac:dyDescent="0.2">
      <c r="A20" s="3"/>
      <c r="B20" s="353" t="s">
        <v>1701</v>
      </c>
      <c r="C20" s="241" t="s">
        <v>1574</v>
      </c>
      <c r="D20" s="241" t="s">
        <v>479</v>
      </c>
      <c r="E20" s="339"/>
      <c r="F20" s="339"/>
      <c r="G20" s="339"/>
    </row>
    <row r="21" spans="1:7" ht="153" hidden="1" x14ac:dyDescent="0.2">
      <c r="A21" s="3"/>
      <c r="B21" s="405" t="s">
        <v>1971</v>
      </c>
      <c r="C21" s="392" t="s">
        <v>1972</v>
      </c>
      <c r="D21" s="392">
        <v>1403</v>
      </c>
      <c r="E21" s="378"/>
      <c r="F21" s="339"/>
      <c r="G21" s="339"/>
    </row>
    <row r="22" spans="1:7" ht="153" hidden="1" x14ac:dyDescent="0.2">
      <c r="A22" s="3"/>
      <c r="B22" s="52" t="s">
        <v>1933</v>
      </c>
      <c r="C22" s="392" t="s">
        <v>1934</v>
      </c>
      <c r="D22" s="392" t="s">
        <v>479</v>
      </c>
      <c r="E22" s="378"/>
      <c r="F22" s="339"/>
      <c r="G22" s="339"/>
    </row>
    <row r="23" spans="1:7" ht="15.75" x14ac:dyDescent="0.25">
      <c r="A23" s="3"/>
      <c r="B23" s="497" t="s">
        <v>1609</v>
      </c>
      <c r="C23" s="498"/>
      <c r="D23" s="348"/>
      <c r="E23" s="398">
        <f>SUM(E8+E10+E15)</f>
        <v>39213721</v>
      </c>
      <c r="F23" s="398">
        <f>SUM(F8+F10+F15)</f>
        <v>39551741</v>
      </c>
      <c r="G23" s="398">
        <f>SUM(G8+G10+G15)</f>
        <v>39909241</v>
      </c>
    </row>
  </sheetData>
  <mergeCells count="6">
    <mergeCell ref="B23:C23"/>
    <mergeCell ref="A4:G4"/>
    <mergeCell ref="A1:G1"/>
    <mergeCell ref="A2:G2"/>
    <mergeCell ref="A3:G3"/>
    <mergeCell ref="F6:G6"/>
  </mergeCells>
  <pageMargins left="0.70866141732283472" right="0.70866141732283472" top="0.74803149606299213" bottom="0.74803149606299213" header="0.31496062992125984" footer="0.31496062992125984"/>
  <pageSetup paperSize="9" scale="7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4"/>
  <sheetViews>
    <sheetView topLeftCell="A2" workbookViewId="0">
      <selection activeCell="C22" sqref="C22"/>
    </sheetView>
  </sheetViews>
  <sheetFormatPr defaultRowHeight="12.75" x14ac:dyDescent="0.2"/>
  <cols>
    <col min="1" max="1" width="46.42578125" customWidth="1"/>
    <col min="2" max="2" width="16.5703125" customWidth="1"/>
    <col min="3" max="3" width="16.42578125" customWidth="1"/>
    <col min="4" max="4" width="16.85546875" customWidth="1"/>
  </cols>
  <sheetData>
    <row r="1" spans="1:4" ht="60.75" hidden="1" customHeight="1" x14ac:dyDescent="0.2">
      <c r="A1" s="444" t="str">
        <f>"Приложение №"&amp;Н2Дороги&amp;"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c r="C1" s="444"/>
      <c r="D1" s="444"/>
    </row>
    <row r="2" spans="1:4" ht="56.25" customHeight="1" x14ac:dyDescent="0.2">
      <c r="A2" s="444" t="str">
        <f>"Приложение №"&amp;Н1Дороги&amp;" к решению
Богучанского районного Совета депутатов
от "&amp;Р1дата&amp;" года №"&amp;Р1номер</f>
        <v>Приложение №19 к решению
Богучанского районного Совета депутатов
от  04.12.2020 года №5/1-16</v>
      </c>
      <c r="B2" s="444"/>
      <c r="C2" s="444"/>
      <c r="D2" s="444"/>
    </row>
    <row r="3" spans="1:4" ht="110.25" customHeight="1" x14ac:dyDescent="0.2">
      <c r="A3" s="470" t="s">
        <v>2103</v>
      </c>
      <c r="B3" s="470"/>
      <c r="C3" s="470"/>
      <c r="D3" s="470"/>
    </row>
    <row r="4" spans="1:4" ht="16.5" customHeight="1" x14ac:dyDescent="0.2">
      <c r="A4" s="239"/>
      <c r="B4" s="501" t="s">
        <v>73</v>
      </c>
      <c r="C4" s="501"/>
      <c r="D4" s="501"/>
    </row>
    <row r="5" spans="1:4" ht="14.25" x14ac:dyDescent="0.2">
      <c r="A5" s="22" t="s">
        <v>22</v>
      </c>
      <c r="B5" s="22" t="s">
        <v>1417</v>
      </c>
      <c r="C5" s="22" t="s">
        <v>1523</v>
      </c>
      <c r="D5" s="22" t="s">
        <v>2082</v>
      </c>
    </row>
    <row r="6" spans="1:4" ht="15" x14ac:dyDescent="0.2">
      <c r="A6" s="298" t="s">
        <v>74</v>
      </c>
      <c r="B6" s="247">
        <f>SUM(B7:B24)</f>
        <v>8450180</v>
      </c>
      <c r="C6" s="247">
        <f>SUM(C7:C24)</f>
        <v>8788200</v>
      </c>
      <c r="D6" s="247">
        <f>SUM(D7:D24)</f>
        <v>9145700</v>
      </c>
    </row>
    <row r="7" spans="1:4" ht="14.25" x14ac:dyDescent="0.2">
      <c r="A7" s="36" t="s">
        <v>672</v>
      </c>
      <c r="B7" s="280">
        <f>411020</f>
        <v>411020</v>
      </c>
      <c r="C7" s="349">
        <f>427470</f>
        <v>427470</v>
      </c>
      <c r="D7" s="349">
        <f>451000</f>
        <v>451000</v>
      </c>
    </row>
    <row r="8" spans="1:4" ht="14.25" x14ac:dyDescent="0.2">
      <c r="A8" s="36" t="s">
        <v>85</v>
      </c>
      <c r="B8" s="280">
        <f>200900</f>
        <v>200900</v>
      </c>
      <c r="C8" s="349">
        <f>208940</f>
        <v>208940</v>
      </c>
      <c r="D8" s="349">
        <f>231200</f>
        <v>231200</v>
      </c>
    </row>
    <row r="9" spans="1:4" ht="14.25" x14ac:dyDescent="0.2">
      <c r="A9" s="36" t="s">
        <v>171</v>
      </c>
      <c r="B9" s="280">
        <f>134770</f>
        <v>134770</v>
      </c>
      <c r="C9" s="349">
        <f>140160</f>
        <v>140160</v>
      </c>
      <c r="D9" s="349">
        <f>164600</f>
        <v>164600</v>
      </c>
    </row>
    <row r="10" spans="1:4" ht="14.25" x14ac:dyDescent="0.2">
      <c r="A10" s="36" t="s">
        <v>60</v>
      </c>
      <c r="B10" s="280">
        <f>2649650</f>
        <v>2649650</v>
      </c>
      <c r="C10" s="349">
        <f>2755680</f>
        <v>2755680</v>
      </c>
      <c r="D10" s="349">
        <f>2782500</f>
        <v>2782500</v>
      </c>
    </row>
    <row r="11" spans="1:4" ht="14.25" x14ac:dyDescent="0.2">
      <c r="A11" s="36" t="s">
        <v>61</v>
      </c>
      <c r="B11" s="280">
        <f>121370</f>
        <v>121370</v>
      </c>
      <c r="C11" s="349">
        <f>126230</f>
        <v>126230</v>
      </c>
      <c r="D11" s="349">
        <f>145000</f>
        <v>145000</v>
      </c>
    </row>
    <row r="12" spans="1:4" ht="28.5" x14ac:dyDescent="0.2">
      <c r="A12" s="12" t="s">
        <v>247</v>
      </c>
      <c r="B12" s="280">
        <f>563050</f>
        <v>563050</v>
      </c>
      <c r="C12" s="410">
        <f>585560</f>
        <v>585560</v>
      </c>
      <c r="D12" s="410">
        <f>596700</f>
        <v>596700</v>
      </c>
    </row>
    <row r="13" spans="1:4" ht="14.25" x14ac:dyDescent="0.2">
      <c r="A13" s="36" t="s">
        <v>86</v>
      </c>
      <c r="B13" s="280">
        <f>378660</f>
        <v>378660</v>
      </c>
      <c r="C13" s="349">
        <f>393800</f>
        <v>393800</v>
      </c>
      <c r="D13" s="349">
        <f>412300</f>
        <v>412300</v>
      </c>
    </row>
    <row r="14" spans="1:4" ht="14.25" x14ac:dyDescent="0.2">
      <c r="A14" s="36" t="s">
        <v>142</v>
      </c>
      <c r="B14" s="280">
        <f>292750</f>
        <v>292750</v>
      </c>
      <c r="C14" s="349">
        <f>304460</f>
        <v>304460</v>
      </c>
      <c r="D14" s="349">
        <f>327100</f>
        <v>327100</v>
      </c>
    </row>
    <row r="15" spans="1:4" ht="28.5" x14ac:dyDescent="0.2">
      <c r="A15" s="36" t="s">
        <v>143</v>
      </c>
      <c r="B15" s="280">
        <f>124790</f>
        <v>124790</v>
      </c>
      <c r="C15" s="410">
        <f>129780</f>
        <v>129780</v>
      </c>
      <c r="D15" s="410">
        <f>153600</f>
        <v>153600</v>
      </c>
    </row>
    <row r="16" spans="1:4" ht="14.25" x14ac:dyDescent="0.2">
      <c r="A16" s="36" t="s">
        <v>87</v>
      </c>
      <c r="B16" s="280">
        <f>213480</f>
        <v>213480</v>
      </c>
      <c r="C16" s="349">
        <f>222020</f>
        <v>222020</v>
      </c>
      <c r="D16" s="349">
        <f>245000</f>
        <v>245000</v>
      </c>
    </row>
    <row r="17" spans="1:4" ht="14.25" x14ac:dyDescent="0.2">
      <c r="A17" s="36" t="s">
        <v>89</v>
      </c>
      <c r="B17" s="280">
        <f>724630</f>
        <v>724630</v>
      </c>
      <c r="C17" s="349">
        <v>753610</v>
      </c>
      <c r="D17" s="349">
        <f>770800</f>
        <v>770800</v>
      </c>
    </row>
    <row r="18" spans="1:4" ht="28.5" x14ac:dyDescent="0.2">
      <c r="A18" s="36" t="s">
        <v>172</v>
      </c>
      <c r="B18" s="409">
        <f>236680</f>
        <v>236680</v>
      </c>
      <c r="C18" s="349">
        <f>246150</f>
        <v>246150</v>
      </c>
      <c r="D18" s="349">
        <f>270500</f>
        <v>270500</v>
      </c>
    </row>
    <row r="19" spans="1:4" ht="14.25" x14ac:dyDescent="0.2">
      <c r="A19" s="24" t="s">
        <v>88</v>
      </c>
      <c r="B19" s="280">
        <f>449540</f>
        <v>449540</v>
      </c>
      <c r="C19" s="349">
        <f>467510</f>
        <v>467510</v>
      </c>
      <c r="D19" s="349">
        <f>486300</f>
        <v>486300</v>
      </c>
    </row>
    <row r="20" spans="1:4" ht="14.25" x14ac:dyDescent="0.2">
      <c r="A20" s="36" t="s">
        <v>90</v>
      </c>
      <c r="B20" s="280">
        <f>900580</f>
        <v>900580</v>
      </c>
      <c r="C20" s="349">
        <f>936600</f>
        <v>936600</v>
      </c>
      <c r="D20" s="349">
        <f>965700</f>
        <v>965700</v>
      </c>
    </row>
    <row r="21" spans="1:4" ht="14.25" x14ac:dyDescent="0.2">
      <c r="A21" s="36" t="s">
        <v>91</v>
      </c>
      <c r="B21" s="280">
        <f>192220</f>
        <v>192220</v>
      </c>
      <c r="C21" s="349">
        <f>199900</f>
        <v>199900</v>
      </c>
      <c r="D21" s="349">
        <f>181000</f>
        <v>181000</v>
      </c>
    </row>
    <row r="22" spans="1:4" ht="14.25" x14ac:dyDescent="0.2">
      <c r="A22" s="36" t="s">
        <v>145</v>
      </c>
      <c r="B22" s="280">
        <f>224470</f>
        <v>224470</v>
      </c>
      <c r="C22" s="349">
        <f>233450</f>
        <v>233450</v>
      </c>
      <c r="D22" s="349">
        <f>257400</f>
        <v>257400</v>
      </c>
    </row>
    <row r="23" spans="1:4" ht="14.25" x14ac:dyDescent="0.2">
      <c r="A23" s="36" t="s">
        <v>146</v>
      </c>
      <c r="B23" s="280">
        <f>456920</f>
        <v>456920</v>
      </c>
      <c r="C23" s="349">
        <f>475190</f>
        <v>475190</v>
      </c>
      <c r="D23" s="349">
        <f>495500</f>
        <v>495500</v>
      </c>
    </row>
    <row r="24" spans="1:4" ht="14.25" x14ac:dyDescent="0.2">
      <c r="A24" s="36" t="s">
        <v>92</v>
      </c>
      <c r="B24" s="280">
        <f>174700</f>
        <v>174700</v>
      </c>
      <c r="C24" s="349">
        <f>181690</f>
        <v>181690</v>
      </c>
      <c r="D24" s="349">
        <f>209500</f>
        <v>209500</v>
      </c>
    </row>
  </sheetData>
  <mergeCells count="4">
    <mergeCell ref="B4:D4"/>
    <mergeCell ref="A1:D1"/>
    <mergeCell ref="A2:D2"/>
    <mergeCell ref="A3:D3"/>
  </mergeCells>
  <pageMargins left="0.70866141732283472" right="0.11811023622047245" top="0.35433070866141736" bottom="0.35433070866141736" header="0.31496062992125984" footer="0.31496062992125984"/>
  <pageSetup paperSize="9" scale="98"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24"/>
  <sheetViews>
    <sheetView topLeftCell="A2" workbookViewId="0">
      <selection sqref="A1:XFD1"/>
    </sheetView>
  </sheetViews>
  <sheetFormatPr defaultRowHeight="12.75" x14ac:dyDescent="0.2"/>
  <cols>
    <col min="1" max="1" width="48.42578125" customWidth="1"/>
    <col min="2" max="2" width="17.5703125" hidden="1" customWidth="1"/>
    <col min="3" max="3" width="14.5703125" customWidth="1"/>
    <col min="4" max="4" width="16.140625" customWidth="1"/>
    <col min="5" max="5" width="15.28515625" customWidth="1"/>
  </cols>
  <sheetData>
    <row r="1" spans="1:5" ht="39" hidden="1" customHeight="1" x14ac:dyDescent="0.2">
      <c r="A1" s="444" t="str">
        <f>"Приложение №"&amp;Н2доркап&amp;"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c r="C1" s="444"/>
      <c r="D1" s="444"/>
      <c r="E1" s="444"/>
    </row>
    <row r="2" spans="1:5" ht="54.75" customHeight="1" x14ac:dyDescent="0.2">
      <c r="A2" s="444" t="str">
        <f>"Приложение №"&amp;Н1доркап&amp;" к решению
Богучанского районного Совета депутатов
от "&amp;Р1дата&amp;" года №"&amp;Р1номер</f>
        <v>Приложение №17 к решению
Богучанского районного Совета депутатов
от  04.12.2020 года №5/1-16</v>
      </c>
      <c r="B2" s="444"/>
      <c r="C2" s="444"/>
      <c r="D2" s="444"/>
      <c r="E2" s="444"/>
    </row>
    <row r="3" spans="1:5" ht="96" customHeight="1" x14ac:dyDescent="0.25">
      <c r="A3" s="496" t="s">
        <v>2092</v>
      </c>
      <c r="B3" s="496"/>
      <c r="C3" s="496"/>
      <c r="D3" s="496"/>
      <c r="E3" s="496"/>
    </row>
    <row r="4" spans="1:5" x14ac:dyDescent="0.2">
      <c r="A4" s="177"/>
      <c r="B4" s="177"/>
      <c r="C4" s="177"/>
      <c r="D4" s="177"/>
      <c r="E4" s="177"/>
    </row>
    <row r="5" spans="1:5" ht="22.5" customHeight="1" x14ac:dyDescent="0.2">
      <c r="A5" s="277" t="s">
        <v>22</v>
      </c>
      <c r="B5" s="243" t="s">
        <v>40</v>
      </c>
      <c r="C5" s="22" t="s">
        <v>1417</v>
      </c>
      <c r="D5" s="22" t="s">
        <v>2084</v>
      </c>
      <c r="E5" s="22" t="s">
        <v>2082</v>
      </c>
    </row>
    <row r="6" spans="1:5" ht="15" x14ac:dyDescent="0.25">
      <c r="A6" s="246" t="s">
        <v>1122</v>
      </c>
      <c r="B6" s="244"/>
      <c r="C6" s="317">
        <f>SUM(C7:C24)</f>
        <v>26207500</v>
      </c>
      <c r="D6" s="317">
        <f>SUM(D7:D24)</f>
        <v>26207500</v>
      </c>
      <c r="E6" s="317">
        <f>SUM(E7:E24)</f>
        <v>26207500</v>
      </c>
    </row>
    <row r="7" spans="1:5" ht="14.25" x14ac:dyDescent="0.2">
      <c r="A7" s="36" t="s">
        <v>672</v>
      </c>
      <c r="B7" s="316">
        <v>1000000</v>
      </c>
      <c r="C7" s="280"/>
      <c r="D7" s="280">
        <v>2187700</v>
      </c>
      <c r="E7" s="280"/>
    </row>
    <row r="8" spans="1:5" ht="14.25" x14ac:dyDescent="0.2">
      <c r="A8" s="36" t="s">
        <v>85</v>
      </c>
      <c r="B8" s="316">
        <v>1000000</v>
      </c>
      <c r="C8" s="280">
        <v>1123100</v>
      </c>
      <c r="D8" s="280"/>
      <c r="E8" s="280"/>
    </row>
    <row r="9" spans="1:5" ht="14.25" x14ac:dyDescent="0.2">
      <c r="A9" s="36" t="s">
        <v>171</v>
      </c>
      <c r="B9" s="316">
        <v>12000000</v>
      </c>
      <c r="C9" s="280"/>
      <c r="D9" s="280">
        <v>869200</v>
      </c>
      <c r="E9" s="280"/>
    </row>
    <row r="10" spans="1:5" ht="14.25" x14ac:dyDescent="0.2">
      <c r="A10" s="36" t="s">
        <v>60</v>
      </c>
      <c r="B10" s="316">
        <v>2000000</v>
      </c>
      <c r="C10" s="280">
        <v>13103700</v>
      </c>
      <c r="D10" s="280">
        <v>13103700</v>
      </c>
      <c r="E10" s="280">
        <v>13103700</v>
      </c>
    </row>
    <row r="11" spans="1:5" ht="14.25" x14ac:dyDescent="0.2">
      <c r="A11" s="36" t="s">
        <v>61</v>
      </c>
      <c r="B11" s="316">
        <v>1500000</v>
      </c>
      <c r="C11" s="280">
        <v>590000</v>
      </c>
      <c r="D11" s="280"/>
      <c r="E11" s="280"/>
    </row>
    <row r="12" spans="1:5" ht="28.5" x14ac:dyDescent="0.2">
      <c r="A12" s="12" t="s">
        <v>247</v>
      </c>
      <c r="B12" s="316"/>
      <c r="C12" s="280"/>
      <c r="D12" s="280"/>
      <c r="E12" s="280">
        <v>2636100</v>
      </c>
    </row>
    <row r="13" spans="1:5" ht="14.25" x14ac:dyDescent="0.2">
      <c r="A13" s="36" t="s">
        <v>86</v>
      </c>
      <c r="B13" s="316">
        <v>1000000</v>
      </c>
      <c r="C13" s="280"/>
      <c r="D13" s="280"/>
      <c r="E13" s="280">
        <v>1935600</v>
      </c>
    </row>
    <row r="14" spans="1:5" ht="14.25" x14ac:dyDescent="0.2">
      <c r="A14" s="36" t="s">
        <v>142</v>
      </c>
      <c r="B14" s="316">
        <v>1000000</v>
      </c>
      <c r="C14" s="280"/>
      <c r="D14" s="280"/>
      <c r="E14" s="280">
        <v>1419500</v>
      </c>
    </row>
    <row r="15" spans="1:5" ht="14.25" x14ac:dyDescent="0.2">
      <c r="A15" s="36" t="s">
        <v>143</v>
      </c>
      <c r="B15" s="316">
        <v>4000000</v>
      </c>
      <c r="C15" s="280"/>
      <c r="D15" s="280">
        <v>723000</v>
      </c>
      <c r="E15" s="280"/>
    </row>
    <row r="16" spans="1:5" ht="14.25" x14ac:dyDescent="0.2">
      <c r="A16" s="36" t="s">
        <v>87</v>
      </c>
      <c r="B16" s="316">
        <v>1400000</v>
      </c>
      <c r="C16" s="280"/>
      <c r="D16" s="280"/>
      <c r="E16" s="280">
        <v>1013900</v>
      </c>
    </row>
    <row r="17" spans="1:5" ht="14.25" x14ac:dyDescent="0.2">
      <c r="A17" s="36" t="s">
        <v>89</v>
      </c>
      <c r="C17" s="346">
        <v>2872400</v>
      </c>
      <c r="D17" s="346"/>
      <c r="E17" s="346"/>
    </row>
    <row r="18" spans="1:5" ht="14.25" x14ac:dyDescent="0.2">
      <c r="A18" s="36" t="s">
        <v>172</v>
      </c>
      <c r="C18" s="346">
        <v>1058100</v>
      </c>
      <c r="D18" s="346"/>
      <c r="E18" s="346"/>
    </row>
    <row r="19" spans="1:5" ht="14.25" x14ac:dyDescent="0.2">
      <c r="A19" s="24" t="s">
        <v>88</v>
      </c>
      <c r="C19" s="346">
        <v>2218700</v>
      </c>
      <c r="D19" s="346"/>
      <c r="E19" s="346"/>
    </row>
    <row r="20" spans="1:5" ht="14.25" x14ac:dyDescent="0.2">
      <c r="A20" s="36" t="s">
        <v>90</v>
      </c>
      <c r="C20" s="346">
        <v>5241500</v>
      </c>
      <c r="D20" s="346">
        <v>5241500</v>
      </c>
      <c r="E20" s="346">
        <v>5241500</v>
      </c>
    </row>
    <row r="21" spans="1:5" ht="14.25" x14ac:dyDescent="0.2">
      <c r="A21" s="36" t="s">
        <v>91</v>
      </c>
      <c r="C21" s="346"/>
      <c r="D21" s="346">
        <v>830100</v>
      </c>
      <c r="E21" s="346"/>
    </row>
    <row r="22" spans="1:5" ht="14.25" x14ac:dyDescent="0.2">
      <c r="A22" s="36" t="s">
        <v>145</v>
      </c>
      <c r="C22" s="346"/>
      <c r="D22" s="346">
        <v>1084100</v>
      </c>
      <c r="E22" s="346"/>
    </row>
    <row r="23" spans="1:5" ht="14.25" x14ac:dyDescent="0.2">
      <c r="A23" s="36" t="s">
        <v>146</v>
      </c>
      <c r="C23" s="346"/>
      <c r="D23" s="346">
        <v>2168200</v>
      </c>
      <c r="E23" s="346"/>
    </row>
    <row r="24" spans="1:5" ht="14.25" x14ac:dyDescent="0.2">
      <c r="A24" s="36" t="s">
        <v>92</v>
      </c>
      <c r="C24" s="346"/>
      <c r="D24" s="346"/>
      <c r="E24" s="346">
        <v>857200</v>
      </c>
    </row>
  </sheetData>
  <mergeCells count="3">
    <mergeCell ref="A1:E1"/>
    <mergeCell ref="A2:E2"/>
    <mergeCell ref="A3:E3"/>
  </mergeCells>
  <pageMargins left="0.7" right="0.24"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6"/>
  <sheetViews>
    <sheetView topLeftCell="A2" workbookViewId="0">
      <selection activeCell="C8" sqref="C8:D25"/>
    </sheetView>
  </sheetViews>
  <sheetFormatPr defaultRowHeight="12.75" x14ac:dyDescent="0.2"/>
  <cols>
    <col min="1" max="1" width="47" customWidth="1"/>
    <col min="2" max="2" width="16.5703125" customWidth="1"/>
    <col min="3" max="3" width="17.140625" customWidth="1"/>
    <col min="4" max="4" width="16.140625" customWidth="1"/>
    <col min="6" max="6" width="11.140625" bestFit="1" customWidth="1"/>
  </cols>
  <sheetData>
    <row r="1" spans="1:6" ht="52.5" hidden="1" customHeight="1" x14ac:dyDescent="0.2">
      <c r="A1" s="444" t="str">
        <f>"Приложение №"&amp;H2пожар&amp;"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c r="C1" s="444"/>
      <c r="D1" s="444"/>
    </row>
    <row r="2" spans="1:6" ht="47.25" customHeight="1" x14ac:dyDescent="0.2">
      <c r="A2" s="444" t="str">
        <f>"Приложение №"&amp;Н1пожар&amp;" к решению
Богучанского районного Совета депутатов
от "&amp;Р1дата&amp;" года №"&amp;Р1номер</f>
        <v>Приложение №16 к решению
Богучанского районного Совета депутатов
от  04.12.2020 года №5/1-16</v>
      </c>
      <c r="B2" s="444"/>
      <c r="C2" s="444"/>
      <c r="D2" s="444"/>
    </row>
    <row r="3" spans="1:6" ht="87" customHeight="1" x14ac:dyDescent="0.2">
      <c r="A3" s="502" t="s">
        <v>2098</v>
      </c>
      <c r="B3" s="502"/>
      <c r="C3" s="502"/>
      <c r="D3" s="502"/>
    </row>
    <row r="4" spans="1:6" ht="10.5" customHeight="1" x14ac:dyDescent="0.2">
      <c r="A4" s="503"/>
      <c r="B4" s="503"/>
      <c r="C4" s="503"/>
      <c r="D4" s="503"/>
    </row>
    <row r="5" spans="1:6" ht="20.25" x14ac:dyDescent="0.2">
      <c r="A5" s="249"/>
      <c r="B5" s="311"/>
      <c r="C5" s="311"/>
      <c r="D5" s="8" t="s">
        <v>73</v>
      </c>
    </row>
    <row r="6" spans="1:6" ht="14.25" x14ac:dyDescent="0.2">
      <c r="A6" s="22" t="s">
        <v>22</v>
      </c>
      <c r="B6" s="22" t="s">
        <v>1417</v>
      </c>
      <c r="C6" s="22" t="s">
        <v>2084</v>
      </c>
      <c r="D6" s="22" t="s">
        <v>2082</v>
      </c>
      <c r="F6" s="215" t="s">
        <v>1269</v>
      </c>
    </row>
    <row r="7" spans="1:6" ht="15" x14ac:dyDescent="0.2">
      <c r="A7" s="250" t="s">
        <v>74</v>
      </c>
      <c r="B7" s="321">
        <f>SUM(B8:B25)</f>
        <v>4102441</v>
      </c>
      <c r="C7" s="321">
        <f>SUM(C8:C25)</f>
        <v>4102441</v>
      </c>
      <c r="D7" s="321">
        <f>SUM(D8:D25)</f>
        <v>4102441</v>
      </c>
      <c r="F7" s="114">
        <f ca="1">SUMIF(РзПз,"????0420074120",СумВед)-D7</f>
        <v>-4102441</v>
      </c>
    </row>
    <row r="8" spans="1:6" ht="14.25" x14ac:dyDescent="0.2">
      <c r="A8" s="41" t="s">
        <v>59</v>
      </c>
      <c r="B8" s="318">
        <f>178155</f>
        <v>178155</v>
      </c>
      <c r="C8" s="318">
        <f>178155</f>
        <v>178155</v>
      </c>
      <c r="D8" s="318">
        <f>178155</f>
        <v>178155</v>
      </c>
    </row>
    <row r="9" spans="1:6" ht="14.25" x14ac:dyDescent="0.2">
      <c r="A9" s="41" t="s">
        <v>85</v>
      </c>
      <c r="B9" s="318">
        <f>61672</f>
        <v>61672</v>
      </c>
      <c r="C9" s="318">
        <f>61672</f>
        <v>61672</v>
      </c>
      <c r="D9" s="318">
        <f>61672</f>
        <v>61672</v>
      </c>
    </row>
    <row r="10" spans="1:6" ht="14.25" x14ac:dyDescent="0.2">
      <c r="A10" s="41" t="s">
        <v>171</v>
      </c>
      <c r="B10" s="318">
        <f>21852</f>
        <v>21852</v>
      </c>
      <c r="C10" s="318">
        <f>21852</f>
        <v>21852</v>
      </c>
      <c r="D10" s="318">
        <f>21852</f>
        <v>21852</v>
      </c>
    </row>
    <row r="11" spans="1:6" ht="14.25" x14ac:dyDescent="0.2">
      <c r="A11" s="42" t="s">
        <v>60</v>
      </c>
      <c r="B11" s="319">
        <f>1006629</f>
        <v>1006629</v>
      </c>
      <c r="C11" s="319">
        <f>1006629</f>
        <v>1006629</v>
      </c>
      <c r="D11" s="319">
        <f>1006629</f>
        <v>1006629</v>
      </c>
    </row>
    <row r="12" spans="1:6" ht="14.25" x14ac:dyDescent="0.2">
      <c r="A12" s="42" t="s">
        <v>61</v>
      </c>
      <c r="B12" s="319">
        <f>65013</f>
        <v>65013</v>
      </c>
      <c r="C12" s="319">
        <f>65013</f>
        <v>65013</v>
      </c>
      <c r="D12" s="319">
        <f>65013</f>
        <v>65013</v>
      </c>
    </row>
    <row r="13" spans="1:6" ht="14.25" x14ac:dyDescent="0.2">
      <c r="A13" s="42" t="s">
        <v>247</v>
      </c>
      <c r="B13" s="319">
        <f>297888</f>
        <v>297888</v>
      </c>
      <c r="C13" s="319">
        <f>297888</f>
        <v>297888</v>
      </c>
      <c r="D13" s="319">
        <f>297888</f>
        <v>297888</v>
      </c>
    </row>
    <row r="14" spans="1:6" ht="14.25" x14ac:dyDescent="0.2">
      <c r="A14" s="42" t="s">
        <v>86</v>
      </c>
      <c r="B14" s="319">
        <f>165333</f>
        <v>165333</v>
      </c>
      <c r="C14" s="319">
        <f>165333</f>
        <v>165333</v>
      </c>
      <c r="D14" s="319">
        <f>165333</f>
        <v>165333</v>
      </c>
    </row>
    <row r="15" spans="1:6" ht="14.25" x14ac:dyDescent="0.2">
      <c r="A15" s="42" t="s">
        <v>142</v>
      </c>
      <c r="B15" s="319">
        <f>146190</f>
        <v>146190</v>
      </c>
      <c r="C15" s="319">
        <f>146190</f>
        <v>146190</v>
      </c>
      <c r="D15" s="319">
        <f>146190</f>
        <v>146190</v>
      </c>
    </row>
    <row r="16" spans="1:6" ht="14.25" x14ac:dyDescent="0.2">
      <c r="A16" s="42" t="s">
        <v>143</v>
      </c>
      <c r="B16" s="319">
        <f>45871</f>
        <v>45871</v>
      </c>
      <c r="C16" s="319">
        <f>45871</f>
        <v>45871</v>
      </c>
      <c r="D16" s="319">
        <f>45871</f>
        <v>45871</v>
      </c>
    </row>
    <row r="17" spans="1:4" ht="14.25" x14ac:dyDescent="0.2">
      <c r="A17" s="42" t="s">
        <v>87</v>
      </c>
      <c r="B17" s="319">
        <f>111516</f>
        <v>111516</v>
      </c>
      <c r="C17" s="319">
        <f>111516</f>
        <v>111516</v>
      </c>
      <c r="D17" s="319">
        <f>111516</f>
        <v>111516</v>
      </c>
    </row>
    <row r="18" spans="1:4" ht="14.25" x14ac:dyDescent="0.2">
      <c r="A18" s="42" t="s">
        <v>89</v>
      </c>
      <c r="B18" s="319">
        <f>509091</f>
        <v>509091</v>
      </c>
      <c r="C18" s="319">
        <f>509091</f>
        <v>509091</v>
      </c>
      <c r="D18" s="319">
        <f>509091</f>
        <v>509091</v>
      </c>
    </row>
    <row r="19" spans="1:4" ht="14.25" x14ac:dyDescent="0.2">
      <c r="A19" s="42" t="s">
        <v>172</v>
      </c>
      <c r="B19" s="319">
        <f>138966</f>
        <v>138966</v>
      </c>
      <c r="C19" s="319">
        <f>138966</f>
        <v>138966</v>
      </c>
      <c r="D19" s="319">
        <f>138966</f>
        <v>138966</v>
      </c>
    </row>
    <row r="20" spans="1:4" ht="14.25" x14ac:dyDescent="0.2">
      <c r="A20" s="42" t="s">
        <v>88</v>
      </c>
      <c r="B20" s="319">
        <f>210661</f>
        <v>210661</v>
      </c>
      <c r="C20" s="319">
        <f>210661</f>
        <v>210661</v>
      </c>
      <c r="D20" s="319">
        <f>210661</f>
        <v>210661</v>
      </c>
    </row>
    <row r="21" spans="1:4" ht="28.5" x14ac:dyDescent="0.2">
      <c r="A21" s="279" t="s">
        <v>1273</v>
      </c>
      <c r="B21" s="320">
        <f>581599</f>
        <v>581599</v>
      </c>
      <c r="C21" s="320">
        <f>581599</f>
        <v>581599</v>
      </c>
      <c r="D21" s="320">
        <f>581599</f>
        <v>581599</v>
      </c>
    </row>
    <row r="22" spans="1:4" ht="14.25" x14ac:dyDescent="0.2">
      <c r="A22" s="42" t="s">
        <v>91</v>
      </c>
      <c r="B22" s="319">
        <f>62124</f>
        <v>62124</v>
      </c>
      <c r="C22" s="319">
        <f>62124</f>
        <v>62124</v>
      </c>
      <c r="D22" s="319">
        <f>62124</f>
        <v>62124</v>
      </c>
    </row>
    <row r="23" spans="1:4" ht="14.25" x14ac:dyDescent="0.2">
      <c r="A23" s="42" t="s">
        <v>145</v>
      </c>
      <c r="B23" s="319">
        <f>134542</f>
        <v>134542</v>
      </c>
      <c r="C23" s="319">
        <f>134542</f>
        <v>134542</v>
      </c>
      <c r="D23" s="319">
        <f>134542</f>
        <v>134542</v>
      </c>
    </row>
    <row r="24" spans="1:4" ht="14.25" x14ac:dyDescent="0.2">
      <c r="A24" s="42" t="s">
        <v>146</v>
      </c>
      <c r="B24" s="319">
        <f>274411</f>
        <v>274411</v>
      </c>
      <c r="C24" s="319">
        <f>274411</f>
        <v>274411</v>
      </c>
      <c r="D24" s="319">
        <f>274411</f>
        <v>274411</v>
      </c>
    </row>
    <row r="25" spans="1:4" ht="14.25" x14ac:dyDescent="0.2">
      <c r="A25" s="42" t="s">
        <v>92</v>
      </c>
      <c r="B25" s="319">
        <f>90928</f>
        <v>90928</v>
      </c>
      <c r="C25" s="319">
        <f>90928</f>
        <v>90928</v>
      </c>
      <c r="D25" s="319">
        <f>90928</f>
        <v>90928</v>
      </c>
    </row>
    <row r="26" spans="1:4" ht="14.25" x14ac:dyDescent="0.2">
      <c r="A26" s="278"/>
      <c r="B26" s="278"/>
      <c r="C26" s="278"/>
    </row>
  </sheetData>
  <mergeCells count="4">
    <mergeCell ref="A1:D1"/>
    <mergeCell ref="A2:D2"/>
    <mergeCell ref="A3:D3"/>
    <mergeCell ref="A4:D4"/>
  </mergeCells>
  <pageMargins left="0.51181102362204722" right="0.5118110236220472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00B0F0"/>
  </sheetPr>
  <dimension ref="A1:E16"/>
  <sheetViews>
    <sheetView topLeftCell="A2" zoomScaleNormal="75" workbookViewId="0">
      <selection activeCell="D27" sqref="D27"/>
    </sheetView>
  </sheetViews>
  <sheetFormatPr defaultRowHeight="15" x14ac:dyDescent="0.2"/>
  <cols>
    <col min="1" max="2" width="8" style="75" customWidth="1"/>
    <col min="3" max="3" width="25.42578125" style="78" customWidth="1"/>
    <col min="4" max="4" width="61" style="76" customWidth="1"/>
    <col min="5" max="5" width="9.140625" style="77"/>
    <col min="6" max="6" width="14.5703125" style="77" customWidth="1"/>
    <col min="7" max="16384" width="9.140625" style="77"/>
  </cols>
  <sheetData>
    <row r="1" spans="1:5" ht="42.75" hidden="1" customHeight="1" x14ac:dyDescent="0.3">
      <c r="A1" s="444" t="str">
        <f>"Приложение "&amp;Н2аист&amp;" к решению
Богучанского районного Совета депутатов
от "&amp;Р2дата&amp;" года №"&amp;Р2номер</f>
        <v>Приложение  к решению
Богучанского районного Совета депутатов
от 04.12.2020 года №5/1-16</v>
      </c>
      <c r="B1" s="444"/>
      <c r="C1" s="444"/>
      <c r="D1" s="444"/>
      <c r="E1" s="56"/>
    </row>
    <row r="2" spans="1:5" s="56" customFormat="1" ht="44.25" customHeight="1" x14ac:dyDescent="0.3">
      <c r="A2" s="444" t="str">
        <f>"Приложение "&amp;Н1аист&amp;" к решению
Богучанского районного Совета депутатов
от "&amp;Р1дата&amp;" года №"&amp;Р1номер</f>
        <v>Приложение 3 к решению
Богучанского районного Совета депутатов
от  04.12.2020 года №5/1-16</v>
      </c>
      <c r="B2" s="444"/>
      <c r="C2" s="444"/>
      <c r="D2" s="444"/>
    </row>
    <row r="3" spans="1:5" s="56" customFormat="1" ht="65.25" customHeight="1" x14ac:dyDescent="0.3">
      <c r="A3" s="457" t="str">
        <f>"Главные администраторы 
источников внутреннего финансирования дефицита 
районного бюджета на "&amp;год&amp;" год и плановый период "&amp;ПлПер&amp;" годов"</f>
        <v>Главные администраторы 
источников внутреннего финансирования дефицита 
районного бюджета на 2021 год и плановый период 2022-2023 годов</v>
      </c>
      <c r="B3" s="457"/>
      <c r="C3" s="457"/>
      <c r="D3" s="457"/>
    </row>
    <row r="4" spans="1:5" s="56" customFormat="1" ht="13.5" customHeight="1" x14ac:dyDescent="0.3">
      <c r="A4" s="54"/>
      <c r="B4" s="54"/>
      <c r="C4" s="54"/>
      <c r="D4" s="55"/>
    </row>
    <row r="5" spans="1:5" s="60" customFormat="1" ht="15.75" customHeight="1" x14ac:dyDescent="0.25">
      <c r="A5" s="57"/>
      <c r="B5" s="57"/>
      <c r="C5" s="58"/>
      <c r="D5" s="59"/>
    </row>
    <row r="6" spans="1:5" s="62" customFormat="1" ht="42.75" x14ac:dyDescent="0.2">
      <c r="A6" s="61" t="s">
        <v>170</v>
      </c>
      <c r="B6" s="61" t="s">
        <v>175</v>
      </c>
      <c r="C6" s="61" t="s">
        <v>176</v>
      </c>
      <c r="D6" s="61" t="s">
        <v>177</v>
      </c>
    </row>
    <row r="7" spans="1:5" s="57" customFormat="1" ht="30" x14ac:dyDescent="0.2">
      <c r="A7" s="164">
        <v>1</v>
      </c>
      <c r="B7" s="64" t="s">
        <v>221</v>
      </c>
      <c r="C7" s="65"/>
      <c r="D7" s="66" t="s">
        <v>283</v>
      </c>
    </row>
    <row r="8" spans="1:5" s="71" customFormat="1" ht="28.5" x14ac:dyDescent="0.2">
      <c r="A8" s="67">
        <v>2</v>
      </c>
      <c r="B8" s="68" t="s">
        <v>221</v>
      </c>
      <c r="C8" s="69" t="s">
        <v>179</v>
      </c>
      <c r="D8" s="70" t="s">
        <v>1610</v>
      </c>
    </row>
    <row r="9" spans="1:5" s="71" customFormat="1" ht="33.75" customHeight="1" x14ac:dyDescent="0.2">
      <c r="A9" s="67">
        <v>3</v>
      </c>
      <c r="B9" s="68" t="s">
        <v>221</v>
      </c>
      <c r="C9" s="69" t="s">
        <v>108</v>
      </c>
      <c r="D9" s="70" t="s">
        <v>1611</v>
      </c>
    </row>
    <row r="10" spans="1:5" s="71" customFormat="1" ht="42.75" x14ac:dyDescent="0.2">
      <c r="A10" s="67">
        <v>4</v>
      </c>
      <c r="B10" s="68" t="s">
        <v>221</v>
      </c>
      <c r="C10" s="69" t="s">
        <v>1188</v>
      </c>
      <c r="D10" s="70" t="s">
        <v>1612</v>
      </c>
    </row>
    <row r="11" spans="1:5" s="71" customFormat="1" ht="42.75" x14ac:dyDescent="0.2">
      <c r="A11" s="67">
        <v>5</v>
      </c>
      <c r="B11" s="68" t="s">
        <v>221</v>
      </c>
      <c r="C11" s="69" t="s">
        <v>1189</v>
      </c>
      <c r="D11" s="70" t="s">
        <v>38</v>
      </c>
    </row>
    <row r="12" spans="1:5" s="71" customFormat="1" ht="28.5" x14ac:dyDescent="0.2">
      <c r="A12" s="67">
        <v>6</v>
      </c>
      <c r="B12" s="68" t="s">
        <v>221</v>
      </c>
      <c r="C12" s="72" t="s">
        <v>66</v>
      </c>
      <c r="D12" s="70" t="s">
        <v>161</v>
      </c>
    </row>
    <row r="13" spans="1:5" s="71" customFormat="1" ht="28.5" x14ac:dyDescent="0.2">
      <c r="A13" s="67">
        <v>7</v>
      </c>
      <c r="B13" s="68" t="s">
        <v>221</v>
      </c>
      <c r="C13" s="72" t="s">
        <v>67</v>
      </c>
      <c r="D13" s="70" t="s">
        <v>167</v>
      </c>
    </row>
    <row r="14" spans="1:5" s="71" customFormat="1" ht="30" x14ac:dyDescent="0.2">
      <c r="A14" s="63">
        <v>8</v>
      </c>
      <c r="B14" s="64" t="s">
        <v>68</v>
      </c>
      <c r="C14" s="73"/>
      <c r="D14" s="74" t="s">
        <v>69</v>
      </c>
    </row>
    <row r="15" spans="1:5" s="71" customFormat="1" ht="42.75" x14ac:dyDescent="0.2">
      <c r="A15" s="67">
        <v>9</v>
      </c>
      <c r="B15" s="68" t="s">
        <v>68</v>
      </c>
      <c r="C15" s="72" t="s">
        <v>70</v>
      </c>
      <c r="D15" s="70" t="s">
        <v>81</v>
      </c>
    </row>
    <row r="16" spans="1:5" x14ac:dyDescent="0.2">
      <c r="C16" s="75"/>
    </row>
  </sheetData>
  <mergeCells count="3">
    <mergeCell ref="A3:D3"/>
    <mergeCell ref="A2:D2"/>
    <mergeCell ref="A1:D1"/>
  </mergeCells>
  <phoneticPr fontId="3" type="noConversion"/>
  <pageMargins left="0.78740157480314965" right="0.39370078740157483" top="0.78740157480314965" bottom="0.78740157480314965" header="0.39370078740157483" footer="0.39370078740157483"/>
  <pageSetup paperSize="9" scale="90" firstPageNumber="849" orientation="portrait" useFirstPageNumber="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1"/>
  <sheetViews>
    <sheetView topLeftCell="A2" workbookViewId="0">
      <selection activeCell="I8" sqref="I8"/>
    </sheetView>
  </sheetViews>
  <sheetFormatPr defaultRowHeight="12.75" x14ac:dyDescent="0.2"/>
  <cols>
    <col min="1" max="1" width="5.5703125" customWidth="1"/>
    <col min="2" max="2" width="58.85546875" customWidth="1"/>
    <col min="3" max="3" width="15" customWidth="1"/>
    <col min="4" max="4" width="17.42578125" style="336" customWidth="1"/>
    <col min="5" max="5" width="17" customWidth="1"/>
    <col min="6" max="6" width="18" customWidth="1"/>
  </cols>
  <sheetData>
    <row r="1" spans="1:6" ht="52.5" hidden="1" customHeight="1" x14ac:dyDescent="0.2">
      <c r="B1" s="444" t="str">
        <f>"Приложение №"&amp;Н2софин&amp;"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C1" s="444"/>
      <c r="D1" s="444"/>
      <c r="E1" s="444"/>
      <c r="F1" s="444"/>
    </row>
    <row r="2" spans="1:6" ht="61.5" customHeight="1" x14ac:dyDescent="0.2">
      <c r="B2" s="444" t="str">
        <f>"Приложение "&amp;Н1софин&amp;" к решению
Богучанского районного Совета депутатов
от "&amp;Р1дата&amp;" года №"&amp;Р1номер</f>
        <v>Приложение 26 к решению
Богучанского районного Совета депутатов
от  04.12.2020 года №5/1-16</v>
      </c>
      <c r="C2" s="444"/>
      <c r="D2" s="444"/>
      <c r="E2" s="444"/>
      <c r="F2" s="444"/>
    </row>
    <row r="3" spans="1:6" ht="35.25" customHeight="1" x14ac:dyDescent="0.25">
      <c r="B3" s="443" t="str">
        <f>"Долевое финансирование мероприятий выделенных из
 краевого бюджета на  "&amp;год&amp;" год и плановый период "&amp;ПлПер&amp;" годов"</f>
        <v>Долевое финансирование мероприятий выделенных из
 краевого бюджета на  2021 год и плановый период 2022-2023 годов</v>
      </c>
      <c r="C3" s="443"/>
      <c r="D3" s="443"/>
      <c r="E3" s="443"/>
      <c r="F3" s="443"/>
    </row>
    <row r="4" spans="1:6" ht="20.25" x14ac:dyDescent="0.2">
      <c r="B4" s="248"/>
      <c r="C4" s="252"/>
      <c r="D4" s="394"/>
      <c r="E4" s="501" t="s">
        <v>73</v>
      </c>
      <c r="F4" s="501"/>
    </row>
    <row r="5" spans="1:6" ht="22.5" customHeight="1" x14ac:dyDescent="0.2">
      <c r="A5" s="42"/>
      <c r="B5" s="22" t="s">
        <v>22</v>
      </c>
      <c r="C5" s="169" t="s">
        <v>1516</v>
      </c>
      <c r="D5" s="395" t="s">
        <v>1525</v>
      </c>
      <c r="E5" s="22" t="s">
        <v>1523</v>
      </c>
      <c r="F5" s="22" t="s">
        <v>2082</v>
      </c>
    </row>
    <row r="6" spans="1:6" ht="15" x14ac:dyDescent="0.2">
      <c r="A6" s="42"/>
      <c r="B6" s="341" t="s">
        <v>74</v>
      </c>
      <c r="C6" s="393"/>
      <c r="D6" s="399">
        <f>SUM(D7:D31)</f>
        <v>5214421</v>
      </c>
      <c r="E6" s="399">
        <f t="shared" ref="E6:F6" si="0">SUM(E7:E31)</f>
        <v>1980105</v>
      </c>
      <c r="F6" s="399">
        <f t="shared" si="0"/>
        <v>1955505</v>
      </c>
    </row>
    <row r="7" spans="1:6" ht="142.5" x14ac:dyDescent="0.2">
      <c r="A7" s="342">
        <v>1</v>
      </c>
      <c r="B7" s="356" t="s">
        <v>1745</v>
      </c>
      <c r="C7" s="343" t="s">
        <v>1528</v>
      </c>
      <c r="D7" s="437">
        <v>140</v>
      </c>
      <c r="E7" s="437">
        <v>140</v>
      </c>
      <c r="F7" s="437">
        <v>140</v>
      </c>
    </row>
    <row r="8" spans="1:6" ht="85.5" x14ac:dyDescent="0.2">
      <c r="A8" s="342">
        <v>2</v>
      </c>
      <c r="B8" s="357" t="s">
        <v>1677</v>
      </c>
      <c r="C8" s="343" t="s">
        <v>1678</v>
      </c>
      <c r="D8" s="437">
        <v>447</v>
      </c>
      <c r="E8" s="437">
        <v>447</v>
      </c>
      <c r="F8" s="437">
        <v>447</v>
      </c>
    </row>
    <row r="9" spans="1:6" ht="57" x14ac:dyDescent="0.2">
      <c r="A9" s="342">
        <v>3</v>
      </c>
      <c r="B9" s="357" t="s">
        <v>1679</v>
      </c>
      <c r="C9" s="343" t="s">
        <v>1680</v>
      </c>
      <c r="D9" s="437">
        <v>1000</v>
      </c>
      <c r="E9" s="437">
        <v>1000</v>
      </c>
      <c r="F9" s="437">
        <v>1000</v>
      </c>
    </row>
    <row r="10" spans="1:6" ht="128.25" x14ac:dyDescent="0.2">
      <c r="A10" s="342">
        <v>4</v>
      </c>
      <c r="B10" s="356" t="s">
        <v>1746</v>
      </c>
      <c r="C10" s="343" t="s">
        <v>1531</v>
      </c>
      <c r="D10" s="437">
        <v>750000</v>
      </c>
      <c r="E10" s="437">
        <v>750000</v>
      </c>
      <c r="F10" s="437">
        <v>750000</v>
      </c>
    </row>
    <row r="11" spans="1:6" ht="85.5" x14ac:dyDescent="0.2">
      <c r="A11" s="342">
        <v>5</v>
      </c>
      <c r="B11" s="357" t="s">
        <v>1685</v>
      </c>
      <c r="C11" s="344" t="s">
        <v>1550</v>
      </c>
      <c r="D11" s="437">
        <v>675500</v>
      </c>
      <c r="E11" s="437">
        <v>772000</v>
      </c>
      <c r="F11" s="437">
        <v>772000</v>
      </c>
    </row>
    <row r="12" spans="1:6" ht="185.25" x14ac:dyDescent="0.2">
      <c r="A12" s="345">
        <v>6</v>
      </c>
      <c r="B12" s="357" t="s">
        <v>1693</v>
      </c>
      <c r="C12" s="344" t="s">
        <v>831</v>
      </c>
      <c r="D12" s="437">
        <v>348</v>
      </c>
      <c r="E12" s="437">
        <v>348</v>
      </c>
      <c r="F12" s="437">
        <v>348</v>
      </c>
    </row>
    <row r="13" spans="1:6" ht="142.5" x14ac:dyDescent="0.2">
      <c r="A13" s="345">
        <v>7</v>
      </c>
      <c r="B13" s="356" t="s">
        <v>1747</v>
      </c>
      <c r="C13" s="343" t="s">
        <v>1537</v>
      </c>
      <c r="D13" s="437">
        <v>539000</v>
      </c>
      <c r="E13" s="437">
        <v>0</v>
      </c>
      <c r="F13" s="437">
        <v>0</v>
      </c>
    </row>
    <row r="14" spans="1:6" ht="71.25" x14ac:dyDescent="0.2">
      <c r="A14" s="345">
        <v>8</v>
      </c>
      <c r="B14" s="356" t="s">
        <v>1748</v>
      </c>
      <c r="C14" s="343" t="s">
        <v>739</v>
      </c>
      <c r="D14" s="437">
        <v>206320</v>
      </c>
      <c r="E14" s="437">
        <v>206320</v>
      </c>
      <c r="F14" s="437">
        <v>206320</v>
      </c>
    </row>
    <row r="15" spans="1:6" ht="85.5" x14ac:dyDescent="0.2">
      <c r="A15" s="345">
        <v>9</v>
      </c>
      <c r="B15" s="356" t="s">
        <v>1749</v>
      </c>
      <c r="C15" s="343" t="s">
        <v>1394</v>
      </c>
      <c r="D15" s="438">
        <v>1500000</v>
      </c>
      <c r="E15" s="438"/>
      <c r="F15" s="438"/>
    </row>
    <row r="16" spans="1:6" ht="57" x14ac:dyDescent="0.2">
      <c r="A16" s="345">
        <v>10</v>
      </c>
      <c r="B16" s="356" t="s">
        <v>1541</v>
      </c>
      <c r="C16" s="343" t="s">
        <v>769</v>
      </c>
      <c r="D16" s="437">
        <v>87850</v>
      </c>
      <c r="E16" s="437">
        <v>87850</v>
      </c>
      <c r="F16" s="437">
        <v>87850</v>
      </c>
    </row>
    <row r="17" spans="1:6" ht="128.25" x14ac:dyDescent="0.2">
      <c r="A17" s="345">
        <v>11</v>
      </c>
      <c r="B17" s="357" t="s">
        <v>1686</v>
      </c>
      <c r="C17" s="358" t="s">
        <v>1551</v>
      </c>
      <c r="D17" s="437">
        <v>10000</v>
      </c>
      <c r="E17" s="437">
        <v>0</v>
      </c>
      <c r="F17" s="437">
        <v>0</v>
      </c>
    </row>
    <row r="18" spans="1:6" ht="71.25" hidden="1" x14ac:dyDescent="0.2">
      <c r="A18" s="345"/>
      <c r="B18" s="356" t="s">
        <v>1751</v>
      </c>
      <c r="C18" s="343" t="s">
        <v>1540</v>
      </c>
      <c r="D18" s="438">
        <f>17075-17075</f>
        <v>0</v>
      </c>
      <c r="E18" s="439">
        <f>17075-17075</f>
        <v>0</v>
      </c>
      <c r="F18" s="439"/>
    </row>
    <row r="19" spans="1:6" ht="128.25" x14ac:dyDescent="0.2">
      <c r="A19" s="345">
        <v>12</v>
      </c>
      <c r="B19" s="357" t="s">
        <v>1687</v>
      </c>
      <c r="C19" s="358" t="s">
        <v>1688</v>
      </c>
      <c r="D19" s="437">
        <v>14900</v>
      </c>
      <c r="E19" s="437">
        <v>77200</v>
      </c>
      <c r="F19" s="437">
        <v>77200</v>
      </c>
    </row>
    <row r="20" spans="1:6" ht="99.75" hidden="1" x14ac:dyDescent="0.2">
      <c r="A20" s="345"/>
      <c r="B20" s="356" t="s">
        <v>1731</v>
      </c>
      <c r="C20" s="359" t="s">
        <v>1732</v>
      </c>
      <c r="D20" s="438"/>
      <c r="E20" s="439"/>
      <c r="F20" s="439"/>
    </row>
    <row r="21" spans="1:6" ht="228" x14ac:dyDescent="0.2">
      <c r="A21" s="345">
        <v>13</v>
      </c>
      <c r="B21" s="376" t="s">
        <v>1744</v>
      </c>
      <c r="C21" s="359" t="s">
        <v>1729</v>
      </c>
      <c r="D21" s="437">
        <v>1065216</v>
      </c>
      <c r="E21" s="437">
        <v>0</v>
      </c>
      <c r="F21" s="437">
        <v>0</v>
      </c>
    </row>
    <row r="22" spans="1:6" ht="85.5" x14ac:dyDescent="0.2">
      <c r="A22" s="345">
        <v>14</v>
      </c>
      <c r="B22" s="279" t="s">
        <v>1750</v>
      </c>
      <c r="C22" s="359" t="s">
        <v>1733</v>
      </c>
      <c r="D22" s="437">
        <v>20000</v>
      </c>
      <c r="E22" s="437">
        <v>20000</v>
      </c>
      <c r="F22" s="437">
        <v>20000</v>
      </c>
    </row>
    <row r="23" spans="1:6" ht="88.5" hidden="1" customHeight="1" x14ac:dyDescent="0.2">
      <c r="A23" s="345"/>
      <c r="B23" s="396" t="s">
        <v>1908</v>
      </c>
      <c r="C23" s="397" t="s">
        <v>1909</v>
      </c>
      <c r="D23" s="440"/>
      <c r="E23" s="439"/>
      <c r="F23" s="439"/>
    </row>
    <row r="24" spans="1:6" ht="89.25" hidden="1" customHeight="1" x14ac:dyDescent="0.2">
      <c r="A24" s="345"/>
      <c r="B24" s="279" t="s">
        <v>1924</v>
      </c>
      <c r="C24" s="397" t="s">
        <v>1925</v>
      </c>
      <c r="D24" s="440"/>
      <c r="E24" s="439"/>
      <c r="F24" s="439"/>
    </row>
    <row r="25" spans="1:6" ht="113.25" hidden="1" customHeight="1" x14ac:dyDescent="0.2">
      <c r="A25" s="345"/>
      <c r="B25" s="400" t="s">
        <v>1918</v>
      </c>
      <c r="C25" s="397" t="s">
        <v>1919</v>
      </c>
      <c r="D25" s="440"/>
      <c r="E25" s="439"/>
      <c r="F25" s="439"/>
    </row>
    <row r="26" spans="1:6" ht="85.5" hidden="1" x14ac:dyDescent="0.2">
      <c r="A26" s="345"/>
      <c r="B26" s="396" t="s">
        <v>1920</v>
      </c>
      <c r="C26" s="397" t="s">
        <v>1921</v>
      </c>
      <c r="D26" s="440"/>
      <c r="E26" s="439"/>
      <c r="F26" s="439"/>
    </row>
    <row r="27" spans="1:6" ht="85.5" x14ac:dyDescent="0.2">
      <c r="A27" s="359">
        <v>15</v>
      </c>
      <c r="B27" s="406" t="s">
        <v>1973</v>
      </c>
      <c r="C27" s="407" t="s">
        <v>1970</v>
      </c>
      <c r="D27" s="437">
        <v>35100</v>
      </c>
      <c r="E27" s="437">
        <v>36000</v>
      </c>
      <c r="F27" s="437">
        <v>11400</v>
      </c>
    </row>
    <row r="28" spans="1:6" ht="85.5" hidden="1" x14ac:dyDescent="0.2">
      <c r="A28" s="359"/>
      <c r="B28" s="406" t="s">
        <v>1974</v>
      </c>
      <c r="C28" s="407" t="s">
        <v>1968</v>
      </c>
      <c r="D28" s="441"/>
      <c r="E28" s="439"/>
      <c r="F28" s="439"/>
    </row>
    <row r="29" spans="1:6" ht="85.5" hidden="1" x14ac:dyDescent="0.2">
      <c r="A29" s="359"/>
      <c r="B29" s="406" t="s">
        <v>1975</v>
      </c>
      <c r="C29" s="407" t="s">
        <v>1967</v>
      </c>
      <c r="D29" s="441"/>
      <c r="E29" s="439"/>
      <c r="F29" s="439"/>
    </row>
    <row r="30" spans="1:6" ht="71.25" x14ac:dyDescent="0.2">
      <c r="A30" s="359">
        <v>16</v>
      </c>
      <c r="B30" s="400" t="s">
        <v>2058</v>
      </c>
      <c r="C30" s="343" t="s">
        <v>2059</v>
      </c>
      <c r="D30" s="437">
        <v>250000</v>
      </c>
      <c r="E30" s="439"/>
      <c r="F30" s="439"/>
    </row>
    <row r="31" spans="1:6" ht="85.5" x14ac:dyDescent="0.2">
      <c r="A31" s="359">
        <v>17</v>
      </c>
      <c r="B31" s="279" t="s">
        <v>1740</v>
      </c>
      <c r="C31" s="442" t="s">
        <v>1741</v>
      </c>
      <c r="D31" s="437">
        <v>58600</v>
      </c>
      <c r="E31" s="437">
        <v>28800</v>
      </c>
      <c r="F31" s="437">
        <v>28800</v>
      </c>
    </row>
  </sheetData>
  <mergeCells count="4">
    <mergeCell ref="B3:F3"/>
    <mergeCell ref="B2:F2"/>
    <mergeCell ref="E4:F4"/>
    <mergeCell ref="B1:F1"/>
  </mergeCells>
  <pageMargins left="0.31496062992125984" right="0.31496062992125984" top="0.15748031496062992" bottom="0.35433070866141736" header="0.31496062992125984" footer="0.31496062992125984"/>
  <pageSetup paperSize="9" scale="7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A4" sqref="A4"/>
    </sheetView>
  </sheetViews>
  <sheetFormatPr defaultRowHeight="12.75" x14ac:dyDescent="0.2"/>
  <cols>
    <col min="1" max="1" width="56.42578125" customWidth="1"/>
    <col min="2" max="2" width="23.85546875" customWidth="1"/>
    <col min="3" max="4" width="15" customWidth="1"/>
  </cols>
  <sheetData>
    <row r="1" spans="1:4" ht="56.25" customHeight="1" x14ac:dyDescent="0.2">
      <c r="A1" s="444" t="str">
        <f>"Приложение №"&amp;Н2благ&amp;"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c r="C1" s="53"/>
      <c r="D1" s="53"/>
    </row>
    <row r="2" spans="1:4" ht="54" customHeight="1" x14ac:dyDescent="0.2">
      <c r="A2" s="444" t="str">
        <f>"Приложение №"&amp;Н1благ&amp;" к решению
Богучанского районного Совета депутатов
от "&amp;Р1дата&amp;" года №"&amp;Р1номер</f>
        <v>Приложение № к решению
Богучанского районного Совета депутатов
от  04.12.2020 года №5/1-16</v>
      </c>
      <c r="B2" s="444"/>
      <c r="C2" s="53"/>
      <c r="D2" s="53"/>
    </row>
    <row r="3" spans="1:4" ht="180" customHeight="1" x14ac:dyDescent="0.3">
      <c r="A3" s="484" t="s">
        <v>2099</v>
      </c>
      <c r="B3" s="484"/>
      <c r="C3" s="284"/>
      <c r="D3" s="285"/>
    </row>
    <row r="4" spans="1:4" x14ac:dyDescent="0.2">
      <c r="A4" s="3"/>
      <c r="B4" s="8" t="s">
        <v>73</v>
      </c>
      <c r="C4" s="8"/>
    </row>
    <row r="5" spans="1:4" x14ac:dyDescent="0.2">
      <c r="A5" s="32" t="s">
        <v>22</v>
      </c>
      <c r="B5" s="32" t="s">
        <v>1419</v>
      </c>
    </row>
    <row r="6" spans="1:4" ht="15" x14ac:dyDescent="0.2">
      <c r="A6" s="282" t="s">
        <v>74</v>
      </c>
      <c r="B6" s="35">
        <f>SUM(B7:B10)</f>
        <v>0</v>
      </c>
    </row>
    <row r="7" spans="1:4" ht="14.25" x14ac:dyDescent="0.2">
      <c r="A7" s="10" t="s">
        <v>1414</v>
      </c>
      <c r="B7" s="25"/>
    </row>
    <row r="8" spans="1:4" ht="14.25" hidden="1" x14ac:dyDescent="0.2">
      <c r="A8" s="10" t="s">
        <v>1402</v>
      </c>
      <c r="B8" s="25"/>
    </row>
    <row r="9" spans="1:4" ht="14.25" hidden="1" x14ac:dyDescent="0.2">
      <c r="A9" s="10" t="s">
        <v>145</v>
      </c>
      <c r="B9" s="25"/>
    </row>
  </sheetData>
  <mergeCells count="3">
    <mergeCell ref="A1:B1"/>
    <mergeCell ref="A2:B2"/>
    <mergeCell ref="A3:B3"/>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4"/>
  <sheetViews>
    <sheetView topLeftCell="A3" workbookViewId="0">
      <selection activeCell="L29" sqref="L29"/>
    </sheetView>
  </sheetViews>
  <sheetFormatPr defaultRowHeight="12.75" x14ac:dyDescent="0.2"/>
  <cols>
    <col min="1" max="1" width="42.140625" customWidth="1"/>
    <col min="2" max="2" width="18" customWidth="1"/>
    <col min="3" max="3" width="14.42578125" customWidth="1"/>
    <col min="4" max="4" width="14.28515625" customWidth="1"/>
  </cols>
  <sheetData>
    <row r="1" spans="1:4" ht="27" hidden="1" customHeight="1" x14ac:dyDescent="0.2">
      <c r="A1" s="444" t="str">
        <f>"Приложение №"&amp;H2ДК&amp;"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c r="C1" s="444"/>
      <c r="D1" s="444"/>
    </row>
    <row r="2" spans="1:4" ht="63" customHeight="1" x14ac:dyDescent="0.2">
      <c r="A2" s="444" t="str">
        <f>"Приложение №"&amp;H1ДК&amp;" к решению
Богучанского районного Совета депутатов
от "&amp;Р1дата&amp;" года №"&amp;Р1номер</f>
        <v>Приложение №20 к решению
Богучанского районного Совета депутатов
от  04.12.2020 года №5/1-16</v>
      </c>
      <c r="B2" s="444"/>
      <c r="C2" s="444"/>
      <c r="D2" s="444"/>
    </row>
    <row r="3" spans="1:4" ht="90" customHeight="1" x14ac:dyDescent="0.2">
      <c r="A3" s="484" t="s">
        <v>2093</v>
      </c>
      <c r="B3" s="484"/>
      <c r="C3" s="484"/>
      <c r="D3" s="484"/>
    </row>
    <row r="4" spans="1:4" x14ac:dyDescent="0.2">
      <c r="A4" s="177"/>
      <c r="B4" s="8"/>
      <c r="C4" s="8"/>
      <c r="D4" s="178" t="s">
        <v>73</v>
      </c>
    </row>
    <row r="5" spans="1:4" ht="14.25" x14ac:dyDescent="0.2">
      <c r="A5" s="22" t="s">
        <v>22</v>
      </c>
      <c r="B5" s="22" t="s">
        <v>1417</v>
      </c>
      <c r="C5" s="22" t="s">
        <v>1523</v>
      </c>
      <c r="D5" s="22" t="s">
        <v>2082</v>
      </c>
    </row>
    <row r="6" spans="1:4" ht="15" x14ac:dyDescent="0.2">
      <c r="A6" s="413" t="s">
        <v>74</v>
      </c>
      <c r="B6" s="301">
        <f>SUM(B7:B24)</f>
        <v>358900</v>
      </c>
      <c r="C6" s="301">
        <f>SUM(C7:C24)</f>
        <v>358900</v>
      </c>
      <c r="D6" s="301">
        <f>SUM(D7:D24)</f>
        <v>358900</v>
      </c>
    </row>
    <row r="7" spans="1:4" ht="14.25" x14ac:dyDescent="0.2">
      <c r="A7" s="41" t="s">
        <v>59</v>
      </c>
      <c r="B7" s="299">
        <v>258900</v>
      </c>
      <c r="C7" s="299"/>
      <c r="D7" s="299"/>
    </row>
    <row r="8" spans="1:4" ht="28.5" hidden="1" x14ac:dyDescent="0.2">
      <c r="A8" s="41" t="s">
        <v>85</v>
      </c>
      <c r="B8" s="299"/>
      <c r="C8" s="299"/>
      <c r="D8" s="299"/>
    </row>
    <row r="9" spans="1:4" ht="28.5" hidden="1" x14ac:dyDescent="0.2">
      <c r="A9" s="41" t="s">
        <v>171</v>
      </c>
      <c r="B9" s="299"/>
      <c r="C9" s="299"/>
      <c r="D9" s="299"/>
    </row>
    <row r="10" spans="1:4" ht="14.25" x14ac:dyDescent="0.2">
      <c r="A10" s="42" t="s">
        <v>60</v>
      </c>
      <c r="B10" s="300"/>
      <c r="C10" s="300"/>
      <c r="D10" s="300">
        <v>258900</v>
      </c>
    </row>
    <row r="11" spans="1:4" ht="28.5" hidden="1" x14ac:dyDescent="0.2">
      <c r="A11" s="41" t="s">
        <v>61</v>
      </c>
      <c r="B11" s="300"/>
      <c r="C11" s="300"/>
      <c r="D11" s="300"/>
    </row>
    <row r="12" spans="1:4" ht="28.5" hidden="1" x14ac:dyDescent="0.2">
      <c r="A12" s="43" t="s">
        <v>247</v>
      </c>
      <c r="B12" s="300"/>
      <c r="C12" s="300"/>
      <c r="D12" s="300"/>
    </row>
    <row r="13" spans="1:4" ht="28.5" hidden="1" x14ac:dyDescent="0.2">
      <c r="A13" s="41" t="s">
        <v>86</v>
      </c>
      <c r="B13" s="300"/>
      <c r="C13" s="300"/>
      <c r="D13" s="300"/>
    </row>
    <row r="14" spans="1:4" ht="14.25" hidden="1" x14ac:dyDescent="0.2">
      <c r="A14" s="41" t="s">
        <v>142</v>
      </c>
      <c r="B14" s="300"/>
      <c r="C14" s="300"/>
      <c r="D14" s="300"/>
    </row>
    <row r="15" spans="1:4" ht="28.5" hidden="1" x14ac:dyDescent="0.2">
      <c r="A15" s="41" t="s">
        <v>143</v>
      </c>
      <c r="B15" s="300"/>
      <c r="C15" s="300"/>
      <c r="D15" s="300"/>
    </row>
    <row r="16" spans="1:4" ht="28.5" x14ac:dyDescent="0.2">
      <c r="A16" s="41" t="s">
        <v>87</v>
      </c>
      <c r="B16" s="300">
        <v>100000</v>
      </c>
      <c r="C16" s="300"/>
      <c r="D16" s="300"/>
    </row>
    <row r="17" spans="1:4" ht="14.25" x14ac:dyDescent="0.2">
      <c r="A17" s="42" t="s">
        <v>89</v>
      </c>
      <c r="B17" s="300"/>
      <c r="C17" s="300">
        <v>358900</v>
      </c>
      <c r="D17" s="300"/>
    </row>
    <row r="18" spans="1:4" ht="28.5" hidden="1" x14ac:dyDescent="0.2">
      <c r="A18" s="41" t="s">
        <v>172</v>
      </c>
      <c r="B18" s="300"/>
      <c r="C18" s="300"/>
      <c r="D18" s="300"/>
    </row>
    <row r="19" spans="1:4" ht="14.25" hidden="1" x14ac:dyDescent="0.2">
      <c r="A19" s="41" t="s">
        <v>88</v>
      </c>
      <c r="B19" s="300"/>
      <c r="C19" s="300"/>
      <c r="D19" s="300"/>
    </row>
    <row r="20" spans="1:4" ht="28.5" hidden="1" x14ac:dyDescent="0.2">
      <c r="A20" s="41" t="s">
        <v>90</v>
      </c>
      <c r="B20" s="300"/>
      <c r="C20" s="300"/>
      <c r="D20" s="300"/>
    </row>
    <row r="21" spans="1:4" ht="28.5" x14ac:dyDescent="0.2">
      <c r="A21" s="41" t="s">
        <v>91</v>
      </c>
      <c r="B21" s="300"/>
      <c r="C21" s="300"/>
      <c r="D21" s="300">
        <v>100000</v>
      </c>
    </row>
    <row r="22" spans="1:4" ht="28.5" hidden="1" x14ac:dyDescent="0.2">
      <c r="A22" s="41" t="s">
        <v>145</v>
      </c>
      <c r="B22" s="300"/>
      <c r="C22" s="367"/>
      <c r="D22" s="367"/>
    </row>
    <row r="23" spans="1:4" ht="14.25" hidden="1" x14ac:dyDescent="0.2">
      <c r="A23" s="41" t="s">
        <v>146</v>
      </c>
      <c r="B23" s="300"/>
      <c r="C23" s="367"/>
      <c r="D23" s="367"/>
    </row>
    <row r="24" spans="1:4" ht="14.25" hidden="1" x14ac:dyDescent="0.2">
      <c r="A24" s="365" t="s">
        <v>92</v>
      </c>
      <c r="B24" s="366"/>
    </row>
  </sheetData>
  <mergeCells count="3">
    <mergeCell ref="A1:D1"/>
    <mergeCell ref="A2:D2"/>
    <mergeCell ref="A3:D3"/>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24"/>
  <sheetViews>
    <sheetView workbookViewId="0">
      <selection activeCell="B6" sqref="B6"/>
    </sheetView>
  </sheetViews>
  <sheetFormatPr defaultRowHeight="12.75" x14ac:dyDescent="0.2"/>
  <cols>
    <col min="1" max="1" width="69" customWidth="1"/>
    <col min="2" max="2" width="27" customWidth="1"/>
    <col min="3" max="3" width="14.42578125" hidden="1" customWidth="1"/>
    <col min="4" max="4" width="14.28515625" hidden="1" customWidth="1"/>
  </cols>
  <sheetData>
    <row r="1" spans="1:4" ht="45.75" customHeight="1" x14ac:dyDescent="0.2">
      <c r="A1" s="444" t="s">
        <v>1976</v>
      </c>
      <c r="B1" s="444"/>
      <c r="C1" s="444"/>
      <c r="D1" s="444"/>
    </row>
    <row r="2" spans="1:4" ht="63" customHeight="1" x14ac:dyDescent="0.2">
      <c r="A2" s="444" t="s">
        <v>1962</v>
      </c>
      <c r="B2" s="444"/>
      <c r="C2" s="444"/>
      <c r="D2" s="444"/>
    </row>
    <row r="3" spans="1:4" ht="90" customHeight="1" x14ac:dyDescent="0.2">
      <c r="A3" s="484"/>
      <c r="B3" s="484"/>
      <c r="C3" s="484"/>
      <c r="D3" s="484"/>
    </row>
    <row r="4" spans="1:4" x14ac:dyDescent="0.2">
      <c r="A4" s="177"/>
      <c r="B4" s="8"/>
      <c r="C4" s="8"/>
      <c r="D4" s="178" t="s">
        <v>73</v>
      </c>
    </row>
    <row r="5" spans="1:4" ht="15" x14ac:dyDescent="0.2">
      <c r="A5" s="199" t="s">
        <v>22</v>
      </c>
      <c r="B5" s="199" t="s">
        <v>1417</v>
      </c>
      <c r="C5" s="199" t="s">
        <v>1417</v>
      </c>
      <c r="D5" s="199" t="s">
        <v>1523</v>
      </c>
    </row>
    <row r="6" spans="1:4" ht="15" x14ac:dyDescent="0.2">
      <c r="A6" s="179" t="s">
        <v>74</v>
      </c>
      <c r="B6" s="301">
        <f>SUM(B7:B24)</f>
        <v>0</v>
      </c>
      <c r="C6" s="301" t="e">
        <f>SUM(#REF!)</f>
        <v>#REF!</v>
      </c>
      <c r="D6" s="301" t="e">
        <f>SUM(#REF!)</f>
        <v>#REF!</v>
      </c>
    </row>
    <row r="7" spans="1:4" ht="15" x14ac:dyDescent="0.2">
      <c r="A7" s="379" t="s">
        <v>59</v>
      </c>
      <c r="B7" s="381"/>
    </row>
    <row r="8" spans="1:4" ht="15" x14ac:dyDescent="0.2">
      <c r="A8" s="379" t="s">
        <v>1876</v>
      </c>
      <c r="B8" s="381"/>
    </row>
    <row r="9" spans="1:4" ht="15" x14ac:dyDescent="0.2">
      <c r="A9" s="379" t="s">
        <v>171</v>
      </c>
      <c r="B9" s="381"/>
    </row>
    <row r="10" spans="1:4" ht="15" x14ac:dyDescent="0.2">
      <c r="A10" s="379" t="s">
        <v>60</v>
      </c>
      <c r="B10" s="381"/>
    </row>
    <row r="11" spans="1:4" ht="15" x14ac:dyDescent="0.2">
      <c r="A11" s="379" t="s">
        <v>61</v>
      </c>
      <c r="B11" s="381"/>
    </row>
    <row r="12" spans="1:4" ht="15" x14ac:dyDescent="0.2">
      <c r="A12" s="379" t="s">
        <v>247</v>
      </c>
      <c r="B12" s="381"/>
    </row>
    <row r="13" spans="1:4" ht="15" x14ac:dyDescent="0.2">
      <c r="A13" s="379" t="s">
        <v>1121</v>
      </c>
      <c r="B13" s="381"/>
    </row>
    <row r="14" spans="1:4" ht="15" x14ac:dyDescent="0.2">
      <c r="A14" s="379" t="s">
        <v>142</v>
      </c>
      <c r="B14" s="381"/>
    </row>
    <row r="15" spans="1:4" ht="15" x14ac:dyDescent="0.2">
      <c r="A15" s="379" t="s">
        <v>143</v>
      </c>
      <c r="B15" s="381"/>
    </row>
    <row r="16" spans="1:4" ht="15" x14ac:dyDescent="0.2">
      <c r="A16" s="379" t="s">
        <v>87</v>
      </c>
      <c r="B16" s="381"/>
    </row>
    <row r="17" spans="1:2" ht="15" x14ac:dyDescent="0.2">
      <c r="A17" s="379" t="s">
        <v>89</v>
      </c>
      <c r="B17" s="381"/>
    </row>
    <row r="18" spans="1:2" ht="15" x14ac:dyDescent="0.2">
      <c r="A18" s="379" t="s">
        <v>172</v>
      </c>
      <c r="B18" s="381"/>
    </row>
    <row r="19" spans="1:2" ht="15" x14ac:dyDescent="0.2">
      <c r="A19" s="379" t="s">
        <v>88</v>
      </c>
      <c r="B19" s="381"/>
    </row>
    <row r="20" spans="1:2" ht="15" x14ac:dyDescent="0.2">
      <c r="A20" s="379" t="s">
        <v>1877</v>
      </c>
      <c r="B20" s="381"/>
    </row>
    <row r="21" spans="1:2" ht="15" x14ac:dyDescent="0.25">
      <c r="A21" s="382" t="s">
        <v>1879</v>
      </c>
      <c r="B21" s="381"/>
    </row>
    <row r="22" spans="1:2" ht="15" x14ac:dyDescent="0.2">
      <c r="A22" s="379" t="s">
        <v>145</v>
      </c>
      <c r="B22" s="381"/>
    </row>
    <row r="23" spans="1:2" ht="15" x14ac:dyDescent="0.2">
      <c r="A23" s="379" t="s">
        <v>146</v>
      </c>
      <c r="B23" s="381"/>
    </row>
    <row r="24" spans="1:2" ht="15" x14ac:dyDescent="0.25">
      <c r="A24" s="382" t="s">
        <v>92</v>
      </c>
      <c r="B24" s="381"/>
    </row>
  </sheetData>
  <mergeCells count="3">
    <mergeCell ref="A1:D1"/>
    <mergeCell ref="A2:D2"/>
    <mergeCell ref="A3:D3"/>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24"/>
  <sheetViews>
    <sheetView workbookViewId="0">
      <selection activeCell="B7" sqref="B7:B24"/>
    </sheetView>
  </sheetViews>
  <sheetFormatPr defaultRowHeight="12.75" x14ac:dyDescent="0.2"/>
  <cols>
    <col min="1" max="1" width="60.85546875" customWidth="1"/>
    <col min="2" max="2" width="24.5703125" customWidth="1"/>
  </cols>
  <sheetData>
    <row r="1" spans="1:2" ht="54.75" customHeight="1" x14ac:dyDescent="0.2">
      <c r="A1" s="444" t="str">
        <f>"Приложение №"&amp;Н2потенц&amp;"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row>
    <row r="2" spans="1:2" ht="52.5" customHeight="1" x14ac:dyDescent="0.2">
      <c r="A2" s="444" t="str">
        <f>"Приложение №"&amp;Н1потенц&amp;" к решению
Богучанского районного Совета депутатов
от "&amp;Р1дата&amp;" года №"&amp;Р1номер</f>
        <v>Приложение № к решению
Богучанского районного Совета депутатов
от  04.12.2020 года №5/1-16</v>
      </c>
      <c r="B2" s="444"/>
    </row>
    <row r="3" spans="1:2" ht="124.5" customHeight="1" x14ac:dyDescent="0.25">
      <c r="A3" s="443" t="s">
        <v>2100</v>
      </c>
      <c r="B3" s="443"/>
    </row>
    <row r="4" spans="1:2" x14ac:dyDescent="0.2">
      <c r="A4" s="3"/>
      <c r="B4" s="8"/>
    </row>
    <row r="5" spans="1:2" ht="14.25" x14ac:dyDescent="0.2">
      <c r="A5" s="22" t="s">
        <v>22</v>
      </c>
      <c r="B5" s="22" t="s">
        <v>1417</v>
      </c>
    </row>
    <row r="6" spans="1:2" ht="15" x14ac:dyDescent="0.2">
      <c r="A6" s="304" t="s">
        <v>74</v>
      </c>
      <c r="B6" s="301">
        <f>SUM(B7:B27)</f>
        <v>0</v>
      </c>
    </row>
    <row r="7" spans="1:2" ht="14.25" x14ac:dyDescent="0.2">
      <c r="A7" s="305" t="s">
        <v>59</v>
      </c>
      <c r="B7" s="306"/>
    </row>
    <row r="8" spans="1:2" ht="14.25" x14ac:dyDescent="0.2">
      <c r="A8" s="305" t="s">
        <v>85</v>
      </c>
      <c r="B8" s="306"/>
    </row>
    <row r="9" spans="1:2" ht="14.25" x14ac:dyDescent="0.2">
      <c r="A9" s="305" t="s">
        <v>1411</v>
      </c>
      <c r="B9" s="306"/>
    </row>
    <row r="10" spans="1:2" ht="14.25" x14ac:dyDescent="0.2">
      <c r="A10" s="305" t="s">
        <v>1412</v>
      </c>
      <c r="B10" s="306"/>
    </row>
    <row r="11" spans="1:2" ht="14.25" x14ac:dyDescent="0.2">
      <c r="A11" s="305" t="s">
        <v>61</v>
      </c>
      <c r="B11" s="306"/>
    </row>
    <row r="12" spans="1:2" ht="14.25" x14ac:dyDescent="0.2">
      <c r="A12" s="305" t="s">
        <v>247</v>
      </c>
      <c r="B12" s="306"/>
    </row>
    <row r="13" spans="1:2" ht="14.25" x14ac:dyDescent="0.2">
      <c r="A13" s="305" t="s">
        <v>86</v>
      </c>
      <c r="B13" s="306"/>
    </row>
    <row r="14" spans="1:2" ht="14.25" x14ac:dyDescent="0.2">
      <c r="A14" s="305" t="s">
        <v>142</v>
      </c>
      <c r="B14" s="306"/>
    </row>
    <row r="15" spans="1:2" ht="14.25" x14ac:dyDescent="0.2">
      <c r="A15" s="305" t="s">
        <v>87</v>
      </c>
      <c r="B15" s="306"/>
    </row>
    <row r="16" spans="1:2" ht="14.25" x14ac:dyDescent="0.2">
      <c r="A16" s="305" t="s">
        <v>143</v>
      </c>
      <c r="B16" s="306"/>
    </row>
    <row r="17" spans="1:2" ht="14.25" x14ac:dyDescent="0.2">
      <c r="A17" s="305" t="s">
        <v>1413</v>
      </c>
      <c r="B17" s="306"/>
    </row>
    <row r="18" spans="1:2" ht="14.25" x14ac:dyDescent="0.2">
      <c r="A18" s="305" t="s">
        <v>89</v>
      </c>
      <c r="B18" s="306"/>
    </row>
    <row r="19" spans="1:2" ht="14.25" x14ac:dyDescent="0.2">
      <c r="A19" s="305" t="s">
        <v>88</v>
      </c>
      <c r="B19" s="306"/>
    </row>
    <row r="20" spans="1:2" ht="14.25" x14ac:dyDescent="0.2">
      <c r="A20" s="305" t="s">
        <v>91</v>
      </c>
      <c r="B20" s="306"/>
    </row>
    <row r="21" spans="1:2" ht="14.25" x14ac:dyDescent="0.2">
      <c r="A21" s="305" t="s">
        <v>1414</v>
      </c>
      <c r="B21" s="306"/>
    </row>
    <row r="22" spans="1:2" ht="14.25" x14ac:dyDescent="0.2">
      <c r="A22" s="305" t="s">
        <v>145</v>
      </c>
      <c r="B22" s="306"/>
    </row>
    <row r="23" spans="1:2" ht="14.25" x14ac:dyDescent="0.2">
      <c r="A23" s="305" t="s">
        <v>146</v>
      </c>
      <c r="B23" s="306"/>
    </row>
    <row r="24" spans="1:2" ht="14.25" x14ac:dyDescent="0.2">
      <c r="A24" s="305" t="s">
        <v>92</v>
      </c>
      <c r="B24" s="306"/>
    </row>
  </sheetData>
  <mergeCells count="3">
    <mergeCell ref="A1:B1"/>
    <mergeCell ref="A2:B2"/>
    <mergeCell ref="A3:B3"/>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6"/>
  <dimension ref="A1:L713"/>
  <sheetViews>
    <sheetView workbookViewId="0">
      <selection activeCell="B6" sqref="B6"/>
    </sheetView>
  </sheetViews>
  <sheetFormatPr defaultColWidth="8.7109375" defaultRowHeight="12.75" x14ac:dyDescent="0.2"/>
  <cols>
    <col min="1" max="1" width="27.5703125" customWidth="1"/>
    <col min="2" max="2" width="22.42578125" style="1" customWidth="1"/>
    <col min="3" max="3" width="22.5703125" customWidth="1"/>
    <col min="7" max="7" width="10.140625" style="389" bestFit="1" customWidth="1"/>
    <col min="10" max="12" width="15.5703125" bestFit="1" customWidth="1"/>
  </cols>
  <sheetData>
    <row r="1" spans="1:12" x14ac:dyDescent="0.2">
      <c r="A1" t="s">
        <v>109</v>
      </c>
      <c r="B1" s="1">
        <v>2021</v>
      </c>
    </row>
    <row r="2" spans="1:12" x14ac:dyDescent="0.2">
      <c r="A2" t="s">
        <v>282</v>
      </c>
      <c r="B2" s="1" t="s">
        <v>1983</v>
      </c>
    </row>
    <row r="3" spans="1:12" x14ac:dyDescent="0.2">
      <c r="A3" t="s">
        <v>272</v>
      </c>
      <c r="B3" s="2" t="s">
        <v>2114</v>
      </c>
    </row>
    <row r="4" spans="1:12" x14ac:dyDescent="0.2">
      <c r="A4" t="s">
        <v>273</v>
      </c>
      <c r="B4" s="237" t="s">
        <v>2115</v>
      </c>
      <c r="G4" s="389" t="s">
        <v>1890</v>
      </c>
      <c r="H4" s="385" t="s">
        <v>1880</v>
      </c>
      <c r="J4" s="386">
        <v>2020</v>
      </c>
      <c r="K4" s="386">
        <v>2021</v>
      </c>
      <c r="L4" s="386">
        <v>2022</v>
      </c>
    </row>
    <row r="5" spans="1:12" x14ac:dyDescent="0.2">
      <c r="A5" t="s">
        <v>651</v>
      </c>
      <c r="B5" s="2" t="s">
        <v>2116</v>
      </c>
      <c r="G5" s="389">
        <v>21</v>
      </c>
      <c r="H5" t="s">
        <v>1881</v>
      </c>
      <c r="J5" s="411">
        <v>2500000</v>
      </c>
      <c r="K5" s="411">
        <v>2500000</v>
      </c>
      <c r="L5" s="411">
        <v>2500000</v>
      </c>
    </row>
    <row r="6" spans="1:12" x14ac:dyDescent="0.2">
      <c r="A6" t="s">
        <v>652</v>
      </c>
      <c r="B6" s="237" t="s">
        <v>2115</v>
      </c>
      <c r="G6" s="389">
        <v>22</v>
      </c>
      <c r="H6" t="s">
        <v>1882</v>
      </c>
      <c r="J6" s="411">
        <v>36570000</v>
      </c>
      <c r="K6" s="411">
        <v>28250000</v>
      </c>
      <c r="L6" s="411">
        <v>28250000</v>
      </c>
    </row>
    <row r="7" spans="1:12" x14ac:dyDescent="0.2">
      <c r="H7" t="s">
        <v>1903</v>
      </c>
      <c r="J7" s="383"/>
      <c r="K7" s="383"/>
      <c r="L7" s="383"/>
    </row>
    <row r="8" spans="1:12" x14ac:dyDescent="0.2">
      <c r="A8" s="3"/>
      <c r="B8" s="4"/>
      <c r="C8" s="3"/>
      <c r="D8" s="3"/>
      <c r="E8" s="3"/>
      <c r="G8" s="390"/>
      <c r="H8" s="230" t="s">
        <v>1883</v>
      </c>
      <c r="I8" s="230"/>
      <c r="J8" s="384">
        <f>SUM(J5:J7)</f>
        <v>39070000</v>
      </c>
      <c r="K8" s="384">
        <f>SUM(K5:K7)</f>
        <v>30750000</v>
      </c>
      <c r="L8" s="384">
        <f>SUM(L5:L7)</f>
        <v>30750000</v>
      </c>
    </row>
    <row r="9" spans="1:12" x14ac:dyDescent="0.2">
      <c r="A9" s="5" t="s">
        <v>281</v>
      </c>
      <c r="B9" s="408" t="s">
        <v>280</v>
      </c>
      <c r="C9" s="408" t="s">
        <v>653</v>
      </c>
      <c r="D9" s="3"/>
      <c r="E9" s="3"/>
      <c r="J9" s="383"/>
      <c r="K9" s="383"/>
      <c r="L9" s="383"/>
    </row>
    <row r="10" spans="1:12" x14ac:dyDescent="0.2">
      <c r="A10" s="5" t="s">
        <v>110</v>
      </c>
      <c r="B10" s="436">
        <v>1</v>
      </c>
      <c r="C10" s="6"/>
      <c r="D10" s="3"/>
      <c r="E10" s="3"/>
      <c r="J10" s="383"/>
      <c r="K10" s="383"/>
      <c r="L10" s="383"/>
    </row>
    <row r="11" spans="1:12" x14ac:dyDescent="0.2">
      <c r="A11" s="5" t="s">
        <v>117</v>
      </c>
      <c r="B11" s="436">
        <v>2</v>
      </c>
      <c r="C11" s="6"/>
      <c r="D11" s="3"/>
      <c r="E11" s="3"/>
      <c r="J11" s="383"/>
      <c r="K11" s="383"/>
      <c r="L11" s="383"/>
    </row>
    <row r="12" spans="1:12" x14ac:dyDescent="0.2">
      <c r="A12" s="5" t="s">
        <v>118</v>
      </c>
      <c r="B12" s="436">
        <v>3</v>
      </c>
      <c r="C12" s="6"/>
      <c r="D12" s="3"/>
      <c r="E12" s="3"/>
      <c r="H12" s="385" t="s">
        <v>1885</v>
      </c>
      <c r="J12" s="383"/>
      <c r="K12" s="383"/>
      <c r="L12" s="383"/>
    </row>
    <row r="13" spans="1:12" x14ac:dyDescent="0.2">
      <c r="A13" s="5" t="s">
        <v>1078</v>
      </c>
      <c r="B13" s="436"/>
      <c r="C13" s="6"/>
      <c r="D13" s="3"/>
      <c r="E13" s="3"/>
      <c r="G13" s="389">
        <v>14</v>
      </c>
      <c r="H13" t="s">
        <v>1886</v>
      </c>
      <c r="J13" s="411">
        <v>265800</v>
      </c>
      <c r="K13" s="411">
        <v>265800</v>
      </c>
      <c r="L13" s="411">
        <v>265800</v>
      </c>
    </row>
    <row r="14" spans="1:12" x14ac:dyDescent="0.2">
      <c r="A14" s="5" t="s">
        <v>119</v>
      </c>
      <c r="B14" s="436">
        <v>4</v>
      </c>
      <c r="C14" s="6"/>
      <c r="D14" s="3"/>
      <c r="E14" s="3"/>
      <c r="G14" s="389">
        <v>15</v>
      </c>
      <c r="H14" t="s">
        <v>1887</v>
      </c>
      <c r="J14" s="411">
        <v>4948600</v>
      </c>
      <c r="K14" s="411">
        <v>5097000</v>
      </c>
      <c r="L14" s="383"/>
    </row>
    <row r="15" spans="1:12" x14ac:dyDescent="0.2">
      <c r="A15" s="5" t="s">
        <v>1977</v>
      </c>
      <c r="B15" s="436">
        <v>5</v>
      </c>
      <c r="C15" s="6"/>
      <c r="D15" s="3"/>
      <c r="E15" s="3"/>
      <c r="J15" s="383"/>
      <c r="K15" s="383"/>
      <c r="L15" s="383"/>
    </row>
    <row r="16" spans="1:12" x14ac:dyDescent="0.2">
      <c r="A16" s="5" t="s">
        <v>1978</v>
      </c>
      <c r="B16" s="436">
        <v>6</v>
      </c>
      <c r="C16" s="6"/>
      <c r="D16" s="3"/>
      <c r="E16" s="3"/>
      <c r="J16" s="383"/>
      <c r="K16" s="383"/>
      <c r="L16" s="383"/>
    </row>
    <row r="17" spans="1:12" x14ac:dyDescent="0.2">
      <c r="A17" s="5" t="s">
        <v>1979</v>
      </c>
      <c r="B17" s="436">
        <v>7</v>
      </c>
      <c r="C17" s="6"/>
      <c r="D17" s="3"/>
      <c r="E17" s="3"/>
      <c r="J17" s="383"/>
      <c r="K17" s="383"/>
      <c r="L17" s="383"/>
    </row>
    <row r="18" spans="1:12" x14ac:dyDescent="0.2">
      <c r="A18" s="5" t="s">
        <v>1980</v>
      </c>
      <c r="B18" s="436">
        <v>8</v>
      </c>
      <c r="C18" s="6"/>
      <c r="D18" s="3"/>
      <c r="E18" s="3"/>
      <c r="H18" s="387" t="s">
        <v>1883</v>
      </c>
      <c r="I18" s="387"/>
      <c r="J18" s="388">
        <f>SUM(J13:J14)</f>
        <v>5214400</v>
      </c>
      <c r="K18" s="388">
        <f>SUM(K13:K14)</f>
        <v>5362800</v>
      </c>
      <c r="L18" s="388">
        <f>SUM(L13:L14)</f>
        <v>265800</v>
      </c>
    </row>
    <row r="19" spans="1:12" x14ac:dyDescent="0.2">
      <c r="A19" s="5" t="s">
        <v>1981</v>
      </c>
      <c r="B19" s="436">
        <v>9</v>
      </c>
      <c r="C19" s="6"/>
      <c r="D19" s="3"/>
      <c r="E19" s="3"/>
      <c r="J19" s="383"/>
      <c r="K19" s="383"/>
      <c r="L19" s="383"/>
    </row>
    <row r="20" spans="1:12" x14ac:dyDescent="0.2">
      <c r="A20" s="5" t="s">
        <v>1982</v>
      </c>
      <c r="B20" s="436">
        <v>10</v>
      </c>
      <c r="C20" s="6"/>
      <c r="D20" s="3"/>
      <c r="E20" s="3"/>
      <c r="J20" s="383"/>
      <c r="K20" s="383"/>
      <c r="L20" s="383"/>
    </row>
    <row r="21" spans="1:12" x14ac:dyDescent="0.2">
      <c r="A21" s="5" t="s">
        <v>12</v>
      </c>
      <c r="B21" s="6">
        <v>11</v>
      </c>
      <c r="C21" s="6"/>
      <c r="D21" s="3"/>
      <c r="E21" s="3"/>
      <c r="J21" s="383"/>
      <c r="K21" s="383"/>
      <c r="L21" s="383"/>
    </row>
    <row r="22" spans="1:12" x14ac:dyDescent="0.2">
      <c r="A22" s="5" t="s">
        <v>116</v>
      </c>
      <c r="B22" s="283">
        <v>12</v>
      </c>
      <c r="C22" s="6"/>
      <c r="D22" s="3"/>
      <c r="E22" s="3"/>
      <c r="J22" s="383"/>
      <c r="K22" s="383"/>
      <c r="L22" s="383"/>
    </row>
    <row r="23" spans="1:12" x14ac:dyDescent="0.2">
      <c r="A23" s="5" t="s">
        <v>113</v>
      </c>
      <c r="B23" s="6">
        <v>22</v>
      </c>
      <c r="C23" s="6"/>
      <c r="D23" s="3" t="s">
        <v>1884</v>
      </c>
      <c r="E23" s="3"/>
      <c r="H23" s="385" t="s">
        <v>1889</v>
      </c>
      <c r="J23" s="383"/>
      <c r="K23" s="383"/>
      <c r="L23" s="383"/>
    </row>
    <row r="24" spans="1:12" x14ac:dyDescent="0.2">
      <c r="A24" s="5" t="s">
        <v>111</v>
      </c>
      <c r="B24" s="6">
        <v>13</v>
      </c>
      <c r="C24" s="6"/>
      <c r="D24" s="3"/>
      <c r="E24" s="3"/>
      <c r="G24" s="389">
        <v>16</v>
      </c>
      <c r="H24" t="s">
        <v>1891</v>
      </c>
      <c r="J24" s="411">
        <v>4102441</v>
      </c>
      <c r="K24" s="411">
        <v>4102441</v>
      </c>
      <c r="L24" s="411">
        <v>4102441</v>
      </c>
    </row>
    <row r="25" spans="1:12" x14ac:dyDescent="0.2">
      <c r="A25" s="5" t="s">
        <v>112</v>
      </c>
      <c r="B25" s="6">
        <v>21</v>
      </c>
      <c r="C25" s="6"/>
      <c r="D25" s="3" t="s">
        <v>1884</v>
      </c>
      <c r="E25" s="3"/>
      <c r="G25" s="389">
        <v>17</v>
      </c>
      <c r="H25" t="s">
        <v>1893</v>
      </c>
      <c r="J25" s="411">
        <v>26207500</v>
      </c>
      <c r="K25" s="411">
        <v>26207500</v>
      </c>
      <c r="L25" s="411">
        <v>26207500</v>
      </c>
    </row>
    <row r="26" spans="1:12" x14ac:dyDescent="0.2">
      <c r="A26" s="5" t="s">
        <v>202</v>
      </c>
      <c r="B26" s="6">
        <v>14</v>
      </c>
      <c r="C26" s="6"/>
      <c r="D26" s="3" t="s">
        <v>1888</v>
      </c>
      <c r="E26" s="3"/>
      <c r="G26" s="389">
        <v>18</v>
      </c>
      <c r="H26" t="s">
        <v>1894</v>
      </c>
      <c r="J26" s="411">
        <v>94700</v>
      </c>
      <c r="K26" s="411">
        <v>94700</v>
      </c>
      <c r="L26" s="411">
        <v>94700</v>
      </c>
    </row>
    <row r="27" spans="1:12" x14ac:dyDescent="0.2">
      <c r="A27" s="5" t="s">
        <v>168</v>
      </c>
      <c r="B27" s="6">
        <v>24</v>
      </c>
      <c r="C27" s="6"/>
      <c r="D27" s="3"/>
      <c r="E27" s="3"/>
      <c r="H27" t="s">
        <v>1895</v>
      </c>
      <c r="J27" s="383"/>
      <c r="K27" s="383"/>
      <c r="L27" s="383"/>
    </row>
    <row r="28" spans="1:12" x14ac:dyDescent="0.2">
      <c r="A28" s="5" t="s">
        <v>114</v>
      </c>
      <c r="B28" s="6">
        <v>15</v>
      </c>
      <c r="C28" s="6"/>
      <c r="D28" s="3" t="s">
        <v>1888</v>
      </c>
      <c r="E28" s="3"/>
      <c r="G28" s="389">
        <v>19</v>
      </c>
      <c r="H28" t="s">
        <v>1896</v>
      </c>
      <c r="J28" s="411">
        <v>8450180</v>
      </c>
      <c r="K28" s="411">
        <v>8788200</v>
      </c>
      <c r="L28" s="411">
        <v>9145700</v>
      </c>
    </row>
    <row r="29" spans="1:12" x14ac:dyDescent="0.2">
      <c r="A29" s="5" t="s">
        <v>115</v>
      </c>
      <c r="B29" s="6">
        <v>25</v>
      </c>
      <c r="C29" s="6"/>
      <c r="D29" s="3"/>
      <c r="E29" s="3"/>
      <c r="H29" t="s">
        <v>1897</v>
      </c>
      <c r="J29" s="383"/>
      <c r="K29" s="383"/>
      <c r="L29" s="383"/>
    </row>
    <row r="30" spans="1:12" x14ac:dyDescent="0.2">
      <c r="A30" s="7" t="s">
        <v>263</v>
      </c>
      <c r="B30" s="283">
        <v>27</v>
      </c>
      <c r="C30" s="6"/>
      <c r="D30" s="3"/>
      <c r="E30" s="3"/>
      <c r="G30" s="389">
        <v>20</v>
      </c>
      <c r="H30" t="s">
        <v>2101</v>
      </c>
      <c r="J30" s="411">
        <v>358900</v>
      </c>
      <c r="K30" s="411">
        <v>358900</v>
      </c>
      <c r="L30" s="411">
        <v>358900</v>
      </c>
    </row>
    <row r="31" spans="1:12" x14ac:dyDescent="0.2">
      <c r="A31" s="7" t="s">
        <v>538</v>
      </c>
      <c r="B31" s="283">
        <v>18</v>
      </c>
      <c r="C31" s="6"/>
      <c r="D31" s="3" t="s">
        <v>1892</v>
      </c>
      <c r="E31" s="3"/>
      <c r="H31" t="s">
        <v>1898</v>
      </c>
      <c r="J31" s="383"/>
      <c r="K31" s="383"/>
      <c r="L31" s="383"/>
    </row>
    <row r="32" spans="1:12" x14ac:dyDescent="0.2">
      <c r="A32" s="5" t="s">
        <v>1607</v>
      </c>
      <c r="B32" s="6">
        <v>23</v>
      </c>
      <c r="C32" s="6"/>
      <c r="D32" s="3"/>
      <c r="E32" s="3"/>
      <c r="J32" s="383"/>
      <c r="K32" s="383"/>
      <c r="L32" s="383"/>
    </row>
    <row r="33" spans="1:12" x14ac:dyDescent="0.2">
      <c r="A33" s="7" t="s">
        <v>1266</v>
      </c>
      <c r="B33" s="283">
        <v>19</v>
      </c>
      <c r="C33" s="6"/>
      <c r="D33" s="3" t="s">
        <v>1892</v>
      </c>
      <c r="E33" s="3"/>
      <c r="H33" t="s">
        <v>1899</v>
      </c>
      <c r="J33" s="383"/>
      <c r="K33" s="383"/>
      <c r="L33" s="383"/>
    </row>
    <row r="34" spans="1:12" x14ac:dyDescent="0.2">
      <c r="A34" s="6" t="s">
        <v>1267</v>
      </c>
      <c r="B34" s="283">
        <v>17</v>
      </c>
      <c r="C34" s="6"/>
      <c r="D34" s="3" t="s">
        <v>1892</v>
      </c>
      <c r="E34" s="3"/>
      <c r="H34" t="s">
        <v>1961</v>
      </c>
      <c r="J34" s="383"/>
      <c r="K34" s="383"/>
      <c r="L34" s="383"/>
    </row>
    <row r="35" spans="1:12" x14ac:dyDescent="0.2">
      <c r="A35" s="5" t="s">
        <v>1142</v>
      </c>
      <c r="B35" s="283">
        <v>26</v>
      </c>
      <c r="C35" s="6"/>
      <c r="D35" s="3"/>
      <c r="E35" s="3"/>
      <c r="H35" t="s">
        <v>1902</v>
      </c>
      <c r="J35" s="383"/>
      <c r="K35" s="383"/>
      <c r="L35" s="383"/>
    </row>
    <row r="36" spans="1:12" x14ac:dyDescent="0.2">
      <c r="A36" s="6" t="s">
        <v>1268</v>
      </c>
      <c r="B36" s="283">
        <v>16</v>
      </c>
      <c r="C36" s="6"/>
      <c r="D36" s="3" t="s">
        <v>1892</v>
      </c>
      <c r="E36" s="3"/>
      <c r="G36" s="402"/>
      <c r="H36" s="403" t="s">
        <v>1960</v>
      </c>
      <c r="I36" s="403"/>
      <c r="J36" s="404"/>
      <c r="K36" s="404"/>
      <c r="L36" s="404"/>
    </row>
    <row r="37" spans="1:12" x14ac:dyDescent="0.2">
      <c r="A37" s="5" t="s">
        <v>1285</v>
      </c>
      <c r="B37" s="283"/>
      <c r="C37" s="6"/>
      <c r="D37" s="3"/>
      <c r="E37" s="3"/>
      <c r="J37" s="383"/>
      <c r="K37" s="383"/>
      <c r="L37" s="383"/>
    </row>
    <row r="38" spans="1:12" x14ac:dyDescent="0.2">
      <c r="A38" s="5" t="s">
        <v>1725</v>
      </c>
      <c r="B38" s="283"/>
      <c r="C38" s="6"/>
      <c r="D38" s="3" t="s">
        <v>1892</v>
      </c>
      <c r="E38" s="3"/>
      <c r="J38" s="383"/>
      <c r="K38" s="383"/>
      <c r="L38" s="383"/>
    </row>
    <row r="39" spans="1:12" x14ac:dyDescent="0.2">
      <c r="A39" s="5" t="s">
        <v>2101</v>
      </c>
      <c r="B39" s="283">
        <v>20</v>
      </c>
      <c r="C39" s="6"/>
      <c r="D39" s="3" t="s">
        <v>1892</v>
      </c>
      <c r="E39" s="3"/>
      <c r="J39" s="383"/>
      <c r="K39" s="383"/>
      <c r="L39" s="383"/>
    </row>
    <row r="40" spans="1:12" x14ac:dyDescent="0.2">
      <c r="A40" s="6" t="s">
        <v>1526</v>
      </c>
      <c r="B40" s="283"/>
      <c r="C40" s="6"/>
      <c r="D40" s="3" t="s">
        <v>1892</v>
      </c>
      <c r="E40" s="3"/>
      <c r="H40" s="230" t="s">
        <v>1883</v>
      </c>
      <c r="I40" s="230"/>
      <c r="J40" s="384">
        <f>SUM(J24:J39)</f>
        <v>39213721</v>
      </c>
      <c r="K40" s="384">
        <f>SUM(K24:K39)</f>
        <v>39551741</v>
      </c>
      <c r="L40" s="384">
        <f>SUM(L24:L39)</f>
        <v>39909241</v>
      </c>
    </row>
    <row r="41" spans="1:12" x14ac:dyDescent="0.2">
      <c r="A41" s="6" t="s">
        <v>1874</v>
      </c>
      <c r="B41" s="283"/>
      <c r="C41" s="6"/>
      <c r="D41" s="3" t="s">
        <v>1901</v>
      </c>
      <c r="E41" s="3"/>
      <c r="J41" s="383"/>
      <c r="K41" s="383"/>
      <c r="L41" s="383"/>
    </row>
    <row r="42" spans="1:12" x14ac:dyDescent="0.2">
      <c r="A42" s="6" t="s">
        <v>1878</v>
      </c>
      <c r="B42" s="283"/>
      <c r="C42" s="6"/>
      <c r="D42" s="3" t="s">
        <v>1884</v>
      </c>
      <c r="E42" s="3"/>
      <c r="J42" s="383"/>
      <c r="K42" s="383"/>
      <c r="L42" s="383"/>
    </row>
    <row r="43" spans="1:12" x14ac:dyDescent="0.2">
      <c r="A43" s="6" t="s">
        <v>1873</v>
      </c>
      <c r="B43" s="283"/>
      <c r="C43" s="6"/>
      <c r="D43" s="3" t="s">
        <v>1901</v>
      </c>
      <c r="E43" s="3"/>
      <c r="J43" s="383"/>
      <c r="K43" s="383"/>
      <c r="L43" s="383"/>
    </row>
    <row r="44" spans="1:12" x14ac:dyDescent="0.2">
      <c r="A44" s="6" t="s">
        <v>1875</v>
      </c>
      <c r="B44" s="283"/>
      <c r="C44" s="6"/>
      <c r="D44" s="3" t="s">
        <v>1901</v>
      </c>
      <c r="E44" s="3"/>
      <c r="J44" s="383"/>
      <c r="K44" s="383"/>
      <c r="L44" s="383"/>
    </row>
    <row r="45" spans="1:12" x14ac:dyDescent="0.2">
      <c r="A45" s="6" t="s">
        <v>1900</v>
      </c>
      <c r="B45" s="283"/>
      <c r="C45" s="6"/>
      <c r="D45" s="3" t="s">
        <v>1901</v>
      </c>
      <c r="E45" s="3"/>
    </row>
    <row r="46" spans="1:12" s="336" customFormat="1" x14ac:dyDescent="0.2">
      <c r="A46" s="6" t="s">
        <v>1960</v>
      </c>
      <c r="B46" s="283"/>
      <c r="C46" s="6"/>
      <c r="D46" s="121" t="s">
        <v>1892</v>
      </c>
      <c r="E46" s="121"/>
      <c r="G46" s="412"/>
    </row>
    <row r="47" spans="1:12" x14ac:dyDescent="0.2">
      <c r="A47" s="3"/>
      <c r="B47" s="4"/>
      <c r="C47" s="3"/>
      <c r="D47" s="3"/>
      <c r="E47" s="3"/>
    </row>
    <row r="48" spans="1:12" x14ac:dyDescent="0.2">
      <c r="A48" s="3"/>
      <c r="B48" s="4"/>
      <c r="C48" s="3"/>
      <c r="D48" s="3"/>
      <c r="E48" s="3"/>
    </row>
    <row r="49" spans="1:5" x14ac:dyDescent="0.2">
      <c r="A49" s="3"/>
      <c r="B49" s="4"/>
      <c r="C49" s="3"/>
      <c r="D49" s="3"/>
      <c r="E49" s="3"/>
    </row>
    <row r="50" spans="1:5" x14ac:dyDescent="0.2">
      <c r="A50" s="3"/>
      <c r="B50" s="4"/>
      <c r="C50" s="3"/>
      <c r="D50" s="3"/>
      <c r="E50" s="3"/>
    </row>
    <row r="51" spans="1:5" x14ac:dyDescent="0.2">
      <c r="A51" s="3"/>
      <c r="B51" s="4"/>
      <c r="C51" s="3"/>
      <c r="D51" s="3"/>
      <c r="E51" s="3"/>
    </row>
    <row r="52" spans="1:5" x14ac:dyDescent="0.2">
      <c r="A52" s="3"/>
      <c r="B52" s="4"/>
      <c r="C52" s="3"/>
      <c r="D52" s="3"/>
      <c r="E52" s="3"/>
    </row>
    <row r="53" spans="1:5" x14ac:dyDescent="0.2">
      <c r="A53" s="3"/>
      <c r="B53" s="4"/>
      <c r="C53" s="3"/>
      <c r="D53" s="3"/>
      <c r="E53" s="3"/>
    </row>
    <row r="54" spans="1:5" x14ac:dyDescent="0.2">
      <c r="A54" s="3"/>
      <c r="B54" s="4"/>
      <c r="C54" s="3"/>
      <c r="D54" s="3"/>
      <c r="E54" s="3"/>
    </row>
    <row r="55" spans="1:5" x14ac:dyDescent="0.2">
      <c r="A55" s="3"/>
      <c r="B55" s="4"/>
      <c r="C55" s="3"/>
      <c r="D55" s="3"/>
      <c r="E55" s="3"/>
    </row>
    <row r="56" spans="1:5" x14ac:dyDescent="0.2">
      <c r="A56" s="3"/>
      <c r="B56" s="4"/>
      <c r="C56" s="3"/>
      <c r="D56" s="3"/>
      <c r="E56" s="3"/>
    </row>
    <row r="57" spans="1:5" x14ac:dyDescent="0.2">
      <c r="A57" s="3"/>
      <c r="B57" s="4"/>
      <c r="C57" s="3"/>
      <c r="D57" s="3"/>
      <c r="E57" s="3"/>
    </row>
    <row r="58" spans="1:5" x14ac:dyDescent="0.2">
      <c r="A58" s="3"/>
      <c r="B58" s="4"/>
      <c r="C58" s="3"/>
      <c r="D58" s="3"/>
      <c r="E58" s="3"/>
    </row>
    <row r="59" spans="1:5" x14ac:dyDescent="0.2">
      <c r="A59" s="3"/>
      <c r="B59" s="4"/>
      <c r="C59" s="3"/>
      <c r="D59" s="3"/>
      <c r="E59" s="3"/>
    </row>
    <row r="60" spans="1:5" x14ac:dyDescent="0.2">
      <c r="A60" s="3"/>
      <c r="B60" s="4"/>
      <c r="C60" s="3"/>
      <c r="D60" s="3"/>
      <c r="E60" s="3"/>
    </row>
    <row r="61" spans="1:5" x14ac:dyDescent="0.2">
      <c r="A61" s="3"/>
      <c r="B61" s="4"/>
      <c r="C61" s="3"/>
      <c r="D61" s="3"/>
      <c r="E61" s="3"/>
    </row>
    <row r="62" spans="1:5" x14ac:dyDescent="0.2">
      <c r="A62" s="3"/>
      <c r="B62" s="4"/>
      <c r="C62" s="3"/>
      <c r="D62" s="3"/>
      <c r="E62" s="3"/>
    </row>
    <row r="63" spans="1:5" x14ac:dyDescent="0.2">
      <c r="A63" s="3"/>
      <c r="B63" s="4"/>
      <c r="C63" s="3"/>
      <c r="D63" s="3"/>
      <c r="E63" s="3"/>
    </row>
    <row r="64" spans="1:5" x14ac:dyDescent="0.2">
      <c r="A64" s="3"/>
      <c r="B64" s="4"/>
      <c r="C64" s="3"/>
      <c r="D64" s="3"/>
      <c r="E64" s="3"/>
    </row>
    <row r="65" spans="1:5" x14ac:dyDescent="0.2">
      <c r="A65" s="3"/>
      <c r="B65" s="4"/>
      <c r="C65" s="3"/>
      <c r="D65" s="3"/>
      <c r="E65" s="3"/>
    </row>
    <row r="66" spans="1:5" x14ac:dyDescent="0.2">
      <c r="A66" s="3"/>
      <c r="B66" s="4"/>
      <c r="C66" s="3"/>
      <c r="D66" s="3"/>
      <c r="E66" s="3"/>
    </row>
    <row r="67" spans="1:5" x14ac:dyDescent="0.2">
      <c r="A67" s="3"/>
      <c r="B67" s="4"/>
      <c r="C67" s="3"/>
      <c r="D67" s="3"/>
      <c r="E67" s="3"/>
    </row>
    <row r="68" spans="1:5" x14ac:dyDescent="0.2">
      <c r="A68" s="3"/>
      <c r="B68" s="4"/>
      <c r="C68" s="3"/>
      <c r="D68" s="3"/>
      <c r="E68" s="3"/>
    </row>
    <row r="69" spans="1:5" x14ac:dyDescent="0.2">
      <c r="A69" s="3"/>
      <c r="B69" s="4"/>
      <c r="C69" s="3"/>
      <c r="D69" s="3"/>
      <c r="E69" s="3"/>
    </row>
    <row r="70" spans="1:5" x14ac:dyDescent="0.2">
      <c r="A70" s="3"/>
      <c r="B70" s="4"/>
      <c r="C70" s="3"/>
      <c r="D70" s="3"/>
      <c r="E70" s="3"/>
    </row>
    <row r="71" spans="1:5" x14ac:dyDescent="0.2">
      <c r="A71" s="3"/>
      <c r="B71" s="4"/>
      <c r="C71" s="3"/>
      <c r="D71" s="3"/>
      <c r="E71" s="3"/>
    </row>
    <row r="72" spans="1:5" x14ac:dyDescent="0.2">
      <c r="A72" s="3"/>
      <c r="B72" s="4"/>
      <c r="C72" s="3"/>
      <c r="D72" s="3"/>
      <c r="E72" s="3"/>
    </row>
    <row r="73" spans="1:5" x14ac:dyDescent="0.2">
      <c r="A73" s="3"/>
      <c r="B73" s="4"/>
      <c r="C73" s="3"/>
      <c r="D73" s="3"/>
      <c r="E73" s="3"/>
    </row>
    <row r="74" spans="1:5" x14ac:dyDescent="0.2">
      <c r="A74" s="3"/>
      <c r="B74" s="4"/>
      <c r="C74" s="3"/>
      <c r="D74" s="3"/>
      <c r="E74" s="3"/>
    </row>
    <row r="75" spans="1:5" x14ac:dyDescent="0.2">
      <c r="A75" s="3"/>
      <c r="B75" s="4"/>
      <c r="C75" s="3"/>
      <c r="D75" s="3"/>
      <c r="E75" s="3"/>
    </row>
    <row r="76" spans="1:5" x14ac:dyDescent="0.2">
      <c r="A76" s="3"/>
      <c r="B76" s="4"/>
      <c r="C76" s="3"/>
      <c r="D76" s="3"/>
      <c r="E76" s="3"/>
    </row>
    <row r="77" spans="1:5" x14ac:dyDescent="0.2">
      <c r="A77" s="3"/>
      <c r="B77" s="4"/>
      <c r="C77" s="3"/>
      <c r="D77" s="3"/>
      <c r="E77" s="3"/>
    </row>
    <row r="78" spans="1:5" x14ac:dyDescent="0.2">
      <c r="A78" s="3"/>
      <c r="B78" s="4"/>
      <c r="C78" s="3"/>
      <c r="D78" s="3"/>
      <c r="E78" s="3"/>
    </row>
    <row r="79" spans="1:5" x14ac:dyDescent="0.2">
      <c r="A79" s="3"/>
      <c r="B79" s="4"/>
      <c r="C79" s="3"/>
      <c r="D79" s="3"/>
      <c r="E79" s="3"/>
    </row>
    <row r="80" spans="1:5" x14ac:dyDescent="0.2">
      <c r="A80" s="3"/>
      <c r="B80" s="4"/>
      <c r="C80" s="3"/>
      <c r="D80" s="3"/>
      <c r="E80" s="3"/>
    </row>
    <row r="81" spans="1:5" x14ac:dyDescent="0.2">
      <c r="A81" s="3"/>
      <c r="B81" s="4"/>
      <c r="C81" s="3"/>
      <c r="D81" s="3"/>
      <c r="E81" s="3"/>
    </row>
    <row r="82" spans="1:5" x14ac:dyDescent="0.2">
      <c r="A82" s="3"/>
      <c r="B82" s="4"/>
      <c r="C82" s="3"/>
      <c r="D82" s="3"/>
      <c r="E82" s="3"/>
    </row>
    <row r="83" spans="1:5" x14ac:dyDescent="0.2">
      <c r="A83" s="3"/>
      <c r="B83" s="4"/>
      <c r="C83" s="3"/>
      <c r="D83" s="3"/>
      <c r="E83" s="3"/>
    </row>
    <row r="84" spans="1:5" x14ac:dyDescent="0.2">
      <c r="A84" s="3"/>
      <c r="B84" s="4"/>
      <c r="C84" s="3"/>
      <c r="D84" s="3"/>
      <c r="E84" s="3"/>
    </row>
    <row r="85" spans="1:5" x14ac:dyDescent="0.2">
      <c r="A85" s="3"/>
      <c r="B85" s="4"/>
      <c r="C85" s="3"/>
      <c r="D85" s="3"/>
      <c r="E85" s="3"/>
    </row>
    <row r="86" spans="1:5" x14ac:dyDescent="0.2">
      <c r="A86" s="3"/>
      <c r="B86" s="4"/>
      <c r="C86" s="3"/>
      <c r="D86" s="3"/>
      <c r="E86" s="3"/>
    </row>
    <row r="87" spans="1:5" x14ac:dyDescent="0.2">
      <c r="A87" s="3"/>
      <c r="B87" s="4"/>
      <c r="C87" s="3"/>
      <c r="D87" s="3"/>
      <c r="E87" s="3"/>
    </row>
    <row r="88" spans="1:5" x14ac:dyDescent="0.2">
      <c r="A88" s="3"/>
      <c r="B88" s="4"/>
      <c r="C88" s="3"/>
      <c r="D88" s="3"/>
      <c r="E88" s="3"/>
    </row>
    <row r="89" spans="1:5" x14ac:dyDescent="0.2">
      <c r="A89" s="3"/>
      <c r="B89" s="4"/>
      <c r="C89" s="3"/>
      <c r="D89" s="3"/>
      <c r="E89" s="3"/>
    </row>
    <row r="90" spans="1:5" x14ac:dyDescent="0.2">
      <c r="A90" s="3"/>
      <c r="B90" s="4"/>
      <c r="C90" s="3"/>
      <c r="D90" s="3"/>
      <c r="E90" s="3"/>
    </row>
    <row r="91" spans="1:5" x14ac:dyDescent="0.2">
      <c r="A91" s="3"/>
      <c r="B91" s="4"/>
      <c r="C91" s="3"/>
      <c r="D91" s="3"/>
      <c r="E91" s="3"/>
    </row>
    <row r="92" spans="1:5" x14ac:dyDescent="0.2">
      <c r="A92" s="3"/>
      <c r="B92" s="4"/>
      <c r="C92" s="3"/>
      <c r="D92" s="3"/>
      <c r="E92" s="3"/>
    </row>
    <row r="93" spans="1:5" x14ac:dyDescent="0.2">
      <c r="A93" s="3"/>
      <c r="B93" s="4"/>
      <c r="C93" s="3"/>
      <c r="D93" s="3"/>
      <c r="E93" s="3"/>
    </row>
    <row r="94" spans="1:5" x14ac:dyDescent="0.2">
      <c r="A94" s="3"/>
      <c r="B94" s="4"/>
      <c r="C94" s="3"/>
      <c r="D94" s="3"/>
      <c r="E94" s="3"/>
    </row>
    <row r="95" spans="1:5" x14ac:dyDescent="0.2">
      <c r="A95" s="3"/>
      <c r="B95" s="4"/>
      <c r="C95" s="3"/>
      <c r="D95" s="3"/>
      <c r="E95" s="3"/>
    </row>
    <row r="96" spans="1:5" x14ac:dyDescent="0.2">
      <c r="A96" s="3"/>
      <c r="B96" s="4"/>
      <c r="C96" s="3"/>
      <c r="D96" s="3"/>
      <c r="E96" s="3"/>
    </row>
    <row r="97" spans="1:5" x14ac:dyDescent="0.2">
      <c r="A97" s="3"/>
      <c r="B97" s="4"/>
      <c r="C97" s="3"/>
      <c r="D97" s="3"/>
      <c r="E97" s="3"/>
    </row>
    <row r="98" spans="1:5" x14ac:dyDescent="0.2">
      <c r="A98" s="3"/>
      <c r="B98" s="4"/>
      <c r="C98" s="3"/>
      <c r="D98" s="3"/>
      <c r="E98" s="3"/>
    </row>
    <row r="99" spans="1:5" x14ac:dyDescent="0.2">
      <c r="A99" s="3"/>
      <c r="B99" s="4"/>
      <c r="C99" s="3"/>
      <c r="D99" s="3"/>
      <c r="E99" s="3"/>
    </row>
    <row r="100" spans="1:5" x14ac:dyDescent="0.2">
      <c r="A100" s="3"/>
      <c r="B100" s="4"/>
      <c r="C100" s="3"/>
      <c r="D100" s="3"/>
      <c r="E100" s="3"/>
    </row>
    <row r="101" spans="1:5" x14ac:dyDescent="0.2">
      <c r="A101" s="3"/>
      <c r="B101" s="4"/>
      <c r="C101" s="3"/>
      <c r="D101" s="3"/>
      <c r="E101" s="3"/>
    </row>
    <row r="102" spans="1:5" x14ac:dyDescent="0.2">
      <c r="A102" s="3"/>
      <c r="B102" s="4"/>
      <c r="C102" s="3"/>
      <c r="D102" s="3"/>
      <c r="E102" s="3"/>
    </row>
    <row r="103" spans="1:5" x14ac:dyDescent="0.2">
      <c r="A103" s="3"/>
      <c r="B103" s="4"/>
      <c r="C103" s="3"/>
      <c r="D103" s="3"/>
      <c r="E103" s="3"/>
    </row>
    <row r="104" spans="1:5" x14ac:dyDescent="0.2">
      <c r="A104" s="3"/>
      <c r="B104" s="4"/>
      <c r="C104" s="3"/>
      <c r="D104" s="3"/>
      <c r="E104" s="3"/>
    </row>
    <row r="105" spans="1:5" x14ac:dyDescent="0.2">
      <c r="A105" s="3"/>
      <c r="B105" s="4"/>
      <c r="C105" s="3"/>
      <c r="D105" s="3"/>
      <c r="E105" s="3"/>
    </row>
    <row r="106" spans="1:5" x14ac:dyDescent="0.2">
      <c r="A106" s="3"/>
      <c r="B106" s="4"/>
      <c r="C106" s="3"/>
      <c r="D106" s="3"/>
      <c r="E106" s="3"/>
    </row>
    <row r="107" spans="1:5" x14ac:dyDescent="0.2">
      <c r="A107" s="3"/>
      <c r="B107" s="4"/>
      <c r="C107" s="3"/>
      <c r="D107" s="3"/>
      <c r="E107" s="3"/>
    </row>
    <row r="108" spans="1:5" x14ac:dyDescent="0.2">
      <c r="A108" s="3"/>
      <c r="B108" s="4"/>
      <c r="C108" s="3"/>
      <c r="D108" s="3"/>
      <c r="E108" s="3"/>
    </row>
    <row r="109" spans="1:5" x14ac:dyDescent="0.2">
      <c r="A109" s="3"/>
      <c r="B109" s="4"/>
      <c r="C109" s="3"/>
      <c r="D109" s="3"/>
      <c r="E109" s="3"/>
    </row>
    <row r="110" spans="1:5" x14ac:dyDescent="0.2">
      <c r="A110" s="3"/>
      <c r="B110" s="4"/>
      <c r="C110" s="3"/>
      <c r="D110" s="3"/>
      <c r="E110" s="3"/>
    </row>
    <row r="111" spans="1:5" x14ac:dyDescent="0.2">
      <c r="A111" s="3"/>
      <c r="B111" s="4"/>
      <c r="C111" s="3"/>
      <c r="D111" s="3"/>
      <c r="E111" s="3"/>
    </row>
    <row r="112" spans="1:5" x14ac:dyDescent="0.2">
      <c r="A112" s="3"/>
      <c r="B112" s="4"/>
      <c r="C112" s="3"/>
      <c r="D112" s="3"/>
      <c r="E112" s="3"/>
    </row>
    <row r="113" spans="1:5" x14ac:dyDescent="0.2">
      <c r="A113" s="3"/>
      <c r="B113" s="4"/>
      <c r="C113" s="3"/>
      <c r="D113" s="3"/>
      <c r="E113" s="3"/>
    </row>
    <row r="114" spans="1:5" x14ac:dyDescent="0.2">
      <c r="A114" s="3"/>
      <c r="B114" s="4"/>
      <c r="C114" s="3"/>
      <c r="D114" s="3"/>
      <c r="E114" s="3"/>
    </row>
    <row r="115" spans="1:5" x14ac:dyDescent="0.2">
      <c r="A115" s="3"/>
      <c r="B115" s="4"/>
      <c r="C115" s="3"/>
      <c r="D115" s="3"/>
      <c r="E115" s="3"/>
    </row>
    <row r="116" spans="1:5" x14ac:dyDescent="0.2">
      <c r="A116" s="3"/>
      <c r="B116" s="4"/>
      <c r="C116" s="3"/>
      <c r="D116" s="3"/>
      <c r="E116" s="3"/>
    </row>
    <row r="117" spans="1:5" x14ac:dyDescent="0.2">
      <c r="A117" s="3"/>
      <c r="B117" s="4"/>
      <c r="C117" s="3"/>
      <c r="D117" s="3"/>
      <c r="E117" s="3"/>
    </row>
    <row r="118" spans="1:5" x14ac:dyDescent="0.2">
      <c r="A118" s="3"/>
      <c r="B118" s="4"/>
      <c r="C118" s="3"/>
      <c r="D118" s="3"/>
      <c r="E118" s="3"/>
    </row>
    <row r="119" spans="1:5" x14ac:dyDescent="0.2">
      <c r="A119" s="3"/>
      <c r="B119" s="4"/>
      <c r="C119" s="3"/>
      <c r="D119" s="3"/>
      <c r="E119" s="3"/>
    </row>
    <row r="120" spans="1:5" x14ac:dyDescent="0.2">
      <c r="A120" s="3"/>
      <c r="B120" s="4"/>
      <c r="C120" s="3"/>
      <c r="D120" s="3"/>
      <c r="E120" s="3"/>
    </row>
    <row r="121" spans="1:5" x14ac:dyDescent="0.2">
      <c r="A121" s="3"/>
      <c r="B121" s="4"/>
      <c r="C121" s="3"/>
      <c r="D121" s="3"/>
      <c r="E121" s="3"/>
    </row>
    <row r="122" spans="1:5" x14ac:dyDescent="0.2">
      <c r="A122" s="3"/>
      <c r="B122" s="4"/>
      <c r="C122" s="3"/>
      <c r="D122" s="3"/>
      <c r="E122" s="3"/>
    </row>
    <row r="123" spans="1:5" x14ac:dyDescent="0.2">
      <c r="A123" s="3"/>
      <c r="B123" s="4"/>
      <c r="C123" s="3"/>
      <c r="D123" s="3"/>
      <c r="E123" s="3"/>
    </row>
    <row r="124" spans="1:5" x14ac:dyDescent="0.2">
      <c r="A124" s="3"/>
      <c r="B124" s="4"/>
      <c r="C124" s="3"/>
      <c r="D124" s="3"/>
      <c r="E124" s="3"/>
    </row>
    <row r="125" spans="1:5" x14ac:dyDescent="0.2">
      <c r="A125" s="3"/>
      <c r="B125" s="4"/>
      <c r="C125" s="3"/>
      <c r="D125" s="3"/>
      <c r="E125" s="3"/>
    </row>
    <row r="126" spans="1:5" x14ac:dyDescent="0.2">
      <c r="A126" s="3"/>
      <c r="B126" s="4"/>
      <c r="C126" s="3"/>
      <c r="D126" s="3"/>
      <c r="E126" s="3"/>
    </row>
    <row r="127" spans="1:5" x14ac:dyDescent="0.2">
      <c r="A127" s="3"/>
      <c r="B127" s="4"/>
      <c r="C127" s="3"/>
      <c r="D127" s="3"/>
      <c r="E127" s="3"/>
    </row>
    <row r="128" spans="1:5" x14ac:dyDescent="0.2">
      <c r="A128" s="3"/>
      <c r="B128" s="4"/>
      <c r="C128" s="3"/>
      <c r="D128" s="3"/>
      <c r="E128" s="3"/>
    </row>
    <row r="129" spans="1:5" x14ac:dyDescent="0.2">
      <c r="A129" s="3"/>
      <c r="B129" s="4"/>
      <c r="C129" s="3"/>
      <c r="D129" s="3"/>
      <c r="E129" s="3"/>
    </row>
    <row r="130" spans="1:5" x14ac:dyDescent="0.2">
      <c r="A130" s="3"/>
      <c r="B130" s="4"/>
      <c r="C130" s="3"/>
      <c r="D130" s="3"/>
      <c r="E130" s="3"/>
    </row>
    <row r="131" spans="1:5" x14ac:dyDescent="0.2">
      <c r="A131" s="3"/>
      <c r="B131" s="4"/>
      <c r="C131" s="3"/>
      <c r="D131" s="3"/>
      <c r="E131" s="3"/>
    </row>
    <row r="132" spans="1:5" x14ac:dyDescent="0.2">
      <c r="A132" s="3"/>
      <c r="B132" s="4"/>
      <c r="C132" s="3"/>
      <c r="D132" s="3"/>
      <c r="E132" s="3"/>
    </row>
    <row r="133" spans="1:5" x14ac:dyDescent="0.2">
      <c r="A133" s="3"/>
      <c r="B133" s="4"/>
      <c r="C133" s="3"/>
      <c r="D133" s="3"/>
      <c r="E133" s="3"/>
    </row>
    <row r="134" spans="1:5" x14ac:dyDescent="0.2">
      <c r="A134" s="3"/>
      <c r="B134" s="4"/>
      <c r="C134" s="3"/>
      <c r="D134" s="3"/>
      <c r="E134" s="3"/>
    </row>
    <row r="135" spans="1:5" x14ac:dyDescent="0.2">
      <c r="A135" s="3"/>
      <c r="B135" s="4"/>
      <c r="C135" s="3"/>
      <c r="D135" s="3"/>
      <c r="E135" s="3"/>
    </row>
    <row r="136" spans="1:5" x14ac:dyDescent="0.2">
      <c r="A136" s="3"/>
      <c r="B136" s="4"/>
      <c r="C136" s="3"/>
      <c r="D136" s="3"/>
      <c r="E136" s="3"/>
    </row>
    <row r="137" spans="1:5" x14ac:dyDescent="0.2">
      <c r="A137" s="3"/>
      <c r="B137" s="4"/>
      <c r="C137" s="3"/>
      <c r="D137" s="3"/>
      <c r="E137" s="3"/>
    </row>
    <row r="138" spans="1:5" x14ac:dyDescent="0.2">
      <c r="A138" s="3"/>
      <c r="B138" s="4"/>
      <c r="C138" s="3"/>
      <c r="D138" s="3"/>
      <c r="E138" s="3"/>
    </row>
    <row r="139" spans="1:5" x14ac:dyDescent="0.2">
      <c r="A139" s="3"/>
      <c r="B139" s="4"/>
      <c r="C139" s="3"/>
      <c r="D139" s="3"/>
      <c r="E139" s="3"/>
    </row>
    <row r="140" spans="1:5" x14ac:dyDescent="0.2">
      <c r="A140" s="3"/>
      <c r="B140" s="4"/>
      <c r="C140" s="3"/>
      <c r="D140" s="3"/>
      <c r="E140" s="3"/>
    </row>
    <row r="141" spans="1:5" x14ac:dyDescent="0.2">
      <c r="A141" s="3"/>
      <c r="B141" s="4"/>
      <c r="C141" s="3"/>
      <c r="D141" s="3"/>
      <c r="E141" s="3"/>
    </row>
    <row r="142" spans="1:5" x14ac:dyDescent="0.2">
      <c r="A142" s="3"/>
      <c r="B142" s="4"/>
      <c r="C142" s="3"/>
      <c r="D142" s="3"/>
      <c r="E142" s="3"/>
    </row>
    <row r="143" spans="1:5" x14ac:dyDescent="0.2">
      <c r="A143" s="3"/>
      <c r="B143" s="4"/>
      <c r="C143" s="3"/>
      <c r="D143" s="3"/>
      <c r="E143" s="3"/>
    </row>
    <row r="144" spans="1:5" x14ac:dyDescent="0.2">
      <c r="A144" s="3"/>
      <c r="B144" s="4"/>
      <c r="C144" s="3"/>
      <c r="D144" s="3"/>
      <c r="E144" s="3"/>
    </row>
    <row r="145" spans="1:5" x14ac:dyDescent="0.2">
      <c r="A145" s="3"/>
      <c r="B145" s="4"/>
      <c r="C145" s="3"/>
      <c r="D145" s="3"/>
      <c r="E145" s="3"/>
    </row>
    <row r="146" spans="1:5" x14ac:dyDescent="0.2">
      <c r="A146" s="3"/>
      <c r="B146" s="4"/>
      <c r="C146" s="3"/>
      <c r="D146" s="3"/>
      <c r="E146" s="3"/>
    </row>
    <row r="147" spans="1:5" x14ac:dyDescent="0.2">
      <c r="A147" s="3"/>
      <c r="B147" s="4"/>
      <c r="C147" s="3"/>
      <c r="D147" s="3"/>
      <c r="E147" s="3"/>
    </row>
    <row r="148" spans="1:5" x14ac:dyDescent="0.2">
      <c r="A148" s="3"/>
      <c r="B148" s="4"/>
      <c r="C148" s="3"/>
      <c r="D148" s="3"/>
      <c r="E148" s="3"/>
    </row>
    <row r="149" spans="1:5" x14ac:dyDescent="0.2">
      <c r="A149" s="3"/>
      <c r="B149" s="4"/>
      <c r="C149" s="3"/>
      <c r="D149" s="3"/>
      <c r="E149" s="3"/>
    </row>
    <row r="150" spans="1:5" x14ac:dyDescent="0.2">
      <c r="A150" s="3"/>
      <c r="B150" s="4"/>
      <c r="C150" s="3"/>
      <c r="D150" s="3"/>
      <c r="E150" s="3"/>
    </row>
    <row r="151" spans="1:5" x14ac:dyDescent="0.2">
      <c r="A151" s="3"/>
      <c r="B151" s="4"/>
      <c r="C151" s="3"/>
      <c r="D151" s="3"/>
      <c r="E151" s="3"/>
    </row>
    <row r="152" spans="1:5" x14ac:dyDescent="0.2">
      <c r="A152" s="3"/>
      <c r="B152" s="4"/>
      <c r="C152" s="3"/>
      <c r="D152" s="3"/>
      <c r="E152" s="3"/>
    </row>
    <row r="153" spans="1:5" x14ac:dyDescent="0.2">
      <c r="A153" s="3"/>
      <c r="B153" s="4"/>
      <c r="C153" s="3"/>
      <c r="D153" s="3"/>
      <c r="E153" s="3"/>
    </row>
    <row r="154" spans="1:5" x14ac:dyDescent="0.2">
      <c r="A154" s="3"/>
      <c r="B154" s="4"/>
      <c r="C154" s="3"/>
      <c r="D154" s="3"/>
      <c r="E154" s="3"/>
    </row>
    <row r="155" spans="1:5" x14ac:dyDescent="0.2">
      <c r="A155" s="3"/>
      <c r="B155" s="4"/>
      <c r="C155" s="3"/>
      <c r="D155" s="3"/>
      <c r="E155" s="3"/>
    </row>
    <row r="156" spans="1:5" x14ac:dyDescent="0.2">
      <c r="A156" s="3"/>
      <c r="B156" s="4"/>
      <c r="C156" s="3"/>
      <c r="D156" s="3"/>
      <c r="E156" s="3"/>
    </row>
    <row r="157" spans="1:5" x14ac:dyDescent="0.2">
      <c r="A157" s="3"/>
      <c r="B157" s="4"/>
      <c r="C157" s="3"/>
      <c r="D157" s="3"/>
      <c r="E157" s="3"/>
    </row>
    <row r="158" spans="1:5" x14ac:dyDescent="0.2">
      <c r="A158" s="3"/>
      <c r="B158" s="4"/>
      <c r="C158" s="3"/>
      <c r="D158" s="3"/>
      <c r="E158" s="3"/>
    </row>
    <row r="159" spans="1:5" x14ac:dyDescent="0.2">
      <c r="A159" s="3"/>
      <c r="B159" s="4"/>
      <c r="C159" s="3"/>
      <c r="D159" s="3"/>
      <c r="E159" s="3"/>
    </row>
    <row r="160" spans="1:5" x14ac:dyDescent="0.2">
      <c r="A160" s="3"/>
      <c r="B160" s="4"/>
      <c r="C160" s="3"/>
      <c r="D160" s="3"/>
      <c r="E160" s="3"/>
    </row>
    <row r="161" spans="1:5" x14ac:dyDescent="0.2">
      <c r="A161" s="3"/>
      <c r="B161" s="4"/>
      <c r="C161" s="3"/>
      <c r="D161" s="3"/>
      <c r="E161" s="3"/>
    </row>
    <row r="162" spans="1:5" x14ac:dyDescent="0.2">
      <c r="A162" s="3"/>
      <c r="B162" s="4"/>
      <c r="C162" s="3"/>
      <c r="D162" s="3"/>
      <c r="E162" s="3"/>
    </row>
    <row r="163" spans="1:5" x14ac:dyDescent="0.2">
      <c r="A163" s="3"/>
      <c r="B163" s="4"/>
      <c r="C163" s="3"/>
      <c r="D163" s="3"/>
      <c r="E163" s="3"/>
    </row>
    <row r="164" spans="1:5" x14ac:dyDescent="0.2">
      <c r="A164" s="3"/>
      <c r="B164" s="4"/>
      <c r="C164" s="3"/>
      <c r="D164" s="3"/>
      <c r="E164" s="3"/>
    </row>
    <row r="165" spans="1:5" x14ac:dyDescent="0.2">
      <c r="A165" s="3"/>
      <c r="B165" s="4"/>
      <c r="C165" s="3"/>
      <c r="D165" s="3"/>
      <c r="E165" s="3"/>
    </row>
    <row r="166" spans="1:5" x14ac:dyDescent="0.2">
      <c r="A166" s="3"/>
      <c r="B166" s="4"/>
      <c r="C166" s="3"/>
      <c r="D166" s="3"/>
      <c r="E166" s="3"/>
    </row>
    <row r="167" spans="1:5" x14ac:dyDescent="0.2">
      <c r="A167" s="3"/>
      <c r="B167" s="4"/>
      <c r="C167" s="3"/>
      <c r="D167" s="3"/>
      <c r="E167" s="3"/>
    </row>
    <row r="168" spans="1:5" x14ac:dyDescent="0.2">
      <c r="A168" s="3"/>
      <c r="B168" s="4"/>
      <c r="C168" s="3"/>
      <c r="D168" s="3"/>
      <c r="E168" s="3"/>
    </row>
    <row r="169" spans="1:5" x14ac:dyDescent="0.2">
      <c r="A169" s="3"/>
      <c r="B169" s="4"/>
      <c r="C169" s="3"/>
      <c r="D169" s="3"/>
      <c r="E169" s="3"/>
    </row>
    <row r="170" spans="1:5" x14ac:dyDescent="0.2">
      <c r="A170" s="3"/>
      <c r="B170" s="4"/>
      <c r="C170" s="3"/>
      <c r="D170" s="3"/>
      <c r="E170" s="3"/>
    </row>
    <row r="171" spans="1:5" x14ac:dyDescent="0.2">
      <c r="A171" s="3"/>
      <c r="B171" s="4"/>
      <c r="C171" s="3"/>
      <c r="D171" s="3"/>
      <c r="E171" s="3"/>
    </row>
    <row r="172" spans="1:5" x14ac:dyDescent="0.2">
      <c r="A172" s="3"/>
      <c r="B172" s="4"/>
      <c r="C172" s="3"/>
      <c r="D172" s="3"/>
      <c r="E172" s="3"/>
    </row>
    <row r="173" spans="1:5" x14ac:dyDescent="0.2">
      <c r="A173" s="3"/>
      <c r="B173" s="4"/>
      <c r="C173" s="3"/>
      <c r="D173" s="3"/>
      <c r="E173" s="3"/>
    </row>
    <row r="174" spans="1:5" x14ac:dyDescent="0.2">
      <c r="A174" s="3"/>
      <c r="B174" s="4"/>
      <c r="C174" s="3"/>
      <c r="D174" s="3"/>
      <c r="E174" s="3"/>
    </row>
    <row r="175" spans="1:5" x14ac:dyDescent="0.2">
      <c r="A175" s="3"/>
      <c r="B175" s="4"/>
      <c r="C175" s="3"/>
      <c r="D175" s="3"/>
      <c r="E175" s="3"/>
    </row>
    <row r="176" spans="1:5" x14ac:dyDescent="0.2">
      <c r="A176" s="3"/>
      <c r="B176" s="4"/>
      <c r="C176" s="3"/>
      <c r="D176" s="3"/>
      <c r="E176" s="3"/>
    </row>
    <row r="177" spans="1:5" x14ac:dyDescent="0.2">
      <c r="A177" s="3"/>
      <c r="B177" s="4"/>
      <c r="C177" s="3"/>
      <c r="D177" s="3"/>
      <c r="E177" s="3"/>
    </row>
    <row r="178" spans="1:5" x14ac:dyDescent="0.2">
      <c r="A178" s="3"/>
      <c r="B178" s="4"/>
      <c r="C178" s="3"/>
      <c r="D178" s="3"/>
      <c r="E178" s="3"/>
    </row>
    <row r="179" spans="1:5" x14ac:dyDescent="0.2">
      <c r="A179" s="3"/>
      <c r="B179" s="4"/>
      <c r="C179" s="3"/>
      <c r="D179" s="3"/>
      <c r="E179" s="3"/>
    </row>
    <row r="180" spans="1:5" x14ac:dyDescent="0.2">
      <c r="A180" s="3"/>
      <c r="B180" s="4"/>
      <c r="C180" s="3"/>
      <c r="D180" s="3"/>
      <c r="E180" s="3"/>
    </row>
    <row r="181" spans="1:5" x14ac:dyDescent="0.2">
      <c r="A181" s="3"/>
      <c r="B181" s="4"/>
      <c r="C181" s="3"/>
      <c r="D181" s="3"/>
      <c r="E181" s="3"/>
    </row>
    <row r="182" spans="1:5" x14ac:dyDescent="0.2">
      <c r="A182" s="3"/>
      <c r="B182" s="4"/>
      <c r="C182" s="3"/>
      <c r="D182" s="3"/>
      <c r="E182" s="3"/>
    </row>
    <row r="183" spans="1:5" x14ac:dyDescent="0.2">
      <c r="A183" s="3"/>
      <c r="B183" s="4"/>
      <c r="C183" s="3"/>
      <c r="D183" s="3"/>
      <c r="E183" s="3"/>
    </row>
    <row r="184" spans="1:5" x14ac:dyDescent="0.2">
      <c r="A184" s="3"/>
      <c r="B184" s="4"/>
      <c r="C184" s="3"/>
      <c r="D184" s="3"/>
      <c r="E184" s="3"/>
    </row>
    <row r="185" spans="1:5" x14ac:dyDescent="0.2">
      <c r="A185" s="3"/>
      <c r="B185" s="4"/>
      <c r="C185" s="3"/>
      <c r="D185" s="3"/>
      <c r="E185" s="3"/>
    </row>
    <row r="186" spans="1:5" x14ac:dyDescent="0.2">
      <c r="A186" s="3"/>
      <c r="B186" s="4"/>
      <c r="C186" s="3"/>
      <c r="D186" s="3"/>
      <c r="E186" s="3"/>
    </row>
    <row r="187" spans="1:5" x14ac:dyDescent="0.2">
      <c r="A187" s="3"/>
      <c r="B187" s="4"/>
      <c r="C187" s="3"/>
      <c r="D187" s="3"/>
      <c r="E187" s="3"/>
    </row>
    <row r="188" spans="1:5" x14ac:dyDescent="0.2">
      <c r="A188" s="3"/>
      <c r="B188" s="4"/>
      <c r="C188" s="3"/>
      <c r="D188" s="3"/>
      <c r="E188" s="3"/>
    </row>
    <row r="189" spans="1:5" x14ac:dyDescent="0.2">
      <c r="A189" s="3"/>
      <c r="B189" s="4"/>
      <c r="C189" s="3"/>
      <c r="D189" s="3"/>
      <c r="E189" s="3"/>
    </row>
    <row r="190" spans="1:5" x14ac:dyDescent="0.2">
      <c r="A190" s="3"/>
      <c r="B190" s="4"/>
      <c r="C190" s="3"/>
      <c r="D190" s="3"/>
      <c r="E190" s="3"/>
    </row>
    <row r="191" spans="1:5" x14ac:dyDescent="0.2">
      <c r="A191" s="3"/>
      <c r="B191" s="4"/>
      <c r="C191" s="3"/>
      <c r="D191" s="3"/>
      <c r="E191" s="3"/>
    </row>
    <row r="192" spans="1:5" x14ac:dyDescent="0.2">
      <c r="A192" s="3"/>
      <c r="B192" s="4"/>
      <c r="C192" s="3"/>
      <c r="D192" s="3"/>
      <c r="E192" s="3"/>
    </row>
    <row r="193" spans="1:5" x14ac:dyDescent="0.2">
      <c r="A193" s="3"/>
      <c r="B193" s="4"/>
      <c r="C193" s="3"/>
      <c r="D193" s="3"/>
      <c r="E193" s="3"/>
    </row>
    <row r="194" spans="1:5" x14ac:dyDescent="0.2">
      <c r="A194" s="3"/>
      <c r="B194" s="4"/>
      <c r="C194" s="3"/>
      <c r="D194" s="3"/>
      <c r="E194" s="3"/>
    </row>
    <row r="195" spans="1:5" x14ac:dyDescent="0.2">
      <c r="A195" s="3"/>
      <c r="B195" s="4"/>
      <c r="C195" s="3"/>
      <c r="D195" s="3"/>
      <c r="E195" s="3"/>
    </row>
    <row r="196" spans="1:5" x14ac:dyDescent="0.2">
      <c r="A196" s="3"/>
      <c r="B196" s="4"/>
      <c r="C196" s="3"/>
      <c r="D196" s="3"/>
      <c r="E196" s="3"/>
    </row>
    <row r="197" spans="1:5" x14ac:dyDescent="0.2">
      <c r="A197" s="3"/>
      <c r="B197" s="4"/>
      <c r="C197" s="3"/>
      <c r="D197" s="3"/>
      <c r="E197" s="3"/>
    </row>
    <row r="198" spans="1:5" x14ac:dyDescent="0.2">
      <c r="A198" s="3"/>
      <c r="B198" s="4"/>
      <c r="C198" s="3"/>
      <c r="D198" s="3"/>
      <c r="E198" s="3"/>
    </row>
    <row r="199" spans="1:5" x14ac:dyDescent="0.2">
      <c r="A199" s="3"/>
      <c r="B199" s="4"/>
      <c r="C199" s="3"/>
      <c r="D199" s="3"/>
      <c r="E199" s="3"/>
    </row>
    <row r="200" spans="1:5" x14ac:dyDescent="0.2">
      <c r="A200" s="3"/>
      <c r="B200" s="4"/>
      <c r="C200" s="3"/>
      <c r="D200" s="3"/>
      <c r="E200" s="3"/>
    </row>
    <row r="201" spans="1:5" x14ac:dyDescent="0.2">
      <c r="A201" s="3"/>
      <c r="B201" s="4"/>
      <c r="C201" s="3"/>
      <c r="D201" s="3"/>
      <c r="E201" s="3"/>
    </row>
    <row r="202" spans="1:5" x14ac:dyDescent="0.2">
      <c r="A202" s="3"/>
      <c r="B202" s="4"/>
      <c r="C202" s="3"/>
      <c r="D202" s="3"/>
      <c r="E202" s="3"/>
    </row>
    <row r="203" spans="1:5" x14ac:dyDescent="0.2">
      <c r="A203" s="3"/>
      <c r="B203" s="4"/>
      <c r="C203" s="3"/>
      <c r="D203" s="3"/>
      <c r="E203" s="3"/>
    </row>
    <row r="204" spans="1:5" x14ac:dyDescent="0.2">
      <c r="A204" s="3"/>
      <c r="B204" s="4"/>
      <c r="C204" s="3"/>
      <c r="D204" s="3"/>
      <c r="E204" s="3"/>
    </row>
    <row r="205" spans="1:5" x14ac:dyDescent="0.2">
      <c r="A205" s="3"/>
      <c r="B205" s="4"/>
      <c r="C205" s="3"/>
      <c r="D205" s="3"/>
      <c r="E205" s="3"/>
    </row>
    <row r="206" spans="1:5" x14ac:dyDescent="0.2">
      <c r="A206" s="3"/>
      <c r="B206" s="4"/>
      <c r="C206" s="3"/>
      <c r="D206" s="3"/>
      <c r="E206" s="3"/>
    </row>
    <row r="207" spans="1:5" x14ac:dyDescent="0.2">
      <c r="A207" s="3"/>
      <c r="B207" s="4"/>
      <c r="C207" s="3"/>
      <c r="D207" s="3"/>
      <c r="E207" s="3"/>
    </row>
    <row r="208" spans="1:5" x14ac:dyDescent="0.2">
      <c r="A208" s="3"/>
      <c r="B208" s="4"/>
      <c r="C208" s="3"/>
      <c r="D208" s="3"/>
      <c r="E208" s="3"/>
    </row>
    <row r="209" spans="1:5" x14ac:dyDescent="0.2">
      <c r="A209" s="3"/>
      <c r="B209" s="4"/>
      <c r="C209" s="3"/>
      <c r="D209" s="3"/>
      <c r="E209" s="3"/>
    </row>
    <row r="210" spans="1:5" x14ac:dyDescent="0.2">
      <c r="A210" s="3"/>
      <c r="B210" s="4"/>
      <c r="C210" s="3"/>
      <c r="D210" s="3"/>
      <c r="E210" s="3"/>
    </row>
    <row r="211" spans="1:5" x14ac:dyDescent="0.2">
      <c r="A211" s="3"/>
      <c r="B211" s="4"/>
      <c r="C211" s="3"/>
      <c r="D211" s="3"/>
      <c r="E211" s="3"/>
    </row>
    <row r="212" spans="1:5" x14ac:dyDescent="0.2">
      <c r="A212" s="3"/>
      <c r="B212" s="4"/>
      <c r="C212" s="3"/>
      <c r="D212" s="3"/>
      <c r="E212" s="3"/>
    </row>
    <row r="213" spans="1:5" x14ac:dyDescent="0.2">
      <c r="A213" s="3"/>
      <c r="B213" s="4"/>
      <c r="C213" s="3"/>
      <c r="D213" s="3"/>
      <c r="E213" s="3"/>
    </row>
    <row r="214" spans="1:5" x14ac:dyDescent="0.2">
      <c r="A214" s="3"/>
      <c r="B214" s="4"/>
      <c r="C214" s="3"/>
      <c r="D214" s="3"/>
      <c r="E214" s="3"/>
    </row>
    <row r="215" spans="1:5" x14ac:dyDescent="0.2">
      <c r="A215" s="3"/>
      <c r="B215" s="4"/>
      <c r="C215" s="3"/>
      <c r="D215" s="3"/>
      <c r="E215" s="3"/>
    </row>
    <row r="216" spans="1:5" x14ac:dyDescent="0.2">
      <c r="A216" s="3"/>
      <c r="B216" s="4"/>
      <c r="C216" s="3"/>
      <c r="D216" s="3"/>
      <c r="E216" s="3"/>
    </row>
    <row r="217" spans="1:5" x14ac:dyDescent="0.2">
      <c r="A217" s="3"/>
      <c r="B217" s="4"/>
      <c r="C217" s="3"/>
      <c r="D217" s="3"/>
      <c r="E217" s="3"/>
    </row>
    <row r="218" spans="1:5" x14ac:dyDescent="0.2">
      <c r="A218" s="3"/>
      <c r="B218" s="4"/>
      <c r="C218" s="3"/>
      <c r="D218" s="3"/>
      <c r="E218" s="3"/>
    </row>
    <row r="219" spans="1:5" x14ac:dyDescent="0.2">
      <c r="A219" s="3"/>
      <c r="B219" s="4"/>
      <c r="C219" s="3"/>
      <c r="D219" s="3"/>
      <c r="E219" s="3"/>
    </row>
    <row r="220" spans="1:5" x14ac:dyDescent="0.2">
      <c r="A220" s="3"/>
      <c r="B220" s="4"/>
      <c r="C220" s="3"/>
      <c r="D220" s="3"/>
      <c r="E220" s="3"/>
    </row>
    <row r="221" spans="1:5" x14ac:dyDescent="0.2">
      <c r="A221" s="3"/>
      <c r="B221" s="4"/>
      <c r="C221" s="3"/>
      <c r="D221" s="3"/>
      <c r="E221" s="3"/>
    </row>
    <row r="222" spans="1:5" x14ac:dyDescent="0.2">
      <c r="A222" s="3"/>
      <c r="B222" s="4"/>
      <c r="C222" s="3"/>
      <c r="D222" s="3"/>
      <c r="E222" s="3"/>
    </row>
    <row r="223" spans="1:5" x14ac:dyDescent="0.2">
      <c r="A223" s="3"/>
      <c r="B223" s="4"/>
      <c r="C223" s="3"/>
      <c r="D223" s="3"/>
      <c r="E223" s="3"/>
    </row>
    <row r="224" spans="1:5" x14ac:dyDescent="0.2">
      <c r="A224" s="3"/>
      <c r="B224" s="4"/>
      <c r="C224" s="3"/>
      <c r="D224" s="3"/>
      <c r="E224" s="3"/>
    </row>
    <row r="225" spans="1:5" x14ac:dyDescent="0.2">
      <c r="A225" s="3"/>
      <c r="B225" s="4"/>
      <c r="C225" s="3"/>
      <c r="D225" s="3"/>
      <c r="E225" s="3"/>
    </row>
    <row r="226" spans="1:5" x14ac:dyDescent="0.2">
      <c r="A226" s="3"/>
      <c r="B226" s="4"/>
      <c r="C226" s="3"/>
      <c r="D226" s="3"/>
      <c r="E226" s="3"/>
    </row>
    <row r="227" spans="1:5" x14ac:dyDescent="0.2">
      <c r="A227" s="3"/>
      <c r="B227" s="4"/>
      <c r="C227" s="3"/>
      <c r="D227" s="3"/>
      <c r="E227" s="3"/>
    </row>
    <row r="228" spans="1:5" x14ac:dyDescent="0.2">
      <c r="A228" s="3"/>
      <c r="B228" s="4"/>
      <c r="C228" s="3"/>
      <c r="D228" s="3"/>
      <c r="E228" s="3"/>
    </row>
    <row r="229" spans="1:5" x14ac:dyDescent="0.2">
      <c r="A229" s="3"/>
      <c r="B229" s="4"/>
      <c r="C229" s="3"/>
      <c r="D229" s="3"/>
      <c r="E229" s="3"/>
    </row>
    <row r="230" spans="1:5" x14ac:dyDescent="0.2">
      <c r="A230" s="3"/>
      <c r="B230" s="4"/>
      <c r="C230" s="3"/>
      <c r="D230" s="3"/>
      <c r="E230" s="3"/>
    </row>
    <row r="231" spans="1:5" x14ac:dyDescent="0.2">
      <c r="A231" s="3"/>
      <c r="B231" s="4"/>
      <c r="C231" s="3"/>
      <c r="D231" s="3"/>
      <c r="E231" s="3"/>
    </row>
    <row r="232" spans="1:5" x14ac:dyDescent="0.2">
      <c r="A232" s="3"/>
      <c r="B232" s="4"/>
      <c r="C232" s="3"/>
      <c r="D232" s="3"/>
      <c r="E232" s="3"/>
    </row>
    <row r="233" spans="1:5" x14ac:dyDescent="0.2">
      <c r="A233" s="3"/>
      <c r="B233" s="4"/>
      <c r="C233" s="3"/>
      <c r="D233" s="3"/>
      <c r="E233" s="3"/>
    </row>
    <row r="234" spans="1:5" x14ac:dyDescent="0.2">
      <c r="A234" s="3"/>
      <c r="B234" s="4"/>
      <c r="C234" s="3"/>
      <c r="D234" s="3"/>
      <c r="E234" s="3"/>
    </row>
    <row r="235" spans="1:5" x14ac:dyDescent="0.2">
      <c r="A235" s="3"/>
      <c r="B235" s="4"/>
      <c r="C235" s="3"/>
      <c r="D235" s="3"/>
      <c r="E235" s="3"/>
    </row>
    <row r="236" spans="1:5" x14ac:dyDescent="0.2">
      <c r="A236" s="3"/>
      <c r="B236" s="4"/>
      <c r="C236" s="3"/>
      <c r="D236" s="3"/>
      <c r="E236" s="3"/>
    </row>
    <row r="237" spans="1:5" x14ac:dyDescent="0.2">
      <c r="A237" s="3"/>
      <c r="B237" s="4"/>
      <c r="C237" s="3"/>
      <c r="D237" s="3"/>
      <c r="E237" s="3"/>
    </row>
    <row r="238" spans="1:5" x14ac:dyDescent="0.2">
      <c r="A238" s="3"/>
      <c r="B238" s="4"/>
      <c r="C238" s="3"/>
      <c r="D238" s="3"/>
      <c r="E238" s="3"/>
    </row>
    <row r="239" spans="1:5" x14ac:dyDescent="0.2">
      <c r="A239" s="3"/>
      <c r="B239" s="4"/>
      <c r="C239" s="3"/>
      <c r="D239" s="3"/>
      <c r="E239" s="3"/>
    </row>
    <row r="240" spans="1:5" x14ac:dyDescent="0.2">
      <c r="A240" s="3"/>
      <c r="B240" s="4"/>
      <c r="C240" s="3"/>
      <c r="D240" s="3"/>
      <c r="E240" s="3"/>
    </row>
    <row r="241" spans="1:5" x14ac:dyDescent="0.2">
      <c r="A241" s="3"/>
      <c r="B241" s="4"/>
      <c r="C241" s="3"/>
      <c r="D241" s="3"/>
      <c r="E241" s="3"/>
    </row>
    <row r="242" spans="1:5" x14ac:dyDescent="0.2">
      <c r="A242" s="3"/>
      <c r="B242" s="4"/>
      <c r="C242" s="3"/>
      <c r="D242" s="3"/>
      <c r="E242" s="3"/>
    </row>
    <row r="243" spans="1:5" x14ac:dyDescent="0.2">
      <c r="A243" s="3"/>
      <c r="B243" s="4"/>
      <c r="C243" s="3"/>
      <c r="D243" s="3"/>
      <c r="E243" s="3"/>
    </row>
    <row r="244" spans="1:5" x14ac:dyDescent="0.2">
      <c r="A244" s="3"/>
      <c r="B244" s="4"/>
      <c r="C244" s="3"/>
      <c r="D244" s="3"/>
      <c r="E244" s="3"/>
    </row>
    <row r="245" spans="1:5" x14ac:dyDescent="0.2">
      <c r="A245" s="3"/>
      <c r="B245" s="4"/>
      <c r="C245" s="3"/>
      <c r="D245" s="3"/>
      <c r="E245" s="3"/>
    </row>
    <row r="246" spans="1:5" x14ac:dyDescent="0.2">
      <c r="A246" s="3"/>
      <c r="B246" s="4"/>
      <c r="C246" s="3"/>
      <c r="D246" s="3"/>
      <c r="E246" s="3"/>
    </row>
    <row r="247" spans="1:5" x14ac:dyDescent="0.2">
      <c r="A247" s="3"/>
      <c r="B247" s="4"/>
      <c r="C247" s="3"/>
      <c r="D247" s="3"/>
      <c r="E247" s="3"/>
    </row>
    <row r="248" spans="1:5" x14ac:dyDescent="0.2">
      <c r="A248" s="3"/>
      <c r="B248" s="4"/>
      <c r="C248" s="3"/>
      <c r="D248" s="3"/>
      <c r="E248" s="3"/>
    </row>
    <row r="249" spans="1:5" x14ac:dyDescent="0.2">
      <c r="A249" s="3"/>
      <c r="B249" s="4"/>
      <c r="C249" s="3"/>
      <c r="D249" s="3"/>
      <c r="E249" s="3"/>
    </row>
    <row r="250" spans="1:5" x14ac:dyDescent="0.2">
      <c r="A250" s="3"/>
      <c r="B250" s="4"/>
      <c r="C250" s="3"/>
      <c r="D250" s="3"/>
      <c r="E250" s="3"/>
    </row>
    <row r="251" spans="1:5" x14ac:dyDescent="0.2">
      <c r="A251" s="3"/>
      <c r="B251" s="4"/>
      <c r="C251" s="3"/>
      <c r="D251" s="3"/>
      <c r="E251" s="3"/>
    </row>
    <row r="252" spans="1:5" x14ac:dyDescent="0.2">
      <c r="A252" s="3"/>
      <c r="B252" s="4"/>
      <c r="C252" s="3"/>
      <c r="D252" s="3"/>
      <c r="E252" s="3"/>
    </row>
    <row r="253" spans="1:5" x14ac:dyDescent="0.2">
      <c r="A253" s="3"/>
      <c r="B253" s="4"/>
      <c r="C253" s="3"/>
      <c r="D253" s="3"/>
      <c r="E253" s="3"/>
    </row>
    <row r="254" spans="1:5" x14ac:dyDescent="0.2">
      <c r="A254" s="3"/>
      <c r="B254" s="4"/>
      <c r="C254" s="3"/>
      <c r="D254" s="3"/>
      <c r="E254" s="3"/>
    </row>
    <row r="255" spans="1:5" x14ac:dyDescent="0.2">
      <c r="A255" s="3"/>
      <c r="B255" s="4"/>
      <c r="C255" s="3"/>
      <c r="D255" s="3"/>
      <c r="E255" s="3"/>
    </row>
    <row r="256" spans="1:5" x14ac:dyDescent="0.2">
      <c r="A256" s="3"/>
      <c r="B256" s="4"/>
      <c r="C256" s="3"/>
      <c r="D256" s="3"/>
      <c r="E256" s="3"/>
    </row>
    <row r="257" spans="1:5" x14ac:dyDescent="0.2">
      <c r="A257" s="3"/>
      <c r="B257" s="4"/>
      <c r="C257" s="3"/>
      <c r="D257" s="3"/>
      <c r="E257" s="3"/>
    </row>
    <row r="258" spans="1:5" x14ac:dyDescent="0.2">
      <c r="A258" s="3"/>
      <c r="B258" s="4"/>
      <c r="C258" s="3"/>
      <c r="D258" s="3"/>
      <c r="E258" s="3"/>
    </row>
    <row r="259" spans="1:5" x14ac:dyDescent="0.2">
      <c r="A259" s="3"/>
      <c r="B259" s="4"/>
      <c r="C259" s="3"/>
      <c r="D259" s="3"/>
      <c r="E259" s="3"/>
    </row>
    <row r="260" spans="1:5" x14ac:dyDescent="0.2">
      <c r="A260" s="3"/>
      <c r="B260" s="4"/>
      <c r="C260" s="3"/>
      <c r="D260" s="3"/>
      <c r="E260" s="3"/>
    </row>
    <row r="261" spans="1:5" x14ac:dyDescent="0.2">
      <c r="A261" s="3"/>
      <c r="B261" s="4"/>
      <c r="C261" s="3"/>
      <c r="D261" s="3"/>
      <c r="E261" s="3"/>
    </row>
    <row r="262" spans="1:5" x14ac:dyDescent="0.2">
      <c r="A262" s="3"/>
      <c r="B262" s="4"/>
      <c r="C262" s="3"/>
      <c r="D262" s="3"/>
      <c r="E262" s="3"/>
    </row>
    <row r="263" spans="1:5" x14ac:dyDescent="0.2">
      <c r="A263" s="3"/>
      <c r="B263" s="4"/>
      <c r="C263" s="3"/>
      <c r="D263" s="3"/>
      <c r="E263" s="3"/>
    </row>
    <row r="264" spans="1:5" x14ac:dyDescent="0.2">
      <c r="A264" s="3"/>
      <c r="B264" s="4"/>
      <c r="C264" s="3"/>
      <c r="D264" s="3"/>
      <c r="E264" s="3"/>
    </row>
    <row r="265" spans="1:5" x14ac:dyDescent="0.2">
      <c r="A265" s="3"/>
      <c r="B265" s="4"/>
      <c r="C265" s="3"/>
      <c r="D265" s="3"/>
      <c r="E265" s="3"/>
    </row>
    <row r="266" spans="1:5" x14ac:dyDescent="0.2">
      <c r="A266" s="3"/>
      <c r="B266" s="4"/>
      <c r="C266" s="3"/>
      <c r="D266" s="3"/>
      <c r="E266" s="3"/>
    </row>
    <row r="267" spans="1:5" x14ac:dyDescent="0.2">
      <c r="A267" s="3"/>
      <c r="B267" s="4"/>
      <c r="C267" s="3"/>
      <c r="D267" s="3"/>
      <c r="E267" s="3"/>
    </row>
    <row r="268" spans="1:5" x14ac:dyDescent="0.2">
      <c r="A268" s="3"/>
      <c r="B268" s="4"/>
      <c r="C268" s="3"/>
      <c r="D268" s="3"/>
      <c r="E268" s="3"/>
    </row>
    <row r="269" spans="1:5" x14ac:dyDescent="0.2">
      <c r="A269" s="3"/>
      <c r="B269" s="4"/>
      <c r="C269" s="3"/>
      <c r="D269" s="3"/>
      <c r="E269" s="3"/>
    </row>
    <row r="270" spans="1:5" x14ac:dyDescent="0.2">
      <c r="A270" s="3"/>
      <c r="B270" s="4"/>
      <c r="C270" s="3"/>
      <c r="D270" s="3"/>
      <c r="E270" s="3"/>
    </row>
    <row r="271" spans="1:5" x14ac:dyDescent="0.2">
      <c r="A271" s="3"/>
      <c r="B271" s="4"/>
      <c r="C271" s="3"/>
      <c r="D271" s="3"/>
      <c r="E271" s="3"/>
    </row>
    <row r="272" spans="1:5" x14ac:dyDescent="0.2">
      <c r="A272" s="3"/>
      <c r="B272" s="4"/>
      <c r="C272" s="3"/>
      <c r="D272" s="3"/>
      <c r="E272" s="3"/>
    </row>
    <row r="273" spans="1:5" x14ac:dyDescent="0.2">
      <c r="A273" s="3"/>
      <c r="B273" s="4"/>
      <c r="C273" s="3"/>
      <c r="D273" s="3"/>
      <c r="E273" s="3"/>
    </row>
    <row r="274" spans="1:5" x14ac:dyDescent="0.2">
      <c r="A274" s="3"/>
      <c r="B274" s="4"/>
      <c r="C274" s="3"/>
      <c r="D274" s="3"/>
      <c r="E274" s="3"/>
    </row>
    <row r="275" spans="1:5" x14ac:dyDescent="0.2">
      <c r="A275" s="3"/>
      <c r="B275" s="4"/>
      <c r="C275" s="3"/>
      <c r="D275" s="3"/>
      <c r="E275" s="3"/>
    </row>
    <row r="276" spans="1:5" x14ac:dyDescent="0.2">
      <c r="A276" s="3"/>
      <c r="B276" s="4"/>
      <c r="C276" s="3"/>
      <c r="D276" s="3"/>
      <c r="E276" s="3"/>
    </row>
    <row r="277" spans="1:5" x14ac:dyDescent="0.2">
      <c r="A277" s="3"/>
      <c r="B277" s="4"/>
      <c r="C277" s="3"/>
      <c r="D277" s="3"/>
      <c r="E277" s="3"/>
    </row>
    <row r="278" spans="1:5" x14ac:dyDescent="0.2">
      <c r="A278" s="3"/>
      <c r="B278" s="4"/>
      <c r="C278" s="3"/>
      <c r="D278" s="3"/>
      <c r="E278" s="3"/>
    </row>
    <row r="279" spans="1:5" x14ac:dyDescent="0.2">
      <c r="A279" s="3"/>
      <c r="B279" s="4"/>
      <c r="C279" s="3"/>
      <c r="D279" s="3"/>
      <c r="E279" s="3"/>
    </row>
    <row r="280" spans="1:5" x14ac:dyDescent="0.2">
      <c r="A280" s="3"/>
      <c r="B280" s="4"/>
      <c r="C280" s="3"/>
      <c r="D280" s="3"/>
      <c r="E280" s="3"/>
    </row>
    <row r="281" spans="1:5" x14ac:dyDescent="0.2">
      <c r="A281" s="3"/>
      <c r="B281" s="4"/>
      <c r="C281" s="3"/>
      <c r="D281" s="3"/>
      <c r="E281" s="3"/>
    </row>
    <row r="282" spans="1:5" x14ac:dyDescent="0.2">
      <c r="A282" s="3"/>
      <c r="B282" s="4"/>
      <c r="C282" s="3"/>
      <c r="D282" s="3"/>
      <c r="E282" s="3"/>
    </row>
    <row r="283" spans="1:5" x14ac:dyDescent="0.2">
      <c r="A283" s="3"/>
      <c r="B283" s="4"/>
      <c r="C283" s="3"/>
      <c r="D283" s="3"/>
      <c r="E283" s="3"/>
    </row>
    <row r="284" spans="1:5" x14ac:dyDescent="0.2">
      <c r="A284" s="3"/>
      <c r="B284" s="4"/>
      <c r="C284" s="3"/>
      <c r="D284" s="3"/>
      <c r="E284" s="3"/>
    </row>
    <row r="285" spans="1:5" x14ac:dyDescent="0.2">
      <c r="A285" s="3"/>
      <c r="B285" s="4"/>
      <c r="C285" s="3"/>
      <c r="D285" s="3"/>
      <c r="E285" s="3"/>
    </row>
    <row r="286" spans="1:5" x14ac:dyDescent="0.2">
      <c r="A286" s="3"/>
      <c r="B286" s="4"/>
      <c r="C286" s="3"/>
      <c r="D286" s="3"/>
      <c r="E286" s="3"/>
    </row>
    <row r="287" spans="1:5" x14ac:dyDescent="0.2">
      <c r="A287" s="3"/>
      <c r="B287" s="4"/>
      <c r="C287" s="3"/>
      <c r="D287" s="3"/>
      <c r="E287" s="3"/>
    </row>
    <row r="288" spans="1:5" x14ac:dyDescent="0.2">
      <c r="A288" s="3"/>
      <c r="B288" s="4"/>
      <c r="C288" s="3"/>
      <c r="D288" s="3"/>
      <c r="E288" s="3"/>
    </row>
    <row r="289" spans="1:5" x14ac:dyDescent="0.2">
      <c r="A289" s="3"/>
      <c r="B289" s="4"/>
      <c r="C289" s="3"/>
      <c r="D289" s="3"/>
      <c r="E289" s="3"/>
    </row>
    <row r="290" spans="1:5" x14ac:dyDescent="0.2">
      <c r="A290" s="3"/>
      <c r="B290" s="4"/>
      <c r="C290" s="3"/>
      <c r="D290" s="3"/>
      <c r="E290" s="3"/>
    </row>
    <row r="291" spans="1:5" x14ac:dyDescent="0.2">
      <c r="A291" s="3"/>
      <c r="B291" s="4"/>
      <c r="C291" s="3"/>
      <c r="D291" s="3"/>
      <c r="E291" s="3"/>
    </row>
    <row r="292" spans="1:5" x14ac:dyDescent="0.2">
      <c r="A292" s="3"/>
      <c r="B292" s="4"/>
      <c r="C292" s="3"/>
      <c r="D292" s="3"/>
      <c r="E292" s="3"/>
    </row>
    <row r="293" spans="1:5" x14ac:dyDescent="0.2">
      <c r="A293" s="3"/>
      <c r="B293" s="4"/>
      <c r="C293" s="3"/>
      <c r="D293" s="3"/>
      <c r="E293" s="3"/>
    </row>
    <row r="294" spans="1:5" x14ac:dyDescent="0.2">
      <c r="A294" s="3"/>
      <c r="B294" s="4"/>
      <c r="C294" s="3"/>
      <c r="D294" s="3"/>
      <c r="E294" s="3"/>
    </row>
    <row r="295" spans="1:5" x14ac:dyDescent="0.2">
      <c r="A295" s="3"/>
      <c r="B295" s="4"/>
      <c r="C295" s="3"/>
      <c r="D295" s="3"/>
      <c r="E295" s="3"/>
    </row>
    <row r="296" spans="1:5" x14ac:dyDescent="0.2">
      <c r="A296" s="3"/>
      <c r="B296" s="4"/>
      <c r="C296" s="3"/>
      <c r="D296" s="3"/>
      <c r="E296" s="3"/>
    </row>
    <row r="297" spans="1:5" x14ac:dyDescent="0.2">
      <c r="A297" s="3"/>
      <c r="B297" s="4"/>
      <c r="C297" s="3"/>
      <c r="D297" s="3"/>
      <c r="E297" s="3"/>
    </row>
    <row r="298" spans="1:5" x14ac:dyDescent="0.2">
      <c r="A298" s="3"/>
      <c r="B298" s="4"/>
      <c r="C298" s="3"/>
      <c r="D298" s="3"/>
      <c r="E298" s="3"/>
    </row>
    <row r="299" spans="1:5" x14ac:dyDescent="0.2">
      <c r="A299" s="3"/>
      <c r="B299" s="4"/>
      <c r="C299" s="3"/>
      <c r="D299" s="3"/>
      <c r="E299" s="3"/>
    </row>
    <row r="300" spans="1:5" x14ac:dyDescent="0.2">
      <c r="A300" s="3"/>
      <c r="B300" s="4"/>
      <c r="C300" s="3"/>
      <c r="D300" s="3"/>
      <c r="E300" s="3"/>
    </row>
    <row r="301" spans="1:5" x14ac:dyDescent="0.2">
      <c r="A301" s="3"/>
      <c r="B301" s="4"/>
      <c r="C301" s="3"/>
      <c r="D301" s="3"/>
      <c r="E301" s="3"/>
    </row>
    <row r="302" spans="1:5" x14ac:dyDescent="0.2">
      <c r="A302" s="3"/>
      <c r="B302" s="4"/>
      <c r="C302" s="3"/>
      <c r="D302" s="3"/>
      <c r="E302" s="3"/>
    </row>
    <row r="303" spans="1:5" x14ac:dyDescent="0.2">
      <c r="A303" s="3"/>
      <c r="B303" s="4"/>
      <c r="C303" s="3"/>
      <c r="D303" s="3"/>
      <c r="E303" s="3"/>
    </row>
    <row r="304" spans="1:5" x14ac:dyDescent="0.2">
      <c r="A304" s="3"/>
      <c r="B304" s="4"/>
      <c r="C304" s="3"/>
      <c r="D304" s="3"/>
      <c r="E304" s="3"/>
    </row>
    <row r="305" spans="1:5" x14ac:dyDescent="0.2">
      <c r="A305" s="3"/>
      <c r="B305" s="4"/>
      <c r="C305" s="3"/>
      <c r="D305" s="3"/>
      <c r="E305" s="3"/>
    </row>
    <row r="306" spans="1:5" x14ac:dyDescent="0.2">
      <c r="A306" s="3"/>
      <c r="B306" s="4"/>
      <c r="C306" s="3"/>
      <c r="D306" s="3"/>
      <c r="E306" s="3"/>
    </row>
    <row r="307" spans="1:5" x14ac:dyDescent="0.2">
      <c r="A307" s="3"/>
      <c r="B307" s="4"/>
      <c r="C307" s="3"/>
      <c r="D307" s="3"/>
      <c r="E307" s="3"/>
    </row>
    <row r="308" spans="1:5" x14ac:dyDescent="0.2">
      <c r="A308" s="3"/>
      <c r="B308" s="4"/>
      <c r="C308" s="3"/>
      <c r="D308" s="3"/>
      <c r="E308" s="3"/>
    </row>
    <row r="309" spans="1:5" x14ac:dyDescent="0.2">
      <c r="A309" s="3"/>
      <c r="B309" s="4"/>
      <c r="C309" s="3"/>
      <c r="D309" s="3"/>
      <c r="E309" s="3"/>
    </row>
    <row r="310" spans="1:5" x14ac:dyDescent="0.2">
      <c r="A310" s="3"/>
      <c r="B310" s="4"/>
      <c r="C310" s="3"/>
      <c r="D310" s="3"/>
      <c r="E310" s="3"/>
    </row>
    <row r="311" spans="1:5" x14ac:dyDescent="0.2">
      <c r="A311" s="3"/>
      <c r="B311" s="4"/>
      <c r="C311" s="3"/>
      <c r="D311" s="3"/>
      <c r="E311" s="3"/>
    </row>
    <row r="312" spans="1:5" x14ac:dyDescent="0.2">
      <c r="A312" s="3"/>
      <c r="B312" s="4"/>
      <c r="C312" s="3"/>
      <c r="D312" s="3"/>
      <c r="E312" s="3"/>
    </row>
    <row r="313" spans="1:5" x14ac:dyDescent="0.2">
      <c r="A313" s="3"/>
      <c r="B313" s="4"/>
      <c r="C313" s="3"/>
      <c r="D313" s="3"/>
      <c r="E313" s="3"/>
    </row>
    <row r="314" spans="1:5" x14ac:dyDescent="0.2">
      <c r="A314" s="3"/>
      <c r="B314" s="4"/>
      <c r="C314" s="3"/>
      <c r="D314" s="3"/>
      <c r="E314" s="3"/>
    </row>
    <row r="315" spans="1:5" x14ac:dyDescent="0.2">
      <c r="A315" s="3"/>
      <c r="B315" s="4"/>
      <c r="C315" s="3"/>
      <c r="D315" s="3"/>
      <c r="E315" s="3"/>
    </row>
    <row r="316" spans="1:5" x14ac:dyDescent="0.2">
      <c r="A316" s="3"/>
      <c r="B316" s="4"/>
      <c r="C316" s="3"/>
      <c r="D316" s="3"/>
      <c r="E316" s="3"/>
    </row>
    <row r="317" spans="1:5" x14ac:dyDescent="0.2">
      <c r="A317" s="3"/>
      <c r="B317" s="4"/>
      <c r="C317" s="3"/>
      <c r="D317" s="3"/>
      <c r="E317" s="3"/>
    </row>
    <row r="318" spans="1:5" x14ac:dyDescent="0.2">
      <c r="A318" s="3"/>
      <c r="B318" s="4"/>
      <c r="C318" s="3"/>
      <c r="D318" s="3"/>
      <c r="E318" s="3"/>
    </row>
    <row r="319" spans="1:5" x14ac:dyDescent="0.2">
      <c r="A319" s="3"/>
      <c r="B319" s="4"/>
      <c r="C319" s="3"/>
      <c r="D319" s="3"/>
      <c r="E319" s="3"/>
    </row>
    <row r="320" spans="1:5" x14ac:dyDescent="0.2">
      <c r="A320" s="3"/>
      <c r="B320" s="4"/>
      <c r="C320" s="3"/>
      <c r="D320" s="3"/>
      <c r="E320" s="3"/>
    </row>
    <row r="321" spans="1:5" x14ac:dyDescent="0.2">
      <c r="A321" s="3"/>
      <c r="B321" s="4"/>
      <c r="C321" s="3"/>
      <c r="D321" s="3"/>
      <c r="E321" s="3"/>
    </row>
    <row r="322" spans="1:5" x14ac:dyDescent="0.2">
      <c r="A322" s="3"/>
      <c r="B322" s="4"/>
      <c r="C322" s="3"/>
      <c r="D322" s="3"/>
      <c r="E322" s="3"/>
    </row>
    <row r="323" spans="1:5" x14ac:dyDescent="0.2">
      <c r="A323" s="3"/>
      <c r="B323" s="4"/>
      <c r="C323" s="3"/>
      <c r="D323" s="3"/>
      <c r="E323" s="3"/>
    </row>
    <row r="324" spans="1:5" x14ac:dyDescent="0.2">
      <c r="A324" s="3"/>
      <c r="B324" s="4"/>
      <c r="C324" s="3"/>
      <c r="D324" s="3"/>
      <c r="E324" s="3"/>
    </row>
    <row r="325" spans="1:5" x14ac:dyDescent="0.2">
      <c r="A325" s="3"/>
      <c r="B325" s="4"/>
      <c r="C325" s="3"/>
      <c r="D325" s="3"/>
      <c r="E325" s="3"/>
    </row>
    <row r="326" spans="1:5" x14ac:dyDescent="0.2">
      <c r="A326" s="3"/>
      <c r="B326" s="4"/>
      <c r="C326" s="3"/>
      <c r="D326" s="3"/>
      <c r="E326" s="3"/>
    </row>
    <row r="327" spans="1:5" x14ac:dyDescent="0.2">
      <c r="A327" s="3"/>
      <c r="B327" s="4"/>
      <c r="C327" s="3"/>
      <c r="D327" s="3"/>
      <c r="E327" s="3"/>
    </row>
    <row r="328" spans="1:5" x14ac:dyDescent="0.2">
      <c r="A328" s="3"/>
      <c r="B328" s="4"/>
      <c r="C328" s="3"/>
      <c r="D328" s="3"/>
      <c r="E328" s="3"/>
    </row>
    <row r="329" spans="1:5" x14ac:dyDescent="0.2">
      <c r="A329" s="3"/>
      <c r="B329" s="4"/>
      <c r="C329" s="3"/>
      <c r="D329" s="3"/>
      <c r="E329" s="3"/>
    </row>
    <row r="330" spans="1:5" x14ac:dyDescent="0.2">
      <c r="A330" s="3"/>
      <c r="B330" s="4"/>
      <c r="C330" s="3"/>
      <c r="D330" s="3"/>
      <c r="E330" s="3"/>
    </row>
    <row r="331" spans="1:5" x14ac:dyDescent="0.2">
      <c r="A331" s="3"/>
      <c r="B331" s="4"/>
      <c r="C331" s="3"/>
      <c r="D331" s="3"/>
      <c r="E331" s="3"/>
    </row>
    <row r="332" spans="1:5" x14ac:dyDescent="0.2">
      <c r="A332" s="3"/>
      <c r="B332" s="4"/>
      <c r="C332" s="3"/>
      <c r="D332" s="3"/>
      <c r="E332" s="3"/>
    </row>
    <row r="333" spans="1:5" x14ac:dyDescent="0.2">
      <c r="A333" s="3"/>
      <c r="B333" s="4"/>
      <c r="C333" s="3"/>
      <c r="D333" s="3"/>
      <c r="E333" s="3"/>
    </row>
    <row r="334" spans="1:5" x14ac:dyDescent="0.2">
      <c r="A334" s="3"/>
      <c r="B334" s="4"/>
      <c r="C334" s="3"/>
      <c r="D334" s="3"/>
      <c r="E334" s="3"/>
    </row>
    <row r="335" spans="1:5" x14ac:dyDescent="0.2">
      <c r="A335" s="3"/>
      <c r="B335" s="4"/>
      <c r="C335" s="3"/>
      <c r="D335" s="3"/>
      <c r="E335" s="3"/>
    </row>
    <row r="336" spans="1:5" x14ac:dyDescent="0.2">
      <c r="A336" s="3"/>
      <c r="B336" s="4"/>
      <c r="C336" s="3"/>
      <c r="D336" s="3"/>
      <c r="E336" s="3"/>
    </row>
    <row r="337" spans="1:5" x14ac:dyDescent="0.2">
      <c r="A337" s="3"/>
      <c r="B337" s="4"/>
      <c r="C337" s="3"/>
      <c r="D337" s="3"/>
      <c r="E337" s="3"/>
    </row>
    <row r="338" spans="1:5" x14ac:dyDescent="0.2">
      <c r="A338" s="3"/>
      <c r="B338" s="4"/>
      <c r="C338" s="3"/>
      <c r="D338" s="3"/>
      <c r="E338" s="3"/>
    </row>
    <row r="339" spans="1:5" x14ac:dyDescent="0.2">
      <c r="A339" s="3"/>
      <c r="B339" s="4"/>
      <c r="C339" s="3"/>
      <c r="D339" s="3"/>
      <c r="E339" s="3"/>
    </row>
    <row r="340" spans="1:5" x14ac:dyDescent="0.2">
      <c r="A340" s="3"/>
      <c r="B340" s="4"/>
      <c r="C340" s="3"/>
      <c r="D340" s="3"/>
      <c r="E340" s="3"/>
    </row>
    <row r="341" spans="1:5" x14ac:dyDescent="0.2">
      <c r="A341" s="3"/>
      <c r="B341" s="4"/>
      <c r="C341" s="3"/>
      <c r="D341" s="3"/>
      <c r="E341" s="3"/>
    </row>
    <row r="342" spans="1:5" x14ac:dyDescent="0.2">
      <c r="A342" s="3"/>
      <c r="B342" s="4"/>
      <c r="C342" s="3"/>
      <c r="D342" s="3"/>
      <c r="E342" s="3"/>
    </row>
    <row r="343" spans="1:5" x14ac:dyDescent="0.2">
      <c r="A343" s="3"/>
      <c r="B343" s="4"/>
      <c r="C343" s="3"/>
      <c r="D343" s="3"/>
      <c r="E343" s="3"/>
    </row>
    <row r="344" spans="1:5" x14ac:dyDescent="0.2">
      <c r="A344" s="3"/>
      <c r="B344" s="4"/>
      <c r="C344" s="3"/>
      <c r="D344" s="3"/>
      <c r="E344" s="3"/>
    </row>
    <row r="345" spans="1:5" x14ac:dyDescent="0.2">
      <c r="A345" s="3"/>
      <c r="B345" s="4"/>
      <c r="C345" s="3"/>
      <c r="D345" s="3"/>
      <c r="E345" s="3"/>
    </row>
    <row r="346" spans="1:5" x14ac:dyDescent="0.2">
      <c r="A346" s="3"/>
      <c r="B346" s="4"/>
      <c r="C346" s="3"/>
      <c r="D346" s="3"/>
      <c r="E346" s="3"/>
    </row>
    <row r="347" spans="1:5" x14ac:dyDescent="0.2">
      <c r="A347" s="3"/>
      <c r="B347" s="4"/>
      <c r="C347" s="3"/>
      <c r="D347" s="3"/>
      <c r="E347" s="3"/>
    </row>
    <row r="348" spans="1:5" x14ac:dyDescent="0.2">
      <c r="A348" s="3"/>
      <c r="B348" s="4"/>
      <c r="C348" s="3"/>
      <c r="D348" s="3"/>
      <c r="E348" s="3"/>
    </row>
    <row r="349" spans="1:5" x14ac:dyDescent="0.2">
      <c r="A349" s="3"/>
      <c r="B349" s="4"/>
      <c r="C349" s="3"/>
      <c r="D349" s="3"/>
      <c r="E349" s="3"/>
    </row>
    <row r="350" spans="1:5" x14ac:dyDescent="0.2">
      <c r="A350" s="3"/>
      <c r="B350" s="4"/>
      <c r="C350" s="3"/>
      <c r="D350" s="3"/>
      <c r="E350" s="3"/>
    </row>
    <row r="351" spans="1:5" x14ac:dyDescent="0.2">
      <c r="A351" s="3"/>
      <c r="B351" s="4"/>
      <c r="C351" s="3"/>
      <c r="D351" s="3"/>
      <c r="E351" s="3"/>
    </row>
    <row r="352" spans="1:5" x14ac:dyDescent="0.2">
      <c r="A352" s="3"/>
      <c r="B352" s="4"/>
      <c r="C352" s="3"/>
      <c r="D352" s="3"/>
      <c r="E352" s="3"/>
    </row>
    <row r="353" spans="1:5" x14ac:dyDescent="0.2">
      <c r="A353" s="3"/>
      <c r="B353" s="4"/>
      <c r="C353" s="3"/>
      <c r="D353" s="3"/>
      <c r="E353" s="3"/>
    </row>
    <row r="354" spans="1:5" x14ac:dyDescent="0.2">
      <c r="A354" s="3"/>
      <c r="B354" s="4"/>
      <c r="C354" s="3"/>
      <c r="D354" s="3"/>
      <c r="E354" s="3"/>
    </row>
    <row r="355" spans="1:5" x14ac:dyDescent="0.2">
      <c r="A355" s="3"/>
      <c r="B355" s="4"/>
      <c r="C355" s="3"/>
      <c r="D355" s="3"/>
      <c r="E355" s="3"/>
    </row>
    <row r="356" spans="1:5" x14ac:dyDescent="0.2">
      <c r="A356" s="3"/>
      <c r="B356" s="4"/>
      <c r="C356" s="3"/>
      <c r="D356" s="3"/>
      <c r="E356" s="3"/>
    </row>
    <row r="357" spans="1:5" x14ac:dyDescent="0.2">
      <c r="A357" s="3"/>
      <c r="B357" s="4"/>
      <c r="C357" s="3"/>
      <c r="D357" s="3"/>
      <c r="E357" s="3"/>
    </row>
    <row r="358" spans="1:5" x14ac:dyDescent="0.2">
      <c r="A358" s="3"/>
      <c r="B358" s="4"/>
      <c r="C358" s="3"/>
      <c r="D358" s="3"/>
      <c r="E358" s="3"/>
    </row>
    <row r="359" spans="1:5" x14ac:dyDescent="0.2">
      <c r="A359" s="3"/>
      <c r="B359" s="4"/>
      <c r="C359" s="3"/>
      <c r="D359" s="3"/>
      <c r="E359" s="3"/>
    </row>
    <row r="360" spans="1:5" x14ac:dyDescent="0.2">
      <c r="A360" s="3"/>
      <c r="B360" s="4"/>
      <c r="C360" s="3"/>
      <c r="D360" s="3"/>
      <c r="E360" s="3"/>
    </row>
    <row r="361" spans="1:5" x14ac:dyDescent="0.2">
      <c r="A361" s="3"/>
      <c r="B361" s="4"/>
      <c r="C361" s="3"/>
      <c r="D361" s="3"/>
      <c r="E361" s="3"/>
    </row>
    <row r="362" spans="1:5" x14ac:dyDescent="0.2">
      <c r="A362" s="3"/>
      <c r="B362" s="4"/>
      <c r="C362" s="3"/>
      <c r="D362" s="3"/>
      <c r="E362" s="3"/>
    </row>
    <row r="363" spans="1:5" x14ac:dyDescent="0.2">
      <c r="A363" s="3"/>
      <c r="B363" s="4"/>
      <c r="C363" s="3"/>
      <c r="D363" s="3"/>
      <c r="E363" s="3"/>
    </row>
    <row r="364" spans="1:5" x14ac:dyDescent="0.2">
      <c r="A364" s="3"/>
      <c r="B364" s="4"/>
      <c r="C364" s="3"/>
      <c r="D364" s="3"/>
      <c r="E364" s="3"/>
    </row>
    <row r="365" spans="1:5" x14ac:dyDescent="0.2">
      <c r="A365" s="3"/>
      <c r="B365" s="4"/>
      <c r="C365" s="3"/>
      <c r="D365" s="3"/>
      <c r="E365" s="3"/>
    </row>
    <row r="366" spans="1:5" x14ac:dyDescent="0.2">
      <c r="A366" s="3"/>
      <c r="B366" s="4"/>
      <c r="C366" s="3"/>
      <c r="D366" s="3"/>
      <c r="E366" s="3"/>
    </row>
    <row r="367" spans="1:5" x14ac:dyDescent="0.2">
      <c r="A367" s="3"/>
      <c r="B367" s="4"/>
      <c r="C367" s="3"/>
      <c r="D367" s="3"/>
      <c r="E367" s="3"/>
    </row>
    <row r="368" spans="1:5" x14ac:dyDescent="0.2">
      <c r="A368" s="3"/>
      <c r="B368" s="4"/>
      <c r="C368" s="3"/>
      <c r="D368" s="3"/>
      <c r="E368" s="3"/>
    </row>
    <row r="369" spans="1:5" x14ac:dyDescent="0.2">
      <c r="A369" s="3"/>
      <c r="B369" s="4"/>
      <c r="C369" s="3"/>
      <c r="D369" s="3"/>
      <c r="E369" s="3"/>
    </row>
    <row r="370" spans="1:5" x14ac:dyDescent="0.2">
      <c r="A370" s="3"/>
      <c r="B370" s="4"/>
      <c r="C370" s="3"/>
      <c r="D370" s="3"/>
      <c r="E370" s="3"/>
    </row>
    <row r="371" spans="1:5" x14ac:dyDescent="0.2">
      <c r="A371" s="3"/>
      <c r="B371" s="4"/>
      <c r="C371" s="3"/>
      <c r="D371" s="3"/>
      <c r="E371" s="3"/>
    </row>
    <row r="372" spans="1:5" x14ac:dyDescent="0.2">
      <c r="A372" s="3"/>
      <c r="B372" s="4"/>
      <c r="C372" s="3"/>
      <c r="D372" s="3"/>
      <c r="E372" s="3"/>
    </row>
    <row r="373" spans="1:5" x14ac:dyDescent="0.2">
      <c r="A373" s="3"/>
      <c r="B373" s="4"/>
      <c r="C373" s="3"/>
      <c r="D373" s="3"/>
      <c r="E373" s="3"/>
    </row>
    <row r="374" spans="1:5" x14ac:dyDescent="0.2">
      <c r="A374" s="3"/>
      <c r="B374" s="4"/>
      <c r="C374" s="3"/>
      <c r="D374" s="3"/>
      <c r="E374" s="3"/>
    </row>
    <row r="375" spans="1:5" x14ac:dyDescent="0.2">
      <c r="A375" s="3"/>
      <c r="B375" s="4"/>
      <c r="C375" s="3"/>
      <c r="D375" s="3"/>
      <c r="E375" s="3"/>
    </row>
    <row r="376" spans="1:5" x14ac:dyDescent="0.2">
      <c r="A376" s="3"/>
      <c r="B376" s="4"/>
      <c r="C376" s="3"/>
      <c r="D376" s="3"/>
      <c r="E376" s="3"/>
    </row>
    <row r="377" spans="1:5" x14ac:dyDescent="0.2">
      <c r="A377" s="3"/>
      <c r="B377" s="4"/>
      <c r="C377" s="3"/>
      <c r="D377" s="3"/>
      <c r="E377" s="3"/>
    </row>
    <row r="378" spans="1:5" x14ac:dyDescent="0.2">
      <c r="A378" s="3"/>
      <c r="B378" s="4"/>
      <c r="C378" s="3"/>
      <c r="D378" s="3"/>
      <c r="E378" s="3"/>
    </row>
    <row r="379" spans="1:5" x14ac:dyDescent="0.2">
      <c r="A379" s="3"/>
      <c r="B379" s="4"/>
      <c r="C379" s="3"/>
      <c r="D379" s="3"/>
      <c r="E379" s="3"/>
    </row>
    <row r="380" spans="1:5" x14ac:dyDescent="0.2">
      <c r="A380" s="3"/>
      <c r="B380" s="4"/>
      <c r="C380" s="3"/>
      <c r="D380" s="3"/>
      <c r="E380" s="3"/>
    </row>
    <row r="381" spans="1:5" x14ac:dyDescent="0.2">
      <c r="A381" s="3"/>
      <c r="B381" s="4"/>
      <c r="C381" s="3"/>
      <c r="D381" s="3"/>
      <c r="E381" s="3"/>
    </row>
    <row r="382" spans="1:5" x14ac:dyDescent="0.2">
      <c r="A382" s="3"/>
      <c r="B382" s="4"/>
      <c r="C382" s="3"/>
      <c r="D382" s="3"/>
      <c r="E382" s="3"/>
    </row>
    <row r="383" spans="1:5" x14ac:dyDescent="0.2">
      <c r="A383" s="3"/>
      <c r="B383" s="4"/>
      <c r="C383" s="3"/>
      <c r="D383" s="3"/>
      <c r="E383" s="3"/>
    </row>
    <row r="384" spans="1:5" x14ac:dyDescent="0.2">
      <c r="A384" s="3"/>
      <c r="B384" s="4"/>
      <c r="C384" s="3"/>
      <c r="D384" s="3"/>
      <c r="E384" s="3"/>
    </row>
    <row r="385" spans="1:5" x14ac:dyDescent="0.2">
      <c r="A385" s="3"/>
      <c r="B385" s="4"/>
      <c r="C385" s="3"/>
      <c r="D385" s="3"/>
      <c r="E385" s="3"/>
    </row>
    <row r="386" spans="1:5" x14ac:dyDescent="0.2">
      <c r="A386" s="3"/>
      <c r="B386" s="4"/>
      <c r="C386" s="3"/>
      <c r="D386" s="3"/>
      <c r="E386" s="3"/>
    </row>
    <row r="387" spans="1:5" x14ac:dyDescent="0.2">
      <c r="A387" s="3"/>
      <c r="B387" s="4"/>
      <c r="C387" s="3"/>
      <c r="D387" s="3"/>
      <c r="E387" s="3"/>
    </row>
    <row r="388" spans="1:5" x14ac:dyDescent="0.2">
      <c r="A388" s="3"/>
      <c r="B388" s="4"/>
      <c r="C388" s="3"/>
      <c r="D388" s="3"/>
      <c r="E388" s="3"/>
    </row>
    <row r="389" spans="1:5" x14ac:dyDescent="0.2">
      <c r="A389" s="3"/>
      <c r="B389" s="4"/>
      <c r="C389" s="3"/>
      <c r="D389" s="3"/>
      <c r="E389" s="3"/>
    </row>
    <row r="390" spans="1:5" x14ac:dyDescent="0.2">
      <c r="A390" s="3"/>
      <c r="B390" s="4"/>
      <c r="C390" s="3"/>
      <c r="D390" s="3"/>
      <c r="E390" s="3"/>
    </row>
    <row r="391" spans="1:5" x14ac:dyDescent="0.2">
      <c r="A391" s="3"/>
      <c r="B391" s="4"/>
      <c r="C391" s="3"/>
      <c r="D391" s="3"/>
      <c r="E391" s="3"/>
    </row>
    <row r="392" spans="1:5" x14ac:dyDescent="0.2">
      <c r="A392" s="3"/>
      <c r="B392" s="4"/>
      <c r="C392" s="3"/>
      <c r="D392" s="3"/>
      <c r="E392" s="3"/>
    </row>
    <row r="393" spans="1:5" x14ac:dyDescent="0.2">
      <c r="A393" s="3"/>
      <c r="B393" s="4"/>
      <c r="C393" s="3"/>
      <c r="D393" s="3"/>
      <c r="E393" s="3"/>
    </row>
    <row r="394" spans="1:5" x14ac:dyDescent="0.2">
      <c r="A394" s="3"/>
      <c r="B394" s="4"/>
      <c r="C394" s="3"/>
      <c r="D394" s="3"/>
      <c r="E394" s="3"/>
    </row>
    <row r="395" spans="1:5" x14ac:dyDescent="0.2">
      <c r="A395" s="3"/>
      <c r="B395" s="4"/>
      <c r="C395" s="3"/>
      <c r="D395" s="3"/>
      <c r="E395" s="3"/>
    </row>
    <row r="396" spans="1:5" x14ac:dyDescent="0.2">
      <c r="A396" s="3"/>
      <c r="B396" s="4"/>
      <c r="C396" s="3"/>
      <c r="D396" s="3"/>
      <c r="E396" s="3"/>
    </row>
    <row r="397" spans="1:5" x14ac:dyDescent="0.2">
      <c r="A397" s="3"/>
      <c r="B397" s="4"/>
      <c r="C397" s="3"/>
      <c r="D397" s="3"/>
      <c r="E397" s="3"/>
    </row>
    <row r="398" spans="1:5" x14ac:dyDescent="0.2">
      <c r="A398" s="3"/>
      <c r="B398" s="4"/>
      <c r="C398" s="3"/>
      <c r="D398" s="3"/>
      <c r="E398" s="3"/>
    </row>
    <row r="399" spans="1:5" x14ac:dyDescent="0.2">
      <c r="A399" s="3"/>
      <c r="B399" s="4"/>
      <c r="C399" s="3"/>
      <c r="D399" s="3"/>
      <c r="E399" s="3"/>
    </row>
    <row r="400" spans="1:5" x14ac:dyDescent="0.2">
      <c r="A400" s="3"/>
      <c r="B400" s="4"/>
      <c r="C400" s="3"/>
      <c r="D400" s="3"/>
      <c r="E400" s="3"/>
    </row>
    <row r="401" spans="1:5" x14ac:dyDescent="0.2">
      <c r="A401" s="3"/>
      <c r="B401" s="4"/>
      <c r="C401" s="3"/>
      <c r="D401" s="3"/>
      <c r="E401" s="3"/>
    </row>
    <row r="402" spans="1:5" x14ac:dyDescent="0.2">
      <c r="A402" s="3"/>
      <c r="B402" s="4"/>
      <c r="C402" s="3"/>
      <c r="D402" s="3"/>
      <c r="E402" s="3"/>
    </row>
    <row r="403" spans="1:5" x14ac:dyDescent="0.2">
      <c r="A403" s="3"/>
      <c r="B403" s="4"/>
      <c r="C403" s="3"/>
      <c r="D403" s="3"/>
      <c r="E403" s="3"/>
    </row>
    <row r="404" spans="1:5" x14ac:dyDescent="0.2">
      <c r="A404" s="3"/>
      <c r="B404" s="4"/>
      <c r="C404" s="3"/>
      <c r="D404" s="3"/>
      <c r="E404" s="3"/>
    </row>
    <row r="405" spans="1:5" x14ac:dyDescent="0.2">
      <c r="A405" s="3"/>
      <c r="B405" s="4"/>
      <c r="C405" s="3"/>
      <c r="D405" s="3"/>
      <c r="E405" s="3"/>
    </row>
    <row r="406" spans="1:5" x14ac:dyDescent="0.2">
      <c r="A406" s="3"/>
      <c r="B406" s="4"/>
      <c r="C406" s="3"/>
      <c r="D406" s="3"/>
      <c r="E406" s="3"/>
    </row>
    <row r="407" spans="1:5" x14ac:dyDescent="0.2">
      <c r="A407" s="3"/>
      <c r="B407" s="4"/>
      <c r="C407" s="3"/>
      <c r="D407" s="3"/>
      <c r="E407" s="3"/>
    </row>
    <row r="408" spans="1:5" x14ac:dyDescent="0.2">
      <c r="A408" s="3"/>
      <c r="B408" s="4"/>
      <c r="C408" s="3"/>
      <c r="D408" s="3"/>
      <c r="E408" s="3"/>
    </row>
    <row r="409" spans="1:5" x14ac:dyDescent="0.2">
      <c r="A409" s="3"/>
      <c r="B409" s="4"/>
      <c r="C409" s="3"/>
      <c r="D409" s="3"/>
      <c r="E409" s="3"/>
    </row>
    <row r="410" spans="1:5" x14ac:dyDescent="0.2">
      <c r="A410" s="3"/>
      <c r="B410" s="4"/>
      <c r="C410" s="3"/>
      <c r="D410" s="3"/>
      <c r="E410" s="3"/>
    </row>
    <row r="411" spans="1:5" x14ac:dyDescent="0.2">
      <c r="A411" s="3"/>
      <c r="B411" s="4"/>
      <c r="C411" s="3"/>
      <c r="D411" s="3"/>
      <c r="E411" s="3"/>
    </row>
    <row r="412" spans="1:5" x14ac:dyDescent="0.2">
      <c r="A412" s="3"/>
      <c r="B412" s="4"/>
      <c r="C412" s="3"/>
      <c r="D412" s="3"/>
      <c r="E412" s="3"/>
    </row>
    <row r="413" spans="1:5" x14ac:dyDescent="0.2">
      <c r="A413" s="3"/>
      <c r="B413" s="4"/>
      <c r="C413" s="3"/>
      <c r="D413" s="3"/>
      <c r="E413" s="3"/>
    </row>
    <row r="414" spans="1:5" x14ac:dyDescent="0.2">
      <c r="A414" s="3"/>
      <c r="B414" s="4"/>
      <c r="C414" s="3"/>
      <c r="D414" s="3"/>
      <c r="E414" s="3"/>
    </row>
    <row r="415" spans="1:5" x14ac:dyDescent="0.2">
      <c r="A415" s="3"/>
      <c r="B415" s="4"/>
      <c r="C415" s="3"/>
      <c r="D415" s="3"/>
      <c r="E415" s="3"/>
    </row>
    <row r="416" spans="1:5" x14ac:dyDescent="0.2">
      <c r="A416" s="3"/>
      <c r="B416" s="4"/>
      <c r="C416" s="3"/>
      <c r="D416" s="3"/>
      <c r="E416" s="3"/>
    </row>
    <row r="417" spans="1:5" x14ac:dyDescent="0.2">
      <c r="A417" s="3"/>
      <c r="B417" s="4"/>
      <c r="C417" s="3"/>
      <c r="D417" s="3"/>
      <c r="E417" s="3"/>
    </row>
    <row r="418" spans="1:5" x14ac:dyDescent="0.2">
      <c r="A418" s="3"/>
      <c r="B418" s="4"/>
      <c r="C418" s="3"/>
      <c r="D418" s="3"/>
      <c r="E418" s="3"/>
    </row>
    <row r="419" spans="1:5" x14ac:dyDescent="0.2">
      <c r="A419" s="3"/>
      <c r="B419" s="4"/>
      <c r="C419" s="3"/>
      <c r="D419" s="3"/>
      <c r="E419" s="3"/>
    </row>
    <row r="420" spans="1:5" x14ac:dyDescent="0.2">
      <c r="A420" s="3"/>
      <c r="B420" s="4"/>
      <c r="C420" s="3"/>
      <c r="D420" s="3"/>
      <c r="E420" s="3"/>
    </row>
    <row r="421" spans="1:5" x14ac:dyDescent="0.2">
      <c r="A421" s="3"/>
      <c r="B421" s="4"/>
      <c r="C421" s="3"/>
      <c r="D421" s="3"/>
      <c r="E421" s="3"/>
    </row>
    <row r="422" spans="1:5" x14ac:dyDescent="0.2">
      <c r="A422" s="3"/>
      <c r="B422" s="4"/>
      <c r="C422" s="3"/>
      <c r="D422" s="3"/>
      <c r="E422" s="3"/>
    </row>
    <row r="423" spans="1:5" x14ac:dyDescent="0.2">
      <c r="A423" s="3"/>
      <c r="B423" s="4"/>
      <c r="C423" s="3"/>
      <c r="D423" s="3"/>
      <c r="E423" s="3"/>
    </row>
    <row r="424" spans="1:5" x14ac:dyDescent="0.2">
      <c r="A424" s="3"/>
      <c r="B424" s="4"/>
      <c r="C424" s="3"/>
      <c r="D424" s="3"/>
      <c r="E424" s="3"/>
    </row>
    <row r="425" spans="1:5" x14ac:dyDescent="0.2">
      <c r="A425" s="3"/>
      <c r="B425" s="4"/>
      <c r="C425" s="3"/>
      <c r="D425" s="3"/>
      <c r="E425" s="3"/>
    </row>
    <row r="426" spans="1:5" x14ac:dyDescent="0.2">
      <c r="A426" s="3"/>
      <c r="B426" s="4"/>
      <c r="C426" s="3"/>
      <c r="D426" s="3"/>
      <c r="E426" s="3"/>
    </row>
    <row r="427" spans="1:5" x14ac:dyDescent="0.2">
      <c r="A427" s="3"/>
      <c r="B427" s="4"/>
      <c r="C427" s="3"/>
      <c r="D427" s="3"/>
      <c r="E427" s="3"/>
    </row>
    <row r="428" spans="1:5" x14ac:dyDescent="0.2">
      <c r="A428" s="3"/>
      <c r="B428" s="4"/>
      <c r="C428" s="3"/>
      <c r="D428" s="3"/>
      <c r="E428" s="3"/>
    </row>
    <row r="429" spans="1:5" x14ac:dyDescent="0.2">
      <c r="A429" s="3"/>
      <c r="B429" s="4"/>
      <c r="C429" s="3"/>
      <c r="D429" s="3"/>
      <c r="E429" s="3"/>
    </row>
    <row r="430" spans="1:5" x14ac:dyDescent="0.2">
      <c r="A430" s="3"/>
      <c r="B430" s="4"/>
      <c r="C430" s="3"/>
      <c r="D430" s="3"/>
      <c r="E430" s="3"/>
    </row>
    <row r="431" spans="1:5" x14ac:dyDescent="0.2">
      <c r="A431" s="3"/>
      <c r="B431" s="4"/>
      <c r="C431" s="3"/>
      <c r="D431" s="3"/>
      <c r="E431" s="3"/>
    </row>
    <row r="432" spans="1:5" x14ac:dyDescent="0.2">
      <c r="A432" s="3"/>
      <c r="B432" s="4"/>
      <c r="C432" s="3"/>
      <c r="D432" s="3"/>
      <c r="E432" s="3"/>
    </row>
    <row r="433" spans="1:5" x14ac:dyDescent="0.2">
      <c r="A433" s="3"/>
      <c r="B433" s="4"/>
      <c r="C433" s="3"/>
      <c r="D433" s="3"/>
      <c r="E433" s="3"/>
    </row>
    <row r="434" spans="1:5" x14ac:dyDescent="0.2">
      <c r="A434" s="3"/>
      <c r="B434" s="4"/>
      <c r="C434" s="3"/>
      <c r="D434" s="3"/>
      <c r="E434" s="3"/>
    </row>
    <row r="435" spans="1:5" x14ac:dyDescent="0.2">
      <c r="A435" s="3"/>
      <c r="B435" s="4"/>
      <c r="C435" s="3"/>
      <c r="D435" s="3"/>
      <c r="E435" s="3"/>
    </row>
    <row r="436" spans="1:5" x14ac:dyDescent="0.2">
      <c r="A436" s="3"/>
      <c r="B436" s="4"/>
      <c r="C436" s="3"/>
      <c r="D436" s="3"/>
      <c r="E436" s="3"/>
    </row>
    <row r="437" spans="1:5" x14ac:dyDescent="0.2">
      <c r="A437" s="3"/>
      <c r="B437" s="4"/>
      <c r="C437" s="3"/>
      <c r="D437" s="3"/>
      <c r="E437" s="3"/>
    </row>
    <row r="438" spans="1:5" x14ac:dyDescent="0.2">
      <c r="A438" s="3"/>
      <c r="B438" s="4"/>
      <c r="C438" s="3"/>
      <c r="D438" s="3"/>
      <c r="E438" s="3"/>
    </row>
    <row r="439" spans="1:5" x14ac:dyDescent="0.2">
      <c r="A439" s="3"/>
      <c r="B439" s="4"/>
      <c r="C439" s="3"/>
      <c r="D439" s="3"/>
      <c r="E439" s="3"/>
    </row>
    <row r="440" spans="1:5" x14ac:dyDescent="0.2">
      <c r="A440" s="3"/>
      <c r="B440" s="4"/>
      <c r="C440" s="3"/>
      <c r="D440" s="3"/>
      <c r="E440" s="3"/>
    </row>
    <row r="441" spans="1:5" x14ac:dyDescent="0.2">
      <c r="A441" s="3"/>
      <c r="B441" s="4"/>
      <c r="C441" s="3"/>
      <c r="D441" s="3"/>
      <c r="E441" s="3"/>
    </row>
    <row r="442" spans="1:5" x14ac:dyDescent="0.2">
      <c r="A442" s="3"/>
      <c r="B442" s="4"/>
      <c r="C442" s="3"/>
      <c r="D442" s="3"/>
      <c r="E442" s="3"/>
    </row>
    <row r="443" spans="1:5" x14ac:dyDescent="0.2">
      <c r="A443" s="3"/>
      <c r="B443" s="4"/>
      <c r="C443" s="3"/>
      <c r="D443" s="3"/>
      <c r="E443" s="3"/>
    </row>
    <row r="444" spans="1:5" x14ac:dyDescent="0.2">
      <c r="A444" s="3"/>
      <c r="B444" s="4"/>
      <c r="C444" s="3"/>
      <c r="D444" s="3"/>
      <c r="E444" s="3"/>
    </row>
    <row r="445" spans="1:5" x14ac:dyDescent="0.2">
      <c r="A445" s="3"/>
      <c r="B445" s="4"/>
      <c r="C445" s="3"/>
      <c r="D445" s="3"/>
      <c r="E445" s="3"/>
    </row>
    <row r="446" spans="1:5" x14ac:dyDescent="0.2">
      <c r="A446" s="3"/>
      <c r="B446" s="4"/>
      <c r="C446" s="3"/>
      <c r="D446" s="3"/>
      <c r="E446" s="3"/>
    </row>
    <row r="447" spans="1:5" x14ac:dyDescent="0.2">
      <c r="A447" s="3"/>
      <c r="B447" s="4"/>
      <c r="C447" s="3"/>
      <c r="D447" s="3"/>
      <c r="E447" s="3"/>
    </row>
    <row r="448" spans="1:5" x14ac:dyDescent="0.2">
      <c r="A448" s="3"/>
      <c r="B448" s="4"/>
      <c r="C448" s="3"/>
      <c r="D448" s="3"/>
      <c r="E448" s="3"/>
    </row>
    <row r="449" spans="1:5" x14ac:dyDescent="0.2">
      <c r="A449" s="3"/>
      <c r="B449" s="4"/>
      <c r="C449" s="3"/>
      <c r="D449" s="3"/>
      <c r="E449" s="3"/>
    </row>
    <row r="450" spans="1:5" x14ac:dyDescent="0.2">
      <c r="A450" s="3"/>
      <c r="B450" s="4"/>
      <c r="C450" s="3"/>
      <c r="D450" s="3"/>
      <c r="E450" s="3"/>
    </row>
    <row r="451" spans="1:5" x14ac:dyDescent="0.2">
      <c r="A451" s="3"/>
      <c r="B451" s="4"/>
      <c r="C451" s="3"/>
      <c r="D451" s="3"/>
      <c r="E451" s="3"/>
    </row>
    <row r="452" spans="1:5" x14ac:dyDescent="0.2">
      <c r="A452" s="3"/>
      <c r="B452" s="4"/>
      <c r="C452" s="3"/>
      <c r="D452" s="3"/>
      <c r="E452" s="3"/>
    </row>
    <row r="453" spans="1:5" x14ac:dyDescent="0.2">
      <c r="A453" s="3"/>
      <c r="B453" s="4"/>
      <c r="C453" s="3"/>
      <c r="D453" s="3"/>
      <c r="E453" s="3"/>
    </row>
    <row r="454" spans="1:5" x14ac:dyDescent="0.2">
      <c r="A454" s="3"/>
      <c r="B454" s="4"/>
      <c r="C454" s="3"/>
      <c r="D454" s="3"/>
      <c r="E454" s="3"/>
    </row>
    <row r="455" spans="1:5" x14ac:dyDescent="0.2">
      <c r="A455" s="3"/>
      <c r="B455" s="4"/>
      <c r="C455" s="3"/>
      <c r="D455" s="3"/>
      <c r="E455" s="3"/>
    </row>
    <row r="456" spans="1:5" x14ac:dyDescent="0.2">
      <c r="A456" s="3"/>
      <c r="B456" s="4"/>
      <c r="C456" s="3"/>
      <c r="D456" s="3"/>
      <c r="E456" s="3"/>
    </row>
    <row r="457" spans="1:5" x14ac:dyDescent="0.2">
      <c r="A457" s="3"/>
      <c r="B457" s="4"/>
      <c r="C457" s="3"/>
      <c r="D457" s="3"/>
      <c r="E457" s="3"/>
    </row>
    <row r="458" spans="1:5" x14ac:dyDescent="0.2">
      <c r="A458" s="3"/>
      <c r="B458" s="4"/>
      <c r="C458" s="3"/>
      <c r="D458" s="3"/>
      <c r="E458" s="3"/>
    </row>
    <row r="459" spans="1:5" x14ac:dyDescent="0.2">
      <c r="A459" s="3"/>
      <c r="B459" s="4"/>
      <c r="C459" s="3"/>
      <c r="D459" s="3"/>
      <c r="E459" s="3"/>
    </row>
    <row r="460" spans="1:5" x14ac:dyDescent="0.2">
      <c r="A460" s="3"/>
      <c r="B460" s="4"/>
      <c r="C460" s="3"/>
      <c r="D460" s="3"/>
      <c r="E460" s="3"/>
    </row>
    <row r="461" spans="1:5" x14ac:dyDescent="0.2">
      <c r="A461" s="3"/>
      <c r="B461" s="4"/>
      <c r="C461" s="3"/>
      <c r="D461" s="3"/>
      <c r="E461" s="3"/>
    </row>
    <row r="462" spans="1:5" x14ac:dyDescent="0.2">
      <c r="A462" s="3"/>
      <c r="B462" s="4"/>
      <c r="C462" s="3"/>
      <c r="D462" s="3"/>
      <c r="E462" s="3"/>
    </row>
    <row r="463" spans="1:5" x14ac:dyDescent="0.2">
      <c r="A463" s="3"/>
      <c r="B463" s="4"/>
      <c r="C463" s="3"/>
      <c r="D463" s="3"/>
      <c r="E463" s="3"/>
    </row>
    <row r="464" spans="1:5" x14ac:dyDescent="0.2">
      <c r="A464" s="3"/>
      <c r="B464" s="4"/>
      <c r="C464" s="3"/>
      <c r="D464" s="3"/>
      <c r="E464" s="3"/>
    </row>
    <row r="465" spans="1:5" x14ac:dyDescent="0.2">
      <c r="A465" s="3"/>
      <c r="B465" s="4"/>
      <c r="C465" s="3"/>
      <c r="D465" s="3"/>
      <c r="E465" s="3"/>
    </row>
    <row r="466" spans="1:5" x14ac:dyDescent="0.2">
      <c r="A466" s="3"/>
      <c r="B466" s="4"/>
      <c r="C466" s="3"/>
      <c r="D466" s="3"/>
      <c r="E466" s="3"/>
    </row>
    <row r="467" spans="1:5" x14ac:dyDescent="0.2">
      <c r="A467" s="3"/>
      <c r="B467" s="4"/>
      <c r="C467" s="3"/>
      <c r="D467" s="3"/>
      <c r="E467" s="3"/>
    </row>
    <row r="468" spans="1:5" x14ac:dyDescent="0.2">
      <c r="A468" s="3"/>
      <c r="B468" s="4"/>
      <c r="C468" s="3"/>
      <c r="D468" s="3"/>
      <c r="E468" s="3"/>
    </row>
    <row r="469" spans="1:5" x14ac:dyDescent="0.2">
      <c r="A469" s="3"/>
      <c r="B469" s="4"/>
      <c r="C469" s="3"/>
      <c r="D469" s="3"/>
      <c r="E469" s="3"/>
    </row>
    <row r="470" spans="1:5" x14ac:dyDescent="0.2">
      <c r="A470" s="3"/>
      <c r="B470" s="4"/>
      <c r="C470" s="3"/>
      <c r="D470" s="3"/>
      <c r="E470" s="3"/>
    </row>
    <row r="471" spans="1:5" x14ac:dyDescent="0.2">
      <c r="A471" s="3"/>
      <c r="B471" s="4"/>
      <c r="C471" s="3"/>
      <c r="D471" s="3"/>
      <c r="E471" s="3"/>
    </row>
    <row r="472" spans="1:5" x14ac:dyDescent="0.2">
      <c r="A472" s="3"/>
      <c r="B472" s="4"/>
      <c r="C472" s="3"/>
      <c r="D472" s="3"/>
      <c r="E472" s="3"/>
    </row>
    <row r="473" spans="1:5" x14ac:dyDescent="0.2">
      <c r="A473" s="3"/>
      <c r="B473" s="4"/>
      <c r="C473" s="3"/>
      <c r="D473" s="3"/>
      <c r="E473" s="3"/>
    </row>
    <row r="474" spans="1:5" x14ac:dyDescent="0.2">
      <c r="A474" s="3"/>
      <c r="B474" s="4"/>
      <c r="C474" s="3"/>
      <c r="D474" s="3"/>
      <c r="E474" s="3"/>
    </row>
    <row r="475" spans="1:5" x14ac:dyDescent="0.2">
      <c r="A475" s="3"/>
      <c r="B475" s="4"/>
      <c r="C475" s="3"/>
      <c r="D475" s="3"/>
      <c r="E475" s="3"/>
    </row>
    <row r="476" spans="1:5" x14ac:dyDescent="0.2">
      <c r="A476" s="3"/>
      <c r="B476" s="4"/>
      <c r="C476" s="3"/>
      <c r="D476" s="3"/>
      <c r="E476" s="3"/>
    </row>
    <row r="477" spans="1:5" x14ac:dyDescent="0.2">
      <c r="A477" s="3"/>
      <c r="B477" s="4"/>
      <c r="C477" s="3"/>
      <c r="D477" s="3"/>
      <c r="E477" s="3"/>
    </row>
    <row r="478" spans="1:5" x14ac:dyDescent="0.2">
      <c r="A478" s="3"/>
      <c r="B478" s="4"/>
      <c r="C478" s="3"/>
      <c r="D478" s="3"/>
      <c r="E478" s="3"/>
    </row>
    <row r="479" spans="1:5" x14ac:dyDescent="0.2">
      <c r="A479" s="3"/>
      <c r="B479" s="4"/>
      <c r="C479" s="3"/>
      <c r="D479" s="3"/>
      <c r="E479" s="3"/>
    </row>
    <row r="480" spans="1:5" x14ac:dyDescent="0.2">
      <c r="A480" s="3"/>
      <c r="B480" s="4"/>
      <c r="C480" s="3"/>
      <c r="D480" s="3"/>
      <c r="E480" s="3"/>
    </row>
    <row r="481" spans="1:5" x14ac:dyDescent="0.2">
      <c r="A481" s="3"/>
      <c r="B481" s="4"/>
      <c r="C481" s="3"/>
      <c r="D481" s="3"/>
      <c r="E481" s="3"/>
    </row>
    <row r="482" spans="1:5" x14ac:dyDescent="0.2">
      <c r="A482" s="3"/>
      <c r="B482" s="4"/>
      <c r="C482" s="3"/>
      <c r="D482" s="3"/>
      <c r="E482" s="3"/>
    </row>
    <row r="483" spans="1:5" x14ac:dyDescent="0.2">
      <c r="A483" s="3"/>
      <c r="B483" s="4"/>
      <c r="C483" s="3"/>
      <c r="D483" s="3"/>
      <c r="E483" s="3"/>
    </row>
    <row r="484" spans="1:5" x14ac:dyDescent="0.2">
      <c r="A484" s="3"/>
      <c r="B484" s="4"/>
      <c r="C484" s="3"/>
      <c r="D484" s="3"/>
      <c r="E484" s="3"/>
    </row>
    <row r="485" spans="1:5" x14ac:dyDescent="0.2">
      <c r="A485" s="3"/>
      <c r="B485" s="4"/>
      <c r="C485" s="3"/>
      <c r="D485" s="3"/>
      <c r="E485" s="3"/>
    </row>
    <row r="486" spans="1:5" x14ac:dyDescent="0.2">
      <c r="A486" s="3"/>
      <c r="B486" s="4"/>
      <c r="C486" s="3"/>
      <c r="D486" s="3"/>
      <c r="E486" s="3"/>
    </row>
    <row r="487" spans="1:5" x14ac:dyDescent="0.2">
      <c r="A487" s="3"/>
      <c r="B487" s="4"/>
      <c r="C487" s="3"/>
      <c r="D487" s="3"/>
      <c r="E487" s="3"/>
    </row>
    <row r="488" spans="1:5" x14ac:dyDescent="0.2">
      <c r="A488" s="3"/>
      <c r="B488" s="4"/>
      <c r="C488" s="3"/>
      <c r="D488" s="3"/>
      <c r="E488" s="3"/>
    </row>
    <row r="489" spans="1:5" x14ac:dyDescent="0.2">
      <c r="A489" s="3"/>
      <c r="B489" s="4"/>
      <c r="C489" s="3"/>
      <c r="D489" s="3"/>
      <c r="E489" s="3"/>
    </row>
    <row r="490" spans="1:5" x14ac:dyDescent="0.2">
      <c r="A490" s="3"/>
      <c r="B490" s="4"/>
      <c r="C490" s="3"/>
      <c r="D490" s="3"/>
      <c r="E490" s="3"/>
    </row>
    <row r="491" spans="1:5" x14ac:dyDescent="0.2">
      <c r="A491" s="3"/>
      <c r="B491" s="4"/>
      <c r="C491" s="3"/>
      <c r="D491" s="3"/>
      <c r="E491" s="3"/>
    </row>
    <row r="492" spans="1:5" x14ac:dyDescent="0.2">
      <c r="A492" s="3"/>
      <c r="B492" s="4"/>
      <c r="C492" s="3"/>
      <c r="D492" s="3"/>
      <c r="E492" s="3"/>
    </row>
    <row r="493" spans="1:5" x14ac:dyDescent="0.2">
      <c r="A493" s="3"/>
      <c r="B493" s="4"/>
      <c r="C493" s="3"/>
      <c r="D493" s="3"/>
      <c r="E493" s="3"/>
    </row>
    <row r="494" spans="1:5" x14ac:dyDescent="0.2">
      <c r="A494" s="3"/>
      <c r="B494" s="4"/>
      <c r="C494" s="3"/>
      <c r="D494" s="3"/>
      <c r="E494" s="3"/>
    </row>
    <row r="495" spans="1:5" x14ac:dyDescent="0.2">
      <c r="A495" s="3"/>
      <c r="B495" s="4"/>
      <c r="C495" s="3"/>
      <c r="D495" s="3"/>
      <c r="E495" s="3"/>
    </row>
    <row r="496" spans="1:5" x14ac:dyDescent="0.2">
      <c r="A496" s="3"/>
      <c r="B496" s="4"/>
      <c r="C496" s="3"/>
      <c r="D496" s="3"/>
      <c r="E496" s="3"/>
    </row>
    <row r="497" spans="1:5" x14ac:dyDescent="0.2">
      <c r="A497" s="3"/>
      <c r="B497" s="4"/>
      <c r="C497" s="3"/>
      <c r="D497" s="3"/>
      <c r="E497" s="3"/>
    </row>
    <row r="498" spans="1:5" x14ac:dyDescent="0.2">
      <c r="A498" s="3"/>
      <c r="B498" s="4"/>
      <c r="C498" s="3"/>
      <c r="D498" s="3"/>
      <c r="E498" s="3"/>
    </row>
    <row r="499" spans="1:5" x14ac:dyDescent="0.2">
      <c r="A499" s="3"/>
      <c r="B499" s="4"/>
      <c r="C499" s="3"/>
      <c r="D499" s="3"/>
      <c r="E499" s="3"/>
    </row>
    <row r="500" spans="1:5" x14ac:dyDescent="0.2">
      <c r="A500" s="3"/>
      <c r="B500" s="4"/>
      <c r="C500" s="3"/>
      <c r="D500" s="3"/>
      <c r="E500" s="3"/>
    </row>
    <row r="501" spans="1:5" x14ac:dyDescent="0.2">
      <c r="A501" s="3"/>
      <c r="B501" s="4"/>
      <c r="C501" s="3"/>
      <c r="D501" s="3"/>
      <c r="E501" s="3"/>
    </row>
    <row r="502" spans="1:5" x14ac:dyDescent="0.2">
      <c r="A502" s="3"/>
      <c r="B502" s="4"/>
      <c r="C502" s="3"/>
      <c r="D502" s="3"/>
      <c r="E502" s="3"/>
    </row>
    <row r="503" spans="1:5" x14ac:dyDescent="0.2">
      <c r="A503" s="3"/>
      <c r="B503" s="4"/>
      <c r="C503" s="3"/>
      <c r="D503" s="3"/>
      <c r="E503" s="3"/>
    </row>
    <row r="504" spans="1:5" x14ac:dyDescent="0.2">
      <c r="A504" s="3"/>
      <c r="B504" s="4"/>
      <c r="C504" s="3"/>
      <c r="D504" s="3"/>
      <c r="E504" s="3"/>
    </row>
    <row r="505" spans="1:5" x14ac:dyDescent="0.2">
      <c r="A505" s="3"/>
      <c r="B505" s="4"/>
      <c r="C505" s="3"/>
      <c r="D505" s="3"/>
      <c r="E505" s="3"/>
    </row>
    <row r="506" spans="1:5" x14ac:dyDescent="0.2">
      <c r="A506" s="3"/>
      <c r="B506" s="4"/>
      <c r="C506" s="3"/>
      <c r="D506" s="3"/>
      <c r="E506" s="3"/>
    </row>
    <row r="507" spans="1:5" x14ac:dyDescent="0.2">
      <c r="A507" s="3"/>
      <c r="B507" s="4"/>
      <c r="C507" s="3"/>
      <c r="D507" s="3"/>
      <c r="E507" s="3"/>
    </row>
    <row r="508" spans="1:5" x14ac:dyDescent="0.2">
      <c r="A508" s="3"/>
      <c r="B508" s="4"/>
      <c r="C508" s="3"/>
      <c r="D508" s="3"/>
      <c r="E508" s="3"/>
    </row>
    <row r="509" spans="1:5" x14ac:dyDescent="0.2">
      <c r="A509" s="3"/>
      <c r="B509" s="4"/>
      <c r="C509" s="3"/>
      <c r="D509" s="3"/>
      <c r="E509" s="3"/>
    </row>
    <row r="510" spans="1:5" x14ac:dyDescent="0.2">
      <c r="A510" s="3"/>
      <c r="B510" s="4"/>
      <c r="C510" s="3"/>
      <c r="D510" s="3"/>
      <c r="E510" s="3"/>
    </row>
    <row r="511" spans="1:5" x14ac:dyDescent="0.2">
      <c r="A511" s="3"/>
      <c r="B511" s="4"/>
      <c r="C511" s="3"/>
      <c r="D511" s="3"/>
      <c r="E511" s="3"/>
    </row>
    <row r="512" spans="1:5" x14ac:dyDescent="0.2">
      <c r="A512" s="3"/>
      <c r="B512" s="4"/>
      <c r="C512" s="3"/>
      <c r="D512" s="3"/>
      <c r="E512" s="3"/>
    </row>
    <row r="513" spans="1:5" x14ac:dyDescent="0.2">
      <c r="A513" s="3"/>
      <c r="B513" s="4"/>
      <c r="C513" s="3"/>
      <c r="D513" s="3"/>
      <c r="E513" s="3"/>
    </row>
    <row r="514" spans="1:5" x14ac:dyDescent="0.2">
      <c r="A514" s="3"/>
      <c r="B514" s="4"/>
      <c r="C514" s="3"/>
      <c r="D514" s="3"/>
      <c r="E514" s="3"/>
    </row>
    <row r="515" spans="1:5" x14ac:dyDescent="0.2">
      <c r="A515" s="3"/>
      <c r="B515" s="4"/>
      <c r="C515" s="3"/>
      <c r="D515" s="3"/>
      <c r="E515" s="3"/>
    </row>
    <row r="516" spans="1:5" x14ac:dyDescent="0.2">
      <c r="A516" s="3"/>
      <c r="B516" s="4"/>
      <c r="C516" s="3"/>
      <c r="D516" s="3"/>
      <c r="E516" s="3"/>
    </row>
    <row r="517" spans="1:5" x14ac:dyDescent="0.2">
      <c r="A517" s="3"/>
      <c r="B517" s="4"/>
      <c r="C517" s="3"/>
      <c r="D517" s="3"/>
      <c r="E517" s="3"/>
    </row>
    <row r="518" spans="1:5" x14ac:dyDescent="0.2">
      <c r="A518" s="3"/>
      <c r="B518" s="4"/>
      <c r="C518" s="3"/>
      <c r="D518" s="3"/>
      <c r="E518" s="3"/>
    </row>
    <row r="519" spans="1:5" x14ac:dyDescent="0.2">
      <c r="A519" s="3"/>
      <c r="B519" s="4"/>
      <c r="C519" s="3"/>
      <c r="D519" s="3"/>
      <c r="E519" s="3"/>
    </row>
    <row r="520" spans="1:5" x14ac:dyDescent="0.2">
      <c r="A520" s="3"/>
      <c r="B520" s="4"/>
      <c r="C520" s="3"/>
      <c r="D520" s="3"/>
      <c r="E520" s="3"/>
    </row>
    <row r="521" spans="1:5" x14ac:dyDescent="0.2">
      <c r="A521" s="3"/>
      <c r="B521" s="4"/>
      <c r="C521" s="3"/>
      <c r="D521" s="3"/>
      <c r="E521" s="3"/>
    </row>
    <row r="522" spans="1:5" x14ac:dyDescent="0.2">
      <c r="A522" s="3"/>
      <c r="B522" s="4"/>
      <c r="C522" s="3"/>
      <c r="D522" s="3"/>
      <c r="E522" s="3"/>
    </row>
    <row r="523" spans="1:5" x14ac:dyDescent="0.2">
      <c r="A523" s="3"/>
      <c r="B523" s="4"/>
      <c r="C523" s="3"/>
      <c r="D523" s="3"/>
      <c r="E523" s="3"/>
    </row>
    <row r="524" spans="1:5" x14ac:dyDescent="0.2">
      <c r="A524" s="3"/>
      <c r="B524" s="4"/>
      <c r="C524" s="3"/>
      <c r="D524" s="3"/>
      <c r="E524" s="3"/>
    </row>
    <row r="525" spans="1:5" x14ac:dyDescent="0.2">
      <c r="A525" s="3"/>
      <c r="B525" s="4"/>
      <c r="C525" s="3"/>
      <c r="D525" s="3"/>
      <c r="E525" s="3"/>
    </row>
    <row r="526" spans="1:5" x14ac:dyDescent="0.2">
      <c r="A526" s="3"/>
      <c r="B526" s="4"/>
      <c r="C526" s="3"/>
      <c r="D526" s="3"/>
      <c r="E526" s="3"/>
    </row>
    <row r="527" spans="1:5" x14ac:dyDescent="0.2">
      <c r="A527" s="3"/>
      <c r="B527" s="4"/>
      <c r="C527" s="3"/>
      <c r="D527" s="3"/>
      <c r="E527" s="3"/>
    </row>
    <row r="528" spans="1:5" x14ac:dyDescent="0.2">
      <c r="A528" s="3"/>
      <c r="B528" s="4"/>
      <c r="C528" s="3"/>
      <c r="D528" s="3"/>
      <c r="E528" s="3"/>
    </row>
    <row r="529" spans="1:5" x14ac:dyDescent="0.2">
      <c r="A529" s="3"/>
      <c r="B529" s="4"/>
      <c r="C529" s="3"/>
      <c r="D529" s="3"/>
      <c r="E529" s="3"/>
    </row>
    <row r="530" spans="1:5" x14ac:dyDescent="0.2">
      <c r="A530" s="3"/>
      <c r="B530" s="4"/>
      <c r="C530" s="3"/>
      <c r="D530" s="3"/>
      <c r="E530" s="3"/>
    </row>
    <row r="531" spans="1:5" x14ac:dyDescent="0.2">
      <c r="A531" s="3"/>
      <c r="B531" s="4"/>
      <c r="C531" s="3"/>
      <c r="D531" s="3"/>
      <c r="E531" s="3"/>
    </row>
    <row r="532" spans="1:5" x14ac:dyDescent="0.2">
      <c r="A532" s="3"/>
      <c r="B532" s="4"/>
      <c r="C532" s="3"/>
      <c r="D532" s="3"/>
      <c r="E532" s="3"/>
    </row>
    <row r="533" spans="1:5" x14ac:dyDescent="0.2">
      <c r="A533" s="3"/>
      <c r="B533" s="4"/>
      <c r="C533" s="3"/>
      <c r="D533" s="3"/>
      <c r="E533" s="3"/>
    </row>
    <row r="534" spans="1:5" x14ac:dyDescent="0.2">
      <c r="A534" s="3"/>
      <c r="B534" s="4"/>
      <c r="C534" s="3"/>
      <c r="D534" s="3"/>
      <c r="E534" s="3"/>
    </row>
    <row r="535" spans="1:5" x14ac:dyDescent="0.2">
      <c r="A535" s="3"/>
      <c r="B535" s="4"/>
      <c r="C535" s="3"/>
      <c r="D535" s="3"/>
      <c r="E535" s="3"/>
    </row>
    <row r="536" spans="1:5" x14ac:dyDescent="0.2">
      <c r="A536" s="3"/>
      <c r="B536" s="4"/>
      <c r="C536" s="3"/>
      <c r="D536" s="3"/>
      <c r="E536" s="3"/>
    </row>
    <row r="537" spans="1:5" x14ac:dyDescent="0.2">
      <c r="A537" s="3"/>
      <c r="B537" s="4"/>
      <c r="C537" s="3"/>
      <c r="D537" s="3"/>
      <c r="E537" s="3"/>
    </row>
    <row r="538" spans="1:5" x14ac:dyDescent="0.2">
      <c r="A538" s="3"/>
      <c r="B538" s="4"/>
      <c r="C538" s="3"/>
      <c r="D538" s="3"/>
      <c r="E538" s="3"/>
    </row>
    <row r="539" spans="1:5" x14ac:dyDescent="0.2">
      <c r="A539" s="3"/>
      <c r="B539" s="4"/>
      <c r="C539" s="3"/>
      <c r="D539" s="3"/>
      <c r="E539" s="3"/>
    </row>
    <row r="540" spans="1:5" x14ac:dyDescent="0.2">
      <c r="A540" s="3"/>
      <c r="B540" s="4"/>
      <c r="C540" s="3"/>
      <c r="D540" s="3"/>
      <c r="E540" s="3"/>
    </row>
    <row r="541" spans="1:5" x14ac:dyDescent="0.2">
      <c r="A541" s="3"/>
      <c r="B541" s="4"/>
      <c r="C541" s="3"/>
      <c r="D541" s="3"/>
      <c r="E541" s="3"/>
    </row>
    <row r="542" spans="1:5" x14ac:dyDescent="0.2">
      <c r="A542" s="3"/>
      <c r="B542" s="4"/>
      <c r="C542" s="3"/>
      <c r="D542" s="3"/>
      <c r="E542" s="3"/>
    </row>
    <row r="543" spans="1:5" x14ac:dyDescent="0.2">
      <c r="A543" s="3"/>
      <c r="B543" s="4"/>
      <c r="C543" s="3"/>
      <c r="D543" s="3"/>
      <c r="E543" s="3"/>
    </row>
    <row r="544" spans="1:5" x14ac:dyDescent="0.2">
      <c r="A544" s="3"/>
      <c r="B544" s="4"/>
      <c r="C544" s="3"/>
      <c r="D544" s="3"/>
      <c r="E544" s="3"/>
    </row>
    <row r="545" spans="1:5" x14ac:dyDescent="0.2">
      <c r="A545" s="3"/>
      <c r="B545" s="4"/>
      <c r="C545" s="3"/>
      <c r="D545" s="3"/>
      <c r="E545" s="3"/>
    </row>
    <row r="546" spans="1:5" x14ac:dyDescent="0.2">
      <c r="A546" s="3"/>
      <c r="B546" s="4"/>
      <c r="C546" s="3"/>
      <c r="D546" s="3"/>
      <c r="E546" s="3"/>
    </row>
    <row r="547" spans="1:5" x14ac:dyDescent="0.2">
      <c r="A547" s="3"/>
      <c r="B547" s="4"/>
      <c r="C547" s="3"/>
      <c r="D547" s="3"/>
      <c r="E547" s="3"/>
    </row>
    <row r="548" spans="1:5" x14ac:dyDescent="0.2">
      <c r="A548" s="3"/>
      <c r="B548" s="4"/>
      <c r="C548" s="3"/>
      <c r="D548" s="3"/>
      <c r="E548" s="3"/>
    </row>
    <row r="549" spans="1:5" x14ac:dyDescent="0.2">
      <c r="A549" s="3"/>
      <c r="B549" s="4"/>
      <c r="C549" s="3"/>
      <c r="D549" s="3"/>
      <c r="E549" s="3"/>
    </row>
    <row r="550" spans="1:5" x14ac:dyDescent="0.2">
      <c r="A550" s="3"/>
      <c r="B550" s="4"/>
      <c r="C550" s="3"/>
      <c r="D550" s="3"/>
      <c r="E550" s="3"/>
    </row>
    <row r="551" spans="1:5" x14ac:dyDescent="0.2">
      <c r="A551" s="3"/>
      <c r="B551" s="4"/>
      <c r="C551" s="3"/>
      <c r="D551" s="3"/>
      <c r="E551" s="3"/>
    </row>
    <row r="552" spans="1:5" x14ac:dyDescent="0.2">
      <c r="A552" s="3"/>
      <c r="B552" s="4"/>
      <c r="C552" s="3"/>
      <c r="D552" s="3"/>
      <c r="E552" s="3"/>
    </row>
    <row r="553" spans="1:5" x14ac:dyDescent="0.2">
      <c r="A553" s="3"/>
      <c r="B553" s="4"/>
      <c r="C553" s="3"/>
      <c r="D553" s="3"/>
      <c r="E553" s="3"/>
    </row>
    <row r="554" spans="1:5" x14ac:dyDescent="0.2">
      <c r="A554" s="3"/>
      <c r="B554" s="4"/>
      <c r="C554" s="3"/>
      <c r="D554" s="3"/>
      <c r="E554" s="3"/>
    </row>
    <row r="555" spans="1:5" x14ac:dyDescent="0.2">
      <c r="A555" s="3"/>
      <c r="B555" s="4"/>
      <c r="C555" s="3"/>
      <c r="D555" s="3"/>
      <c r="E555" s="3"/>
    </row>
    <row r="556" spans="1:5" x14ac:dyDescent="0.2">
      <c r="A556" s="3"/>
      <c r="B556" s="4"/>
      <c r="C556" s="3"/>
      <c r="D556" s="3"/>
      <c r="E556" s="3"/>
    </row>
    <row r="557" spans="1:5" x14ac:dyDescent="0.2">
      <c r="A557" s="3"/>
      <c r="B557" s="4"/>
      <c r="C557" s="3"/>
      <c r="D557" s="3"/>
      <c r="E557" s="3"/>
    </row>
    <row r="558" spans="1:5" x14ac:dyDescent="0.2">
      <c r="A558" s="3"/>
      <c r="B558" s="4"/>
      <c r="C558" s="3"/>
      <c r="D558" s="3"/>
      <c r="E558" s="3"/>
    </row>
    <row r="559" spans="1:5" x14ac:dyDescent="0.2">
      <c r="A559" s="3"/>
      <c r="B559" s="4"/>
      <c r="C559" s="3"/>
      <c r="D559" s="3"/>
      <c r="E559" s="3"/>
    </row>
    <row r="560" spans="1:5" x14ac:dyDescent="0.2">
      <c r="A560" s="3"/>
      <c r="B560" s="4"/>
      <c r="C560" s="3"/>
      <c r="D560" s="3"/>
      <c r="E560" s="3"/>
    </row>
    <row r="561" spans="1:5" x14ac:dyDescent="0.2">
      <c r="A561" s="3"/>
      <c r="B561" s="4"/>
      <c r="C561" s="3"/>
      <c r="D561" s="3"/>
      <c r="E561" s="3"/>
    </row>
    <row r="562" spans="1:5" x14ac:dyDescent="0.2">
      <c r="A562" s="3"/>
      <c r="B562" s="4"/>
      <c r="C562" s="3"/>
      <c r="D562" s="3"/>
      <c r="E562" s="3"/>
    </row>
    <row r="563" spans="1:5" x14ac:dyDescent="0.2">
      <c r="A563" s="3"/>
      <c r="B563" s="4"/>
      <c r="C563" s="3"/>
      <c r="D563" s="3"/>
      <c r="E563" s="3"/>
    </row>
    <row r="564" spans="1:5" x14ac:dyDescent="0.2">
      <c r="A564" s="3"/>
      <c r="B564" s="4"/>
      <c r="C564" s="3"/>
      <c r="D564" s="3"/>
      <c r="E564" s="3"/>
    </row>
    <row r="565" spans="1:5" x14ac:dyDescent="0.2">
      <c r="A565" s="3"/>
      <c r="B565" s="4"/>
      <c r="C565" s="3"/>
      <c r="D565" s="3"/>
      <c r="E565" s="3"/>
    </row>
    <row r="566" spans="1:5" x14ac:dyDescent="0.2">
      <c r="A566" s="3"/>
      <c r="B566" s="4"/>
      <c r="C566" s="3"/>
      <c r="D566" s="3"/>
      <c r="E566" s="3"/>
    </row>
    <row r="567" spans="1:5" x14ac:dyDescent="0.2">
      <c r="A567" s="3"/>
      <c r="B567" s="4"/>
      <c r="C567" s="3"/>
      <c r="D567" s="3"/>
      <c r="E567" s="3"/>
    </row>
    <row r="568" spans="1:5" x14ac:dyDescent="0.2">
      <c r="A568" s="3"/>
      <c r="B568" s="4"/>
      <c r="C568" s="3"/>
      <c r="D568" s="3"/>
      <c r="E568" s="3"/>
    </row>
    <row r="569" spans="1:5" x14ac:dyDescent="0.2">
      <c r="A569" s="3"/>
      <c r="B569" s="4"/>
      <c r="C569" s="3"/>
      <c r="D569" s="3"/>
      <c r="E569" s="3"/>
    </row>
    <row r="570" spans="1:5" x14ac:dyDescent="0.2">
      <c r="A570" s="3"/>
      <c r="B570" s="4"/>
      <c r="C570" s="3"/>
      <c r="D570" s="3"/>
      <c r="E570" s="3"/>
    </row>
    <row r="571" spans="1:5" x14ac:dyDescent="0.2">
      <c r="A571" s="3"/>
      <c r="B571" s="4"/>
      <c r="C571" s="3"/>
      <c r="D571" s="3"/>
      <c r="E571" s="3"/>
    </row>
    <row r="572" spans="1:5" x14ac:dyDescent="0.2">
      <c r="A572" s="3"/>
      <c r="B572" s="4"/>
      <c r="C572" s="3"/>
      <c r="D572" s="3"/>
      <c r="E572" s="3"/>
    </row>
    <row r="573" spans="1:5" x14ac:dyDescent="0.2">
      <c r="A573" s="3"/>
      <c r="B573" s="4"/>
      <c r="C573" s="3"/>
      <c r="D573" s="3"/>
      <c r="E573" s="3"/>
    </row>
    <row r="574" spans="1:5" x14ac:dyDescent="0.2">
      <c r="A574" s="3"/>
      <c r="B574" s="4"/>
      <c r="C574" s="3"/>
      <c r="D574" s="3"/>
      <c r="E574" s="3"/>
    </row>
    <row r="575" spans="1:5" x14ac:dyDescent="0.2">
      <c r="A575" s="3"/>
      <c r="B575" s="4"/>
      <c r="C575" s="3"/>
      <c r="D575" s="3"/>
      <c r="E575" s="3"/>
    </row>
    <row r="576" spans="1:5" x14ac:dyDescent="0.2">
      <c r="A576" s="3"/>
      <c r="B576" s="4"/>
      <c r="C576" s="3"/>
      <c r="D576" s="3"/>
      <c r="E576" s="3"/>
    </row>
    <row r="577" spans="1:5" x14ac:dyDescent="0.2">
      <c r="A577" s="3"/>
      <c r="B577" s="4"/>
      <c r="C577" s="3"/>
      <c r="D577" s="3"/>
      <c r="E577" s="3"/>
    </row>
    <row r="578" spans="1:5" x14ac:dyDescent="0.2">
      <c r="A578" s="3"/>
      <c r="B578" s="4"/>
      <c r="C578" s="3"/>
      <c r="D578" s="3"/>
      <c r="E578" s="3"/>
    </row>
    <row r="579" spans="1:5" x14ac:dyDescent="0.2">
      <c r="A579" s="3"/>
      <c r="B579" s="4"/>
      <c r="C579" s="3"/>
      <c r="D579" s="3"/>
      <c r="E579" s="3"/>
    </row>
    <row r="580" spans="1:5" x14ac:dyDescent="0.2">
      <c r="A580" s="3"/>
      <c r="B580" s="4"/>
      <c r="C580" s="3"/>
      <c r="D580" s="3"/>
      <c r="E580" s="3"/>
    </row>
    <row r="581" spans="1:5" x14ac:dyDescent="0.2">
      <c r="A581" s="3"/>
      <c r="B581" s="4"/>
      <c r="C581" s="3"/>
      <c r="D581" s="3"/>
      <c r="E581" s="3"/>
    </row>
    <row r="582" spans="1:5" x14ac:dyDescent="0.2">
      <c r="A582" s="3"/>
      <c r="B582" s="4"/>
      <c r="C582" s="3"/>
      <c r="D582" s="3"/>
      <c r="E582" s="3"/>
    </row>
    <row r="583" spans="1:5" x14ac:dyDescent="0.2">
      <c r="A583" s="3"/>
      <c r="B583" s="4"/>
      <c r="C583" s="3"/>
      <c r="D583" s="3"/>
      <c r="E583" s="3"/>
    </row>
    <row r="584" spans="1:5" x14ac:dyDescent="0.2">
      <c r="A584" s="3"/>
      <c r="B584" s="4"/>
      <c r="C584" s="3"/>
      <c r="D584" s="3"/>
      <c r="E584" s="3"/>
    </row>
    <row r="585" spans="1:5" x14ac:dyDescent="0.2">
      <c r="A585" s="3"/>
      <c r="B585" s="4"/>
      <c r="C585" s="3"/>
      <c r="D585" s="3"/>
      <c r="E585" s="3"/>
    </row>
    <row r="586" spans="1:5" x14ac:dyDescent="0.2">
      <c r="A586" s="3"/>
      <c r="B586" s="4"/>
      <c r="C586" s="3"/>
      <c r="D586" s="3"/>
      <c r="E586" s="3"/>
    </row>
    <row r="587" spans="1:5" x14ac:dyDescent="0.2">
      <c r="A587" s="3"/>
      <c r="B587" s="4"/>
      <c r="C587" s="3"/>
      <c r="D587" s="3"/>
      <c r="E587" s="3"/>
    </row>
    <row r="588" spans="1:5" x14ac:dyDescent="0.2">
      <c r="A588" s="3"/>
      <c r="B588" s="4"/>
      <c r="C588" s="3"/>
      <c r="D588" s="3"/>
      <c r="E588" s="3"/>
    </row>
    <row r="589" spans="1:5" x14ac:dyDescent="0.2">
      <c r="A589" s="3"/>
      <c r="B589" s="4"/>
      <c r="C589" s="3"/>
      <c r="D589" s="3"/>
      <c r="E589" s="3"/>
    </row>
    <row r="590" spans="1:5" x14ac:dyDescent="0.2">
      <c r="A590" s="3"/>
      <c r="B590" s="4"/>
      <c r="C590" s="3"/>
      <c r="D590" s="3"/>
      <c r="E590" s="3"/>
    </row>
    <row r="591" spans="1:5" x14ac:dyDescent="0.2">
      <c r="A591" s="3"/>
      <c r="B591" s="4"/>
      <c r="C591" s="3"/>
      <c r="D591" s="3"/>
      <c r="E591" s="3"/>
    </row>
    <row r="592" spans="1:5" x14ac:dyDescent="0.2">
      <c r="A592" s="3"/>
      <c r="B592" s="4"/>
      <c r="C592" s="3"/>
      <c r="D592" s="3"/>
      <c r="E592" s="3"/>
    </row>
    <row r="593" spans="1:5" x14ac:dyDescent="0.2">
      <c r="A593" s="3"/>
      <c r="B593" s="4"/>
      <c r="C593" s="3"/>
      <c r="D593" s="3"/>
      <c r="E593" s="3"/>
    </row>
    <row r="594" spans="1:5" x14ac:dyDescent="0.2">
      <c r="A594" s="3"/>
      <c r="B594" s="4"/>
      <c r="C594" s="3"/>
      <c r="D594" s="3"/>
      <c r="E594" s="3"/>
    </row>
    <row r="595" spans="1:5" x14ac:dyDescent="0.2">
      <c r="A595" s="3"/>
      <c r="B595" s="4"/>
      <c r="C595" s="3"/>
      <c r="D595" s="3"/>
      <c r="E595" s="3"/>
    </row>
    <row r="596" spans="1:5" x14ac:dyDescent="0.2">
      <c r="A596" s="3"/>
      <c r="B596" s="4"/>
      <c r="C596" s="3"/>
      <c r="D596" s="3"/>
      <c r="E596" s="3"/>
    </row>
    <row r="597" spans="1:5" x14ac:dyDescent="0.2">
      <c r="A597" s="3"/>
      <c r="B597" s="4"/>
      <c r="C597" s="3"/>
      <c r="D597" s="3"/>
      <c r="E597" s="3"/>
    </row>
    <row r="598" spans="1:5" x14ac:dyDescent="0.2">
      <c r="A598" s="3"/>
      <c r="B598" s="4"/>
      <c r="C598" s="3"/>
      <c r="D598" s="3"/>
      <c r="E598" s="3"/>
    </row>
    <row r="599" spans="1:5" x14ac:dyDescent="0.2">
      <c r="A599" s="3"/>
      <c r="B599" s="4"/>
      <c r="C599" s="3"/>
      <c r="D599" s="3"/>
      <c r="E599" s="3"/>
    </row>
    <row r="600" spans="1:5" x14ac:dyDescent="0.2">
      <c r="A600" s="3"/>
      <c r="B600" s="4"/>
      <c r="C600" s="3"/>
      <c r="D600" s="3"/>
      <c r="E600" s="3"/>
    </row>
    <row r="601" spans="1:5" x14ac:dyDescent="0.2">
      <c r="A601" s="3"/>
      <c r="B601" s="4"/>
      <c r="C601" s="3"/>
      <c r="D601" s="3"/>
      <c r="E601" s="3"/>
    </row>
    <row r="602" spans="1:5" x14ac:dyDescent="0.2">
      <c r="A602" s="3"/>
      <c r="B602" s="4"/>
      <c r="C602" s="3"/>
      <c r="D602" s="3"/>
      <c r="E602" s="3"/>
    </row>
    <row r="603" spans="1:5" x14ac:dyDescent="0.2">
      <c r="A603" s="3"/>
      <c r="B603" s="4"/>
      <c r="C603" s="3"/>
      <c r="D603" s="3"/>
      <c r="E603" s="3"/>
    </row>
    <row r="604" spans="1:5" x14ac:dyDescent="0.2">
      <c r="A604" s="3"/>
      <c r="B604" s="4"/>
      <c r="C604" s="3"/>
      <c r="D604" s="3"/>
      <c r="E604" s="3"/>
    </row>
    <row r="605" spans="1:5" x14ac:dyDescent="0.2">
      <c r="A605" s="3"/>
      <c r="B605" s="4"/>
      <c r="C605" s="3"/>
      <c r="D605" s="3"/>
      <c r="E605" s="3"/>
    </row>
    <row r="606" spans="1:5" x14ac:dyDescent="0.2">
      <c r="A606" s="3"/>
      <c r="B606" s="4"/>
      <c r="C606" s="3"/>
      <c r="D606" s="3"/>
      <c r="E606" s="3"/>
    </row>
    <row r="607" spans="1:5" x14ac:dyDescent="0.2">
      <c r="A607" s="3"/>
      <c r="B607" s="4"/>
      <c r="C607" s="3"/>
      <c r="D607" s="3"/>
      <c r="E607" s="3"/>
    </row>
    <row r="608" spans="1:5" x14ac:dyDescent="0.2">
      <c r="A608" s="3"/>
      <c r="B608" s="4"/>
      <c r="C608" s="3"/>
      <c r="D608" s="3"/>
      <c r="E608" s="3"/>
    </row>
    <row r="609" spans="1:5" x14ac:dyDescent="0.2">
      <c r="A609" s="3"/>
      <c r="B609" s="4"/>
      <c r="C609" s="3"/>
      <c r="D609" s="3"/>
      <c r="E609" s="3"/>
    </row>
    <row r="610" spans="1:5" x14ac:dyDescent="0.2">
      <c r="A610" s="3"/>
      <c r="B610" s="4"/>
      <c r="C610" s="3"/>
      <c r="D610" s="3"/>
      <c r="E610" s="3"/>
    </row>
    <row r="611" spans="1:5" x14ac:dyDescent="0.2">
      <c r="A611" s="3"/>
      <c r="B611" s="4"/>
      <c r="C611" s="3"/>
      <c r="D611" s="3"/>
      <c r="E611" s="3"/>
    </row>
    <row r="612" spans="1:5" x14ac:dyDescent="0.2">
      <c r="A612" s="3"/>
      <c r="B612" s="4"/>
      <c r="C612" s="3"/>
      <c r="D612" s="3"/>
      <c r="E612" s="3"/>
    </row>
    <row r="613" spans="1:5" x14ac:dyDescent="0.2">
      <c r="A613" s="3"/>
      <c r="B613" s="4"/>
      <c r="C613" s="3"/>
      <c r="D613" s="3"/>
      <c r="E613" s="3"/>
    </row>
    <row r="614" spans="1:5" x14ac:dyDescent="0.2">
      <c r="A614" s="3"/>
      <c r="B614" s="4"/>
      <c r="C614" s="3"/>
      <c r="D614" s="3"/>
      <c r="E614" s="3"/>
    </row>
    <row r="615" spans="1:5" x14ac:dyDescent="0.2">
      <c r="A615" s="3"/>
      <c r="B615" s="4"/>
      <c r="C615" s="3"/>
      <c r="D615" s="3"/>
      <c r="E615" s="3"/>
    </row>
    <row r="616" spans="1:5" x14ac:dyDescent="0.2">
      <c r="A616" s="3"/>
      <c r="B616" s="4"/>
      <c r="C616" s="3"/>
      <c r="D616" s="3"/>
      <c r="E616" s="3"/>
    </row>
    <row r="617" spans="1:5" x14ac:dyDescent="0.2">
      <c r="A617" s="3"/>
      <c r="B617" s="4"/>
      <c r="C617" s="3"/>
      <c r="D617" s="3"/>
      <c r="E617" s="3"/>
    </row>
    <row r="618" spans="1:5" x14ac:dyDescent="0.2">
      <c r="A618" s="3"/>
      <c r="B618" s="4"/>
      <c r="C618" s="3"/>
      <c r="D618" s="3"/>
      <c r="E618" s="3"/>
    </row>
    <row r="619" spans="1:5" x14ac:dyDescent="0.2">
      <c r="A619" s="3"/>
      <c r="B619" s="4"/>
      <c r="C619" s="3"/>
      <c r="D619" s="3"/>
      <c r="E619" s="3"/>
    </row>
    <row r="620" spans="1:5" x14ac:dyDescent="0.2">
      <c r="A620" s="3"/>
      <c r="B620" s="4"/>
      <c r="C620" s="3"/>
      <c r="D620" s="3"/>
      <c r="E620" s="3"/>
    </row>
    <row r="621" spans="1:5" x14ac:dyDescent="0.2">
      <c r="A621" s="3"/>
      <c r="B621" s="4"/>
      <c r="C621" s="3"/>
      <c r="D621" s="3"/>
      <c r="E621" s="3"/>
    </row>
    <row r="622" spans="1:5" x14ac:dyDescent="0.2">
      <c r="A622" s="3"/>
      <c r="B622" s="4"/>
      <c r="C622" s="3"/>
      <c r="D622" s="3"/>
      <c r="E622" s="3"/>
    </row>
    <row r="623" spans="1:5" x14ac:dyDescent="0.2">
      <c r="A623" s="3"/>
      <c r="B623" s="4"/>
      <c r="C623" s="3"/>
      <c r="D623" s="3"/>
      <c r="E623" s="3"/>
    </row>
    <row r="624" spans="1:5" x14ac:dyDescent="0.2">
      <c r="A624" s="3"/>
      <c r="B624" s="4"/>
      <c r="C624" s="3"/>
      <c r="D624" s="3"/>
      <c r="E624" s="3"/>
    </row>
    <row r="625" spans="1:5" x14ac:dyDescent="0.2">
      <c r="A625" s="3"/>
      <c r="B625" s="4"/>
      <c r="C625" s="3"/>
      <c r="D625" s="3"/>
      <c r="E625" s="3"/>
    </row>
    <row r="626" spans="1:5" x14ac:dyDescent="0.2">
      <c r="A626" s="3"/>
      <c r="B626" s="4"/>
      <c r="C626" s="3"/>
      <c r="D626" s="3"/>
      <c r="E626" s="3"/>
    </row>
    <row r="627" spans="1:5" x14ac:dyDescent="0.2">
      <c r="A627" s="3"/>
      <c r="B627" s="4"/>
      <c r="C627" s="3"/>
      <c r="D627" s="3"/>
      <c r="E627" s="3"/>
    </row>
    <row r="628" spans="1:5" x14ac:dyDescent="0.2">
      <c r="A628" s="3"/>
      <c r="B628" s="4"/>
      <c r="C628" s="3"/>
      <c r="D628" s="3"/>
      <c r="E628" s="3"/>
    </row>
    <row r="629" spans="1:5" x14ac:dyDescent="0.2">
      <c r="A629" s="3"/>
      <c r="B629" s="4"/>
      <c r="C629" s="3"/>
      <c r="D629" s="3"/>
      <c r="E629" s="3"/>
    </row>
    <row r="630" spans="1:5" x14ac:dyDescent="0.2">
      <c r="A630" s="3"/>
      <c r="B630" s="4"/>
      <c r="C630" s="3"/>
      <c r="D630" s="3"/>
      <c r="E630" s="3"/>
    </row>
    <row r="631" spans="1:5" x14ac:dyDescent="0.2">
      <c r="A631" s="3"/>
      <c r="B631" s="4"/>
      <c r="C631" s="3"/>
      <c r="D631" s="3"/>
      <c r="E631" s="3"/>
    </row>
    <row r="632" spans="1:5" x14ac:dyDescent="0.2">
      <c r="A632" s="3"/>
      <c r="B632" s="4"/>
      <c r="C632" s="3"/>
      <c r="D632" s="3"/>
      <c r="E632" s="3"/>
    </row>
    <row r="633" spans="1:5" x14ac:dyDescent="0.2">
      <c r="A633" s="3"/>
      <c r="B633" s="4"/>
      <c r="C633" s="3"/>
      <c r="D633" s="3"/>
      <c r="E633" s="3"/>
    </row>
    <row r="634" spans="1:5" x14ac:dyDescent="0.2">
      <c r="A634" s="3"/>
      <c r="B634" s="4"/>
      <c r="C634" s="3"/>
      <c r="D634" s="3"/>
      <c r="E634" s="3"/>
    </row>
    <row r="635" spans="1:5" x14ac:dyDescent="0.2">
      <c r="A635" s="3"/>
      <c r="B635" s="4"/>
      <c r="C635" s="3"/>
      <c r="D635" s="3"/>
      <c r="E635" s="3"/>
    </row>
    <row r="636" spans="1:5" x14ac:dyDescent="0.2">
      <c r="A636" s="3"/>
      <c r="B636" s="4"/>
      <c r="C636" s="3"/>
      <c r="D636" s="3"/>
      <c r="E636" s="3"/>
    </row>
    <row r="637" spans="1:5" x14ac:dyDescent="0.2">
      <c r="A637" s="3"/>
      <c r="B637" s="4"/>
      <c r="C637" s="3"/>
      <c r="D637" s="3"/>
      <c r="E637" s="3"/>
    </row>
    <row r="638" spans="1:5" x14ac:dyDescent="0.2">
      <c r="A638" s="3"/>
      <c r="B638" s="4"/>
      <c r="C638" s="3"/>
      <c r="D638" s="3"/>
      <c r="E638" s="3"/>
    </row>
    <row r="639" spans="1:5" x14ac:dyDescent="0.2">
      <c r="A639" s="3"/>
      <c r="B639" s="4"/>
      <c r="C639" s="3"/>
      <c r="D639" s="3"/>
      <c r="E639" s="3"/>
    </row>
    <row r="640" spans="1:5" x14ac:dyDescent="0.2">
      <c r="A640" s="3"/>
      <c r="B640" s="4"/>
      <c r="C640" s="3"/>
      <c r="D640" s="3"/>
      <c r="E640" s="3"/>
    </row>
    <row r="641" spans="1:5" x14ac:dyDescent="0.2">
      <c r="A641" s="3"/>
      <c r="B641" s="4"/>
      <c r="C641" s="3"/>
      <c r="D641" s="3"/>
      <c r="E641" s="3"/>
    </row>
    <row r="642" spans="1:5" x14ac:dyDescent="0.2">
      <c r="A642" s="3"/>
      <c r="B642" s="4"/>
      <c r="C642" s="3"/>
      <c r="D642" s="3"/>
      <c r="E642" s="3"/>
    </row>
    <row r="643" spans="1:5" x14ac:dyDescent="0.2">
      <c r="A643" s="3"/>
      <c r="B643" s="4"/>
      <c r="C643" s="3"/>
      <c r="D643" s="3"/>
      <c r="E643" s="3"/>
    </row>
    <row r="644" spans="1:5" x14ac:dyDescent="0.2">
      <c r="A644" s="3"/>
      <c r="B644" s="4"/>
      <c r="C644" s="3"/>
      <c r="D644" s="3"/>
      <c r="E644" s="3"/>
    </row>
    <row r="645" spans="1:5" x14ac:dyDescent="0.2">
      <c r="A645" s="3"/>
      <c r="B645" s="4"/>
      <c r="C645" s="3"/>
      <c r="D645" s="3"/>
      <c r="E645" s="3"/>
    </row>
    <row r="646" spans="1:5" x14ac:dyDescent="0.2">
      <c r="A646" s="3"/>
      <c r="B646" s="4"/>
      <c r="C646" s="3"/>
      <c r="D646" s="3"/>
      <c r="E646" s="3"/>
    </row>
    <row r="647" spans="1:5" x14ac:dyDescent="0.2">
      <c r="A647" s="3"/>
      <c r="B647" s="4"/>
      <c r="C647" s="3"/>
      <c r="D647" s="3"/>
      <c r="E647" s="3"/>
    </row>
    <row r="648" spans="1:5" x14ac:dyDescent="0.2">
      <c r="A648" s="3"/>
      <c r="B648" s="4"/>
      <c r="C648" s="3"/>
      <c r="D648" s="3"/>
      <c r="E648" s="3"/>
    </row>
    <row r="649" spans="1:5" x14ac:dyDescent="0.2">
      <c r="A649" s="3"/>
      <c r="B649" s="4"/>
      <c r="C649" s="3"/>
      <c r="D649" s="3"/>
      <c r="E649" s="3"/>
    </row>
    <row r="650" spans="1:5" x14ac:dyDescent="0.2">
      <c r="A650" s="3"/>
      <c r="B650" s="4"/>
      <c r="C650" s="3"/>
      <c r="D650" s="3"/>
      <c r="E650" s="3"/>
    </row>
    <row r="651" spans="1:5" x14ac:dyDescent="0.2">
      <c r="A651" s="3"/>
      <c r="B651" s="4"/>
      <c r="C651" s="3"/>
      <c r="D651" s="3"/>
      <c r="E651" s="3"/>
    </row>
    <row r="652" spans="1:5" x14ac:dyDescent="0.2">
      <c r="A652" s="3"/>
      <c r="B652" s="4"/>
      <c r="C652" s="3"/>
      <c r="D652" s="3"/>
      <c r="E652" s="3"/>
    </row>
    <row r="653" spans="1:5" x14ac:dyDescent="0.2">
      <c r="A653" s="3"/>
      <c r="B653" s="4"/>
      <c r="C653" s="3"/>
      <c r="D653" s="3"/>
      <c r="E653" s="3"/>
    </row>
    <row r="654" spans="1:5" x14ac:dyDescent="0.2">
      <c r="A654" s="3"/>
      <c r="B654" s="4"/>
      <c r="C654" s="3"/>
      <c r="D654" s="3"/>
      <c r="E654" s="3"/>
    </row>
    <row r="655" spans="1:5" x14ac:dyDescent="0.2">
      <c r="A655" s="3"/>
      <c r="B655" s="4"/>
      <c r="C655" s="3"/>
      <c r="D655" s="3"/>
      <c r="E655" s="3"/>
    </row>
    <row r="656" spans="1:5" x14ac:dyDescent="0.2">
      <c r="A656" s="3"/>
      <c r="B656" s="4"/>
      <c r="C656" s="3"/>
      <c r="D656" s="3"/>
      <c r="E656" s="3"/>
    </row>
    <row r="657" spans="1:5" x14ac:dyDescent="0.2">
      <c r="A657" s="3"/>
      <c r="B657" s="4"/>
      <c r="C657" s="3"/>
      <c r="D657" s="3"/>
      <c r="E657" s="3"/>
    </row>
    <row r="658" spans="1:5" x14ac:dyDescent="0.2">
      <c r="A658" s="3"/>
      <c r="B658" s="4"/>
      <c r="C658" s="3"/>
      <c r="D658" s="3"/>
      <c r="E658" s="3"/>
    </row>
    <row r="659" spans="1:5" x14ac:dyDescent="0.2">
      <c r="A659" s="3"/>
      <c r="B659" s="4"/>
      <c r="C659" s="3"/>
      <c r="D659" s="3"/>
      <c r="E659" s="3"/>
    </row>
    <row r="660" spans="1:5" x14ac:dyDescent="0.2">
      <c r="A660" s="3"/>
      <c r="B660" s="4"/>
      <c r="C660" s="3"/>
      <c r="D660" s="3"/>
      <c r="E660" s="3"/>
    </row>
    <row r="661" spans="1:5" x14ac:dyDescent="0.2">
      <c r="A661" s="3"/>
      <c r="B661" s="4"/>
      <c r="C661" s="3"/>
      <c r="D661" s="3"/>
      <c r="E661" s="3"/>
    </row>
    <row r="662" spans="1:5" x14ac:dyDescent="0.2">
      <c r="A662" s="3"/>
      <c r="B662" s="4"/>
      <c r="C662" s="3"/>
      <c r="D662" s="3"/>
      <c r="E662" s="3"/>
    </row>
    <row r="663" spans="1:5" x14ac:dyDescent="0.2">
      <c r="A663" s="3"/>
      <c r="B663" s="4"/>
      <c r="C663" s="3"/>
      <c r="D663" s="3"/>
      <c r="E663" s="3"/>
    </row>
    <row r="664" spans="1:5" x14ac:dyDescent="0.2">
      <c r="A664" s="3"/>
      <c r="B664" s="4"/>
      <c r="C664" s="3"/>
      <c r="D664" s="3"/>
      <c r="E664" s="3"/>
    </row>
    <row r="665" spans="1:5" x14ac:dyDescent="0.2">
      <c r="A665" s="3"/>
      <c r="B665" s="4"/>
      <c r="C665" s="3"/>
      <c r="D665" s="3"/>
      <c r="E665" s="3"/>
    </row>
    <row r="666" spans="1:5" x14ac:dyDescent="0.2">
      <c r="A666" s="3"/>
      <c r="B666" s="4"/>
      <c r="C666" s="3"/>
      <c r="D666" s="3"/>
      <c r="E666" s="3"/>
    </row>
    <row r="667" spans="1:5" x14ac:dyDescent="0.2">
      <c r="A667" s="3"/>
      <c r="B667" s="4"/>
      <c r="C667" s="3"/>
      <c r="D667" s="3"/>
      <c r="E667" s="3"/>
    </row>
    <row r="668" spans="1:5" x14ac:dyDescent="0.2">
      <c r="A668" s="3"/>
      <c r="B668" s="4"/>
      <c r="C668" s="3"/>
      <c r="D668" s="3"/>
      <c r="E668" s="3"/>
    </row>
    <row r="669" spans="1:5" x14ac:dyDescent="0.2">
      <c r="A669" s="3"/>
      <c r="B669" s="4"/>
      <c r="C669" s="3"/>
      <c r="D669" s="3"/>
      <c r="E669" s="3"/>
    </row>
    <row r="670" spans="1:5" x14ac:dyDescent="0.2">
      <c r="A670" s="3"/>
      <c r="B670" s="4"/>
      <c r="C670" s="3"/>
      <c r="D670" s="3"/>
      <c r="E670" s="3"/>
    </row>
    <row r="671" spans="1:5" x14ac:dyDescent="0.2">
      <c r="A671" s="3"/>
      <c r="B671" s="4"/>
      <c r="C671" s="3"/>
      <c r="D671" s="3"/>
      <c r="E671" s="3"/>
    </row>
    <row r="672" spans="1:5" x14ac:dyDescent="0.2">
      <c r="A672" s="3"/>
      <c r="B672" s="4"/>
      <c r="C672" s="3"/>
      <c r="D672" s="3"/>
      <c r="E672" s="3"/>
    </row>
    <row r="673" spans="1:5" x14ac:dyDescent="0.2">
      <c r="A673" s="3"/>
      <c r="B673" s="4"/>
      <c r="C673" s="3"/>
      <c r="D673" s="3"/>
      <c r="E673" s="3"/>
    </row>
    <row r="674" spans="1:5" x14ac:dyDescent="0.2">
      <c r="A674" s="3"/>
      <c r="B674" s="4"/>
      <c r="C674" s="3"/>
      <c r="D674" s="3"/>
      <c r="E674" s="3"/>
    </row>
    <row r="675" spans="1:5" x14ac:dyDescent="0.2">
      <c r="A675" s="3"/>
      <c r="B675" s="4"/>
      <c r="C675" s="3"/>
      <c r="D675" s="3"/>
      <c r="E675" s="3"/>
    </row>
    <row r="676" spans="1:5" x14ac:dyDescent="0.2">
      <c r="A676" s="3"/>
      <c r="B676" s="4"/>
      <c r="C676" s="3"/>
      <c r="D676" s="3"/>
      <c r="E676" s="3"/>
    </row>
    <row r="677" spans="1:5" x14ac:dyDescent="0.2">
      <c r="A677" s="3"/>
      <c r="B677" s="4"/>
      <c r="C677" s="3"/>
      <c r="D677" s="3"/>
      <c r="E677" s="3"/>
    </row>
    <row r="678" spans="1:5" x14ac:dyDescent="0.2">
      <c r="A678" s="3"/>
      <c r="B678" s="4"/>
      <c r="C678" s="3"/>
      <c r="D678" s="3"/>
      <c r="E678" s="3"/>
    </row>
    <row r="679" spans="1:5" x14ac:dyDescent="0.2">
      <c r="A679" s="3"/>
      <c r="B679" s="4"/>
      <c r="C679" s="3"/>
      <c r="D679" s="3"/>
      <c r="E679" s="3"/>
    </row>
    <row r="680" spans="1:5" x14ac:dyDescent="0.2">
      <c r="A680" s="3"/>
      <c r="B680" s="4"/>
      <c r="C680" s="3"/>
      <c r="D680" s="3"/>
      <c r="E680" s="3"/>
    </row>
    <row r="681" spans="1:5" x14ac:dyDescent="0.2">
      <c r="A681" s="3"/>
      <c r="B681" s="4"/>
      <c r="C681" s="3"/>
      <c r="D681" s="3"/>
      <c r="E681" s="3"/>
    </row>
    <row r="682" spans="1:5" x14ac:dyDescent="0.2">
      <c r="A682" s="3"/>
      <c r="B682" s="4"/>
      <c r="C682" s="3"/>
      <c r="D682" s="3"/>
      <c r="E682" s="3"/>
    </row>
    <row r="683" spans="1:5" x14ac:dyDescent="0.2">
      <c r="A683" s="3"/>
      <c r="B683" s="4"/>
      <c r="C683" s="3"/>
      <c r="D683" s="3"/>
      <c r="E683" s="3"/>
    </row>
    <row r="684" spans="1:5" x14ac:dyDescent="0.2">
      <c r="A684" s="3"/>
      <c r="B684" s="4"/>
      <c r="C684" s="3"/>
      <c r="D684" s="3"/>
      <c r="E684" s="3"/>
    </row>
    <row r="685" spans="1:5" x14ac:dyDescent="0.2">
      <c r="A685" s="3"/>
      <c r="B685" s="4"/>
      <c r="C685" s="3"/>
      <c r="D685" s="3"/>
      <c r="E685" s="3"/>
    </row>
    <row r="686" spans="1:5" x14ac:dyDescent="0.2">
      <c r="A686" s="3"/>
      <c r="B686" s="4"/>
      <c r="C686" s="3"/>
      <c r="D686" s="3"/>
      <c r="E686" s="3"/>
    </row>
    <row r="687" spans="1:5" x14ac:dyDescent="0.2">
      <c r="A687" s="3"/>
      <c r="B687" s="4"/>
      <c r="C687" s="3"/>
      <c r="D687" s="3"/>
      <c r="E687" s="3"/>
    </row>
    <row r="688" spans="1:5" x14ac:dyDescent="0.2">
      <c r="A688" s="3"/>
      <c r="B688" s="4"/>
      <c r="C688" s="3"/>
      <c r="D688" s="3"/>
      <c r="E688" s="3"/>
    </row>
    <row r="689" spans="1:5" x14ac:dyDescent="0.2">
      <c r="A689" s="3"/>
      <c r="B689" s="4"/>
      <c r="C689" s="3"/>
      <c r="D689" s="3"/>
      <c r="E689" s="3"/>
    </row>
    <row r="690" spans="1:5" x14ac:dyDescent="0.2">
      <c r="A690" s="3"/>
      <c r="B690" s="4"/>
      <c r="C690" s="3"/>
      <c r="D690" s="3"/>
      <c r="E690" s="3"/>
    </row>
    <row r="691" spans="1:5" x14ac:dyDescent="0.2">
      <c r="A691" s="3"/>
      <c r="B691" s="4"/>
      <c r="C691" s="3"/>
      <c r="D691" s="3"/>
      <c r="E691" s="3"/>
    </row>
    <row r="692" spans="1:5" x14ac:dyDescent="0.2">
      <c r="A692" s="3"/>
      <c r="B692" s="4"/>
      <c r="C692" s="3"/>
      <c r="D692" s="3"/>
      <c r="E692" s="3"/>
    </row>
    <row r="693" spans="1:5" x14ac:dyDescent="0.2">
      <c r="A693" s="3"/>
      <c r="B693" s="4"/>
      <c r="C693" s="3"/>
      <c r="D693" s="3"/>
      <c r="E693" s="3"/>
    </row>
    <row r="694" spans="1:5" x14ac:dyDescent="0.2">
      <c r="A694" s="3"/>
      <c r="B694" s="4"/>
      <c r="C694" s="3"/>
      <c r="D694" s="3"/>
      <c r="E694" s="3"/>
    </row>
    <row r="695" spans="1:5" x14ac:dyDescent="0.2">
      <c r="A695" s="3"/>
      <c r="B695" s="4"/>
      <c r="C695" s="3"/>
      <c r="D695" s="3"/>
      <c r="E695" s="3"/>
    </row>
    <row r="696" spans="1:5" x14ac:dyDescent="0.2">
      <c r="A696" s="3"/>
      <c r="B696" s="4"/>
      <c r="C696" s="3"/>
      <c r="D696" s="3"/>
      <c r="E696" s="3"/>
    </row>
    <row r="697" spans="1:5" x14ac:dyDescent="0.2">
      <c r="A697" s="3"/>
      <c r="B697" s="4"/>
      <c r="C697" s="3"/>
      <c r="D697" s="3"/>
      <c r="E697" s="3"/>
    </row>
    <row r="698" spans="1:5" x14ac:dyDescent="0.2">
      <c r="A698" s="3"/>
      <c r="B698" s="4"/>
      <c r="C698" s="3"/>
      <c r="D698" s="3"/>
      <c r="E698" s="3"/>
    </row>
    <row r="699" spans="1:5" x14ac:dyDescent="0.2">
      <c r="A699" s="3"/>
      <c r="B699" s="4"/>
      <c r="C699" s="3"/>
      <c r="D699" s="3"/>
      <c r="E699" s="3"/>
    </row>
    <row r="700" spans="1:5" x14ac:dyDescent="0.2">
      <c r="A700" s="3"/>
      <c r="B700" s="4"/>
      <c r="C700" s="3"/>
      <c r="D700" s="3"/>
      <c r="E700" s="3"/>
    </row>
    <row r="701" spans="1:5" x14ac:dyDescent="0.2">
      <c r="A701" s="3"/>
      <c r="B701" s="4"/>
      <c r="C701" s="3"/>
      <c r="D701" s="3"/>
      <c r="E701" s="3"/>
    </row>
    <row r="702" spans="1:5" x14ac:dyDescent="0.2">
      <c r="A702" s="3"/>
      <c r="B702" s="4"/>
      <c r="C702" s="3"/>
      <c r="D702" s="3"/>
      <c r="E702" s="3"/>
    </row>
    <row r="703" spans="1:5" x14ac:dyDescent="0.2">
      <c r="A703" s="3"/>
      <c r="B703" s="4"/>
      <c r="C703" s="3"/>
      <c r="D703" s="3"/>
      <c r="E703" s="3"/>
    </row>
    <row r="704" spans="1:5" x14ac:dyDescent="0.2">
      <c r="A704" s="3"/>
      <c r="B704" s="4"/>
      <c r="C704" s="3"/>
      <c r="D704" s="3"/>
      <c r="E704" s="3"/>
    </row>
    <row r="705" spans="1:5" x14ac:dyDescent="0.2">
      <c r="A705" s="3"/>
      <c r="B705" s="4"/>
      <c r="C705" s="3"/>
      <c r="D705" s="3"/>
      <c r="E705" s="3"/>
    </row>
    <row r="706" spans="1:5" x14ac:dyDescent="0.2">
      <c r="A706" s="3"/>
      <c r="B706" s="4"/>
      <c r="C706" s="3"/>
      <c r="D706" s="3"/>
      <c r="E706" s="3"/>
    </row>
    <row r="707" spans="1:5" x14ac:dyDescent="0.2">
      <c r="A707" s="3"/>
      <c r="B707" s="4"/>
      <c r="C707" s="3"/>
      <c r="D707" s="3"/>
      <c r="E707" s="3"/>
    </row>
    <row r="708" spans="1:5" x14ac:dyDescent="0.2">
      <c r="A708" s="3"/>
      <c r="B708" s="4"/>
      <c r="C708" s="3"/>
      <c r="D708" s="3"/>
      <c r="E708" s="3"/>
    </row>
    <row r="709" spans="1:5" x14ac:dyDescent="0.2">
      <c r="A709" s="3"/>
      <c r="B709" s="4"/>
      <c r="C709" s="3"/>
      <c r="D709" s="3"/>
      <c r="E709" s="3"/>
    </row>
    <row r="710" spans="1:5" x14ac:dyDescent="0.2">
      <c r="A710" s="3"/>
      <c r="B710" s="4"/>
      <c r="C710" s="3"/>
      <c r="D710" s="3"/>
      <c r="E710" s="3"/>
    </row>
    <row r="711" spans="1:5" x14ac:dyDescent="0.2">
      <c r="A711" s="3"/>
      <c r="B711" s="4"/>
      <c r="C711" s="3"/>
      <c r="D711" s="3"/>
      <c r="E711" s="3"/>
    </row>
    <row r="712" spans="1:5" x14ac:dyDescent="0.2">
      <c r="A712" s="3"/>
      <c r="B712" s="4"/>
      <c r="C712" s="3"/>
      <c r="D712" s="3"/>
      <c r="E712" s="3"/>
    </row>
    <row r="713" spans="1:5" x14ac:dyDescent="0.2">
      <c r="A713" s="3"/>
      <c r="B713" s="4"/>
      <c r="C713" s="3"/>
      <c r="D713" s="3"/>
      <c r="E713" s="3"/>
    </row>
  </sheetData>
  <autoFilter ref="A8:B46"/>
  <phoneticPr fontId="3" type="noConversion"/>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88"/>
  <sheetViews>
    <sheetView topLeftCell="A188" workbookViewId="0">
      <selection activeCell="N31" sqref="N31"/>
    </sheetView>
  </sheetViews>
  <sheetFormatPr defaultRowHeight="12.75" x14ac:dyDescent="0.2"/>
  <cols>
    <col min="1" max="1" width="25.42578125" customWidth="1"/>
    <col min="2" max="2" width="63.28515625" customWidth="1"/>
  </cols>
  <sheetData>
    <row r="2" spans="1:2" ht="21" x14ac:dyDescent="0.2">
      <c r="A2" s="201" t="s">
        <v>138</v>
      </c>
      <c r="B2" s="202" t="s">
        <v>483</v>
      </c>
    </row>
    <row r="3" spans="1:2" ht="21" x14ac:dyDescent="0.2">
      <c r="A3" s="201" t="s">
        <v>485</v>
      </c>
      <c r="B3" s="202" t="s">
        <v>484</v>
      </c>
    </row>
    <row r="4" spans="1:2" ht="56.25" x14ac:dyDescent="0.2">
      <c r="A4" s="203" t="s">
        <v>884</v>
      </c>
      <c r="B4" s="204" t="s">
        <v>885</v>
      </c>
    </row>
    <row r="5" spans="1:2" ht="67.5" x14ac:dyDescent="0.2">
      <c r="A5" s="203" t="s">
        <v>799</v>
      </c>
      <c r="B5" s="204" t="s">
        <v>450</v>
      </c>
    </row>
    <row r="6" spans="1:2" ht="67.5" x14ac:dyDescent="0.2">
      <c r="A6" s="203" t="s">
        <v>807</v>
      </c>
      <c r="B6" s="204" t="s">
        <v>453</v>
      </c>
    </row>
    <row r="7" spans="1:2" ht="67.5" x14ac:dyDescent="0.2">
      <c r="A7" s="203" t="s">
        <v>811</v>
      </c>
      <c r="B7" s="204" t="s">
        <v>454</v>
      </c>
    </row>
    <row r="8" spans="1:2" ht="67.5" x14ac:dyDescent="0.2">
      <c r="A8" s="203" t="s">
        <v>824</v>
      </c>
      <c r="B8" s="204" t="s">
        <v>457</v>
      </c>
    </row>
    <row r="9" spans="1:2" ht="78.75" x14ac:dyDescent="0.2">
      <c r="A9" s="203" t="s">
        <v>800</v>
      </c>
      <c r="B9" s="204" t="s">
        <v>619</v>
      </c>
    </row>
    <row r="10" spans="1:2" ht="90" x14ac:dyDescent="0.2">
      <c r="A10" s="203" t="s">
        <v>808</v>
      </c>
      <c r="B10" s="204" t="s">
        <v>455</v>
      </c>
    </row>
    <row r="11" spans="1:2" ht="90" x14ac:dyDescent="0.2">
      <c r="A11" s="203" t="s">
        <v>812</v>
      </c>
      <c r="B11" s="204" t="s">
        <v>623</v>
      </c>
    </row>
    <row r="12" spans="1:2" ht="90" x14ac:dyDescent="0.2">
      <c r="A12" s="203" t="s">
        <v>825</v>
      </c>
      <c r="B12" s="204" t="s">
        <v>458</v>
      </c>
    </row>
    <row r="13" spans="1:2" ht="78.75" x14ac:dyDescent="0.2">
      <c r="A13" s="203" t="s">
        <v>886</v>
      </c>
      <c r="B13" s="204" t="s">
        <v>887</v>
      </c>
    </row>
    <row r="14" spans="1:2" ht="78.75" x14ac:dyDescent="0.2">
      <c r="A14" s="203" t="s">
        <v>814</v>
      </c>
      <c r="B14" s="204" t="s">
        <v>572</v>
      </c>
    </row>
    <row r="15" spans="1:2" ht="78.75" x14ac:dyDescent="0.2">
      <c r="A15" s="203" t="s">
        <v>888</v>
      </c>
      <c r="B15" s="204" t="s">
        <v>889</v>
      </c>
    </row>
    <row r="16" spans="1:2" ht="67.5" x14ac:dyDescent="0.2">
      <c r="A16" s="203" t="s">
        <v>813</v>
      </c>
      <c r="B16" s="204" t="s">
        <v>624</v>
      </c>
    </row>
    <row r="17" spans="1:2" ht="67.5" x14ac:dyDescent="0.2">
      <c r="A17" s="203" t="s">
        <v>801</v>
      </c>
      <c r="B17" s="204" t="s">
        <v>620</v>
      </c>
    </row>
    <row r="18" spans="1:2" ht="67.5" x14ac:dyDescent="0.2">
      <c r="A18" s="203" t="s">
        <v>809</v>
      </c>
      <c r="B18" s="204" t="s">
        <v>625</v>
      </c>
    </row>
    <row r="19" spans="1:2" ht="67.5" x14ac:dyDescent="0.2">
      <c r="A19" s="203" t="s">
        <v>816</v>
      </c>
      <c r="B19" s="204" t="s">
        <v>626</v>
      </c>
    </row>
    <row r="20" spans="1:2" ht="67.5" x14ac:dyDescent="0.2">
      <c r="A20" s="203" t="s">
        <v>827</v>
      </c>
      <c r="B20" s="204" t="s">
        <v>826</v>
      </c>
    </row>
    <row r="21" spans="1:2" ht="67.5" x14ac:dyDescent="0.2">
      <c r="A21" s="203" t="s">
        <v>802</v>
      </c>
      <c r="B21" s="204" t="s">
        <v>621</v>
      </c>
    </row>
    <row r="22" spans="1:2" ht="78.75" x14ac:dyDescent="0.2">
      <c r="A22" s="203" t="s">
        <v>810</v>
      </c>
      <c r="B22" s="204" t="s">
        <v>627</v>
      </c>
    </row>
    <row r="23" spans="1:2" ht="67.5" x14ac:dyDescent="0.2">
      <c r="A23" s="203" t="s">
        <v>817</v>
      </c>
      <c r="B23" s="204" t="s">
        <v>628</v>
      </c>
    </row>
    <row r="24" spans="1:2" ht="56.25" x14ac:dyDescent="0.2">
      <c r="A24" s="203" t="s">
        <v>803</v>
      </c>
      <c r="B24" s="204" t="s">
        <v>622</v>
      </c>
    </row>
    <row r="25" spans="1:2" ht="67.5" x14ac:dyDescent="0.2">
      <c r="A25" s="203" t="s">
        <v>815</v>
      </c>
      <c r="B25" s="204" t="s">
        <v>629</v>
      </c>
    </row>
    <row r="26" spans="1:2" ht="45" x14ac:dyDescent="0.2">
      <c r="A26" s="203" t="s">
        <v>890</v>
      </c>
      <c r="B26" s="204" t="s">
        <v>891</v>
      </c>
    </row>
    <row r="27" spans="1:2" ht="56.25" x14ac:dyDescent="0.2">
      <c r="A27" s="203" t="s">
        <v>892</v>
      </c>
      <c r="B27" s="204" t="s">
        <v>893</v>
      </c>
    </row>
    <row r="28" spans="1:2" ht="56.25" x14ac:dyDescent="0.2">
      <c r="A28" s="203" t="s">
        <v>894</v>
      </c>
      <c r="B28" s="204" t="s">
        <v>895</v>
      </c>
    </row>
    <row r="29" spans="1:2" ht="90" x14ac:dyDescent="0.2">
      <c r="A29" s="203" t="s">
        <v>842</v>
      </c>
      <c r="B29" s="204" t="s">
        <v>576</v>
      </c>
    </row>
    <row r="30" spans="1:2" ht="67.5" x14ac:dyDescent="0.2">
      <c r="A30" s="203" t="s">
        <v>844</v>
      </c>
      <c r="B30" s="204" t="s">
        <v>464</v>
      </c>
    </row>
    <row r="31" spans="1:2" ht="67.5" x14ac:dyDescent="0.2">
      <c r="A31" s="203" t="s">
        <v>896</v>
      </c>
      <c r="B31" s="204" t="s">
        <v>897</v>
      </c>
    </row>
    <row r="32" spans="1:2" ht="56.25" x14ac:dyDescent="0.2">
      <c r="A32" s="203" t="s">
        <v>898</v>
      </c>
      <c r="B32" s="204" t="s">
        <v>899</v>
      </c>
    </row>
    <row r="33" spans="1:2" ht="90" x14ac:dyDescent="0.2">
      <c r="A33" s="203" t="s">
        <v>804</v>
      </c>
      <c r="B33" s="204" t="s">
        <v>452</v>
      </c>
    </row>
    <row r="34" spans="1:2" ht="67.5" x14ac:dyDescent="0.2">
      <c r="A34" s="203" t="s">
        <v>843</v>
      </c>
      <c r="B34" s="204" t="s">
        <v>462</v>
      </c>
    </row>
    <row r="35" spans="1:2" ht="67.5" x14ac:dyDescent="0.2">
      <c r="A35" s="203" t="s">
        <v>900</v>
      </c>
      <c r="B35" s="204" t="s">
        <v>901</v>
      </c>
    </row>
    <row r="36" spans="1:2" ht="45" x14ac:dyDescent="0.2">
      <c r="A36" s="203" t="s">
        <v>902</v>
      </c>
      <c r="B36" s="204" t="s">
        <v>903</v>
      </c>
    </row>
    <row r="37" spans="1:2" ht="78.75" x14ac:dyDescent="0.2">
      <c r="A37" s="203" t="s">
        <v>796</v>
      </c>
      <c r="B37" s="204" t="s">
        <v>449</v>
      </c>
    </row>
    <row r="38" spans="1:2" ht="56.25" x14ac:dyDescent="0.2">
      <c r="A38" s="203" t="s">
        <v>904</v>
      </c>
      <c r="B38" s="204" t="s">
        <v>905</v>
      </c>
    </row>
    <row r="39" spans="1:2" ht="45" x14ac:dyDescent="0.2">
      <c r="A39" s="203" t="s">
        <v>906</v>
      </c>
      <c r="B39" s="205" t="s">
        <v>907</v>
      </c>
    </row>
    <row r="40" spans="1:2" ht="33.75" x14ac:dyDescent="0.2">
      <c r="A40" s="203" t="s">
        <v>818</v>
      </c>
      <c r="B40" s="205" t="s">
        <v>451</v>
      </c>
    </row>
    <row r="41" spans="1:2" ht="33.75" x14ac:dyDescent="0.2">
      <c r="A41" s="203" t="s">
        <v>833</v>
      </c>
      <c r="B41" s="205" t="s">
        <v>433</v>
      </c>
    </row>
    <row r="42" spans="1:2" ht="67.5" x14ac:dyDescent="0.2">
      <c r="A42" s="203" t="s">
        <v>908</v>
      </c>
      <c r="B42" s="204" t="s">
        <v>909</v>
      </c>
    </row>
    <row r="43" spans="1:2" ht="56.25" x14ac:dyDescent="0.2">
      <c r="A43" s="203" t="s">
        <v>910</v>
      </c>
      <c r="B43" s="204" t="s">
        <v>654</v>
      </c>
    </row>
    <row r="44" spans="1:2" ht="56.25" x14ac:dyDescent="0.2">
      <c r="A44" s="203" t="s">
        <v>911</v>
      </c>
      <c r="B44" s="204" t="s">
        <v>912</v>
      </c>
    </row>
    <row r="45" spans="1:2" ht="56.25" x14ac:dyDescent="0.2">
      <c r="A45" s="203" t="s">
        <v>913</v>
      </c>
      <c r="B45" s="204" t="s">
        <v>914</v>
      </c>
    </row>
    <row r="46" spans="1:2" ht="67.5" x14ac:dyDescent="0.2">
      <c r="A46" s="203" t="s">
        <v>915</v>
      </c>
      <c r="B46" s="204" t="s">
        <v>916</v>
      </c>
    </row>
    <row r="47" spans="1:2" ht="56.25" x14ac:dyDescent="0.2">
      <c r="A47" s="203" t="s">
        <v>753</v>
      </c>
      <c r="B47" s="204" t="s">
        <v>548</v>
      </c>
    </row>
    <row r="48" spans="1:2" ht="33.75" x14ac:dyDescent="0.2">
      <c r="A48" s="203" t="s">
        <v>820</v>
      </c>
      <c r="B48" s="205" t="s">
        <v>631</v>
      </c>
    </row>
    <row r="49" spans="1:2" ht="56.25" x14ac:dyDescent="0.2">
      <c r="A49" s="203" t="s">
        <v>828</v>
      </c>
      <c r="B49" s="204" t="s">
        <v>459</v>
      </c>
    </row>
    <row r="50" spans="1:2" ht="56.25" x14ac:dyDescent="0.2">
      <c r="A50" s="203" t="s">
        <v>829</v>
      </c>
      <c r="B50" s="204" t="s">
        <v>456</v>
      </c>
    </row>
    <row r="51" spans="1:2" ht="56.25" x14ac:dyDescent="0.2">
      <c r="A51" s="203" t="s">
        <v>917</v>
      </c>
      <c r="B51" s="204" t="s">
        <v>918</v>
      </c>
    </row>
    <row r="52" spans="1:2" ht="21" x14ac:dyDescent="0.2">
      <c r="A52" s="201" t="s">
        <v>487</v>
      </c>
      <c r="B52" s="202" t="s">
        <v>486</v>
      </c>
    </row>
    <row r="53" spans="1:2" ht="56.25" x14ac:dyDescent="0.2">
      <c r="A53" s="203" t="s">
        <v>834</v>
      </c>
      <c r="B53" s="204" t="s">
        <v>461</v>
      </c>
    </row>
    <row r="54" spans="1:2" ht="21" x14ac:dyDescent="0.2">
      <c r="A54" s="201" t="s">
        <v>489</v>
      </c>
      <c r="B54" s="202" t="s">
        <v>663</v>
      </c>
    </row>
    <row r="55" spans="1:2" ht="45" x14ac:dyDescent="0.2">
      <c r="A55" s="203" t="s">
        <v>835</v>
      </c>
      <c r="B55" s="205" t="s">
        <v>657</v>
      </c>
    </row>
    <row r="56" spans="1:2" ht="67.5" x14ac:dyDescent="0.2">
      <c r="A56" s="203" t="s">
        <v>836</v>
      </c>
      <c r="B56" s="204" t="s">
        <v>670</v>
      </c>
    </row>
    <row r="57" spans="1:2" ht="45" x14ac:dyDescent="0.2">
      <c r="A57" s="203" t="s">
        <v>832</v>
      </c>
      <c r="B57" s="205" t="s">
        <v>655</v>
      </c>
    </row>
    <row r="58" spans="1:2" ht="45" x14ac:dyDescent="0.2">
      <c r="A58" s="203" t="s">
        <v>863</v>
      </c>
      <c r="B58" s="204" t="s">
        <v>656</v>
      </c>
    </row>
    <row r="59" spans="1:2" ht="21" x14ac:dyDescent="0.2">
      <c r="A59" s="201" t="s">
        <v>239</v>
      </c>
      <c r="B59" s="202" t="s">
        <v>634</v>
      </c>
    </row>
    <row r="60" spans="1:2" x14ac:dyDescent="0.2">
      <c r="A60" s="201" t="s">
        <v>864</v>
      </c>
      <c r="B60" s="202" t="s">
        <v>636</v>
      </c>
    </row>
    <row r="61" spans="1:2" ht="45" x14ac:dyDescent="0.2">
      <c r="A61" s="203" t="s">
        <v>755</v>
      </c>
      <c r="B61" s="205" t="s">
        <v>611</v>
      </c>
    </row>
    <row r="62" spans="1:2" ht="42" x14ac:dyDescent="0.2">
      <c r="A62" s="201" t="s">
        <v>865</v>
      </c>
      <c r="B62" s="202" t="s">
        <v>637</v>
      </c>
    </row>
    <row r="63" spans="1:2" ht="78.75" x14ac:dyDescent="0.2">
      <c r="A63" s="203" t="s">
        <v>758</v>
      </c>
      <c r="B63" s="204" t="s">
        <v>612</v>
      </c>
    </row>
    <row r="64" spans="1:2" x14ac:dyDescent="0.2">
      <c r="A64" s="201" t="s">
        <v>919</v>
      </c>
      <c r="B64" s="202" t="s">
        <v>920</v>
      </c>
    </row>
    <row r="65" spans="1:2" ht="101.25" x14ac:dyDescent="0.2">
      <c r="A65" s="203" t="s">
        <v>921</v>
      </c>
      <c r="B65" s="204" t="s">
        <v>922</v>
      </c>
    </row>
    <row r="66" spans="1:2" ht="45" x14ac:dyDescent="0.2">
      <c r="A66" s="203" t="s">
        <v>923</v>
      </c>
      <c r="B66" s="205" t="s">
        <v>924</v>
      </c>
    </row>
    <row r="67" spans="1:2" ht="112.5" x14ac:dyDescent="0.2">
      <c r="A67" s="203" t="s">
        <v>925</v>
      </c>
      <c r="B67" s="204" t="s">
        <v>926</v>
      </c>
    </row>
    <row r="68" spans="1:2" ht="31.5" x14ac:dyDescent="0.2">
      <c r="A68" s="201" t="s">
        <v>251</v>
      </c>
      <c r="B68" s="202" t="s">
        <v>493</v>
      </c>
    </row>
    <row r="69" spans="1:2" ht="21" x14ac:dyDescent="0.2">
      <c r="A69" s="201" t="s">
        <v>878</v>
      </c>
      <c r="B69" s="202" t="s">
        <v>877</v>
      </c>
    </row>
    <row r="70" spans="1:2" ht="123.75" x14ac:dyDescent="0.2">
      <c r="A70" s="203" t="s">
        <v>927</v>
      </c>
      <c r="B70" s="204" t="s">
        <v>928</v>
      </c>
    </row>
    <row r="71" spans="1:2" ht="123.75" x14ac:dyDescent="0.2">
      <c r="A71" s="203" t="s">
        <v>861</v>
      </c>
      <c r="B71" s="204" t="s">
        <v>547</v>
      </c>
    </row>
    <row r="72" spans="1:2" ht="21" x14ac:dyDescent="0.2">
      <c r="A72" s="201" t="s">
        <v>494</v>
      </c>
      <c r="B72" s="202" t="s">
        <v>638</v>
      </c>
    </row>
    <row r="73" spans="1:2" ht="78.75" x14ac:dyDescent="0.2">
      <c r="A73" s="203" t="s">
        <v>736</v>
      </c>
      <c r="B73" s="204" t="s">
        <v>609</v>
      </c>
    </row>
    <row r="74" spans="1:2" ht="90" x14ac:dyDescent="0.2">
      <c r="A74" s="203" t="s">
        <v>735</v>
      </c>
      <c r="B74" s="204" t="s">
        <v>544</v>
      </c>
    </row>
    <row r="75" spans="1:2" ht="31.5" x14ac:dyDescent="0.2">
      <c r="A75" s="201" t="s">
        <v>585</v>
      </c>
      <c r="B75" s="202" t="s">
        <v>639</v>
      </c>
    </row>
    <row r="76" spans="1:2" ht="56.25" x14ac:dyDescent="0.2">
      <c r="A76" s="203" t="s">
        <v>794</v>
      </c>
      <c r="B76" s="204" t="s">
        <v>571</v>
      </c>
    </row>
    <row r="77" spans="1:2" ht="21" x14ac:dyDescent="0.2">
      <c r="A77" s="201" t="s">
        <v>496</v>
      </c>
      <c r="B77" s="202" t="s">
        <v>495</v>
      </c>
    </row>
    <row r="78" spans="1:2" ht="45" x14ac:dyDescent="0.2">
      <c r="A78" s="203" t="s">
        <v>822</v>
      </c>
      <c r="B78" s="204" t="s">
        <v>436</v>
      </c>
    </row>
    <row r="79" spans="1:2" ht="31.5" x14ac:dyDescent="0.2">
      <c r="A79" s="201" t="s">
        <v>866</v>
      </c>
      <c r="B79" s="202" t="s">
        <v>640</v>
      </c>
    </row>
    <row r="80" spans="1:2" ht="56.25" x14ac:dyDescent="0.2">
      <c r="A80" s="203" t="s">
        <v>929</v>
      </c>
      <c r="B80" s="204" t="s">
        <v>930</v>
      </c>
    </row>
    <row r="81" spans="1:2" ht="56.25" x14ac:dyDescent="0.2">
      <c r="A81" s="203" t="s">
        <v>750</v>
      </c>
      <c r="B81" s="204" t="s">
        <v>427</v>
      </c>
    </row>
    <row r="82" spans="1:2" ht="67.5" x14ac:dyDescent="0.2">
      <c r="A82" s="203" t="s">
        <v>931</v>
      </c>
      <c r="B82" s="204" t="s">
        <v>932</v>
      </c>
    </row>
    <row r="83" spans="1:2" ht="21" x14ac:dyDescent="0.2">
      <c r="A83" s="201" t="s">
        <v>880</v>
      </c>
      <c r="B83" s="202" t="s">
        <v>879</v>
      </c>
    </row>
    <row r="84" spans="1:2" ht="56.25" x14ac:dyDescent="0.2">
      <c r="A84" s="203" t="s">
        <v>933</v>
      </c>
      <c r="B84" s="204" t="s">
        <v>883</v>
      </c>
    </row>
    <row r="85" spans="1:2" ht="45" x14ac:dyDescent="0.2">
      <c r="A85" s="203" t="s">
        <v>934</v>
      </c>
      <c r="B85" s="205" t="s">
        <v>935</v>
      </c>
    </row>
    <row r="86" spans="1:2" ht="56.25" x14ac:dyDescent="0.2">
      <c r="A86" s="203" t="s">
        <v>936</v>
      </c>
      <c r="B86" s="204" t="s">
        <v>937</v>
      </c>
    </row>
    <row r="87" spans="1:2" ht="31.5" x14ac:dyDescent="0.2">
      <c r="A87" s="201" t="s">
        <v>253</v>
      </c>
      <c r="B87" s="202" t="s">
        <v>497</v>
      </c>
    </row>
    <row r="88" spans="1:2" ht="42" x14ac:dyDescent="0.2">
      <c r="A88" s="201" t="s">
        <v>499</v>
      </c>
      <c r="B88" s="202" t="s">
        <v>498</v>
      </c>
    </row>
    <row r="89" spans="1:2" ht="78.75" x14ac:dyDescent="0.2">
      <c r="A89" s="203" t="s">
        <v>713</v>
      </c>
      <c r="B89" s="204" t="s">
        <v>381</v>
      </c>
    </row>
    <row r="90" spans="1:2" ht="90" x14ac:dyDescent="0.2">
      <c r="A90" s="203" t="s">
        <v>714</v>
      </c>
      <c r="B90" s="204" t="s">
        <v>674</v>
      </c>
    </row>
    <row r="91" spans="1:2" ht="67.5" x14ac:dyDescent="0.2">
      <c r="A91" s="203" t="s">
        <v>724</v>
      </c>
      <c r="B91" s="204" t="s">
        <v>391</v>
      </c>
    </row>
    <row r="92" spans="1:2" ht="21" x14ac:dyDescent="0.2">
      <c r="A92" s="201" t="s">
        <v>501</v>
      </c>
      <c r="B92" s="202" t="s">
        <v>500</v>
      </c>
    </row>
    <row r="93" spans="1:2" ht="56.25" x14ac:dyDescent="0.2">
      <c r="A93" s="203" t="s">
        <v>718</v>
      </c>
      <c r="B93" s="204" t="s">
        <v>389</v>
      </c>
    </row>
    <row r="94" spans="1:2" ht="56.25" x14ac:dyDescent="0.2">
      <c r="A94" s="203" t="s">
        <v>719</v>
      </c>
      <c r="B94" s="204" t="s">
        <v>390</v>
      </c>
    </row>
    <row r="95" spans="1:2" ht="56.25" x14ac:dyDescent="0.2">
      <c r="A95" s="203" t="s">
        <v>702</v>
      </c>
      <c r="B95" s="204" t="s">
        <v>373</v>
      </c>
    </row>
    <row r="96" spans="1:2" ht="52.5" x14ac:dyDescent="0.2">
      <c r="A96" s="201" t="s">
        <v>938</v>
      </c>
      <c r="B96" s="206" t="s">
        <v>939</v>
      </c>
    </row>
    <row r="97" spans="1:2" ht="45" x14ac:dyDescent="0.2">
      <c r="A97" s="203" t="s">
        <v>938</v>
      </c>
      <c r="B97" s="204" t="s">
        <v>939</v>
      </c>
    </row>
    <row r="98" spans="1:2" ht="63" x14ac:dyDescent="0.2">
      <c r="A98" s="201" t="s">
        <v>940</v>
      </c>
      <c r="B98" s="206" t="s">
        <v>941</v>
      </c>
    </row>
    <row r="99" spans="1:2" ht="56.25" x14ac:dyDescent="0.2">
      <c r="A99" s="203" t="s">
        <v>940</v>
      </c>
      <c r="B99" s="204" t="s">
        <v>941</v>
      </c>
    </row>
    <row r="100" spans="1:2" x14ac:dyDescent="0.2">
      <c r="A100" s="201" t="s">
        <v>243</v>
      </c>
      <c r="B100" s="202" t="s">
        <v>502</v>
      </c>
    </row>
    <row r="101" spans="1:2" x14ac:dyDescent="0.2">
      <c r="A101" s="201" t="s">
        <v>504</v>
      </c>
      <c r="B101" s="202" t="s">
        <v>503</v>
      </c>
    </row>
    <row r="102" spans="1:2" ht="63" x14ac:dyDescent="0.2">
      <c r="A102" s="201" t="s">
        <v>765</v>
      </c>
      <c r="B102" s="206" t="s">
        <v>437</v>
      </c>
    </row>
    <row r="103" spans="1:2" ht="56.25" x14ac:dyDescent="0.2">
      <c r="A103" s="203" t="s">
        <v>765</v>
      </c>
      <c r="B103" s="204" t="s">
        <v>437</v>
      </c>
    </row>
    <row r="104" spans="1:2" ht="67.5" x14ac:dyDescent="0.2">
      <c r="A104" s="203" t="s">
        <v>766</v>
      </c>
      <c r="B104" s="204" t="s">
        <v>438</v>
      </c>
    </row>
    <row r="105" spans="1:2" ht="56.25" x14ac:dyDescent="0.2">
      <c r="A105" s="203" t="s">
        <v>768</v>
      </c>
      <c r="B105" s="204" t="s">
        <v>615</v>
      </c>
    </row>
    <row r="106" spans="1:2" ht="45" x14ac:dyDescent="0.2">
      <c r="A106" s="203" t="s">
        <v>942</v>
      </c>
      <c r="B106" s="205" t="s">
        <v>943</v>
      </c>
    </row>
    <row r="107" spans="1:2" ht="33.75" x14ac:dyDescent="0.2">
      <c r="A107" s="203" t="s">
        <v>944</v>
      </c>
      <c r="B107" s="205" t="s">
        <v>945</v>
      </c>
    </row>
    <row r="108" spans="1:2" ht="33.75" x14ac:dyDescent="0.2">
      <c r="A108" s="203" t="s">
        <v>774</v>
      </c>
      <c r="B108" s="205" t="s">
        <v>440</v>
      </c>
    </row>
    <row r="109" spans="1:2" ht="56.25" x14ac:dyDescent="0.2">
      <c r="A109" s="203" t="s">
        <v>946</v>
      </c>
      <c r="B109" s="204" t="s">
        <v>947</v>
      </c>
    </row>
    <row r="110" spans="1:2" ht="33.75" x14ac:dyDescent="0.2">
      <c r="A110" s="203" t="s">
        <v>776</v>
      </c>
      <c r="B110" s="205" t="s">
        <v>664</v>
      </c>
    </row>
    <row r="111" spans="1:2" ht="33.75" x14ac:dyDescent="0.2">
      <c r="A111" s="203" t="s">
        <v>770</v>
      </c>
      <c r="B111" s="205" t="s">
        <v>439</v>
      </c>
    </row>
    <row r="112" spans="1:2" ht="67.5" x14ac:dyDescent="0.2">
      <c r="A112" s="203" t="s">
        <v>771</v>
      </c>
      <c r="B112" s="204" t="s">
        <v>675</v>
      </c>
    </row>
    <row r="113" spans="1:2" x14ac:dyDescent="0.2">
      <c r="A113" s="201" t="s">
        <v>505</v>
      </c>
      <c r="B113" s="202" t="s">
        <v>641</v>
      </c>
    </row>
    <row r="114" spans="1:2" ht="56.25" x14ac:dyDescent="0.2">
      <c r="A114" s="203" t="s">
        <v>777</v>
      </c>
      <c r="B114" s="204" t="s">
        <v>558</v>
      </c>
    </row>
    <row r="115" spans="1:2" ht="78.75" x14ac:dyDescent="0.2">
      <c r="A115" s="203" t="s">
        <v>778</v>
      </c>
      <c r="B115" s="204" t="s">
        <v>559</v>
      </c>
    </row>
    <row r="116" spans="1:2" ht="56.25" x14ac:dyDescent="0.2">
      <c r="A116" s="203" t="s">
        <v>781</v>
      </c>
      <c r="B116" s="204" t="s">
        <v>617</v>
      </c>
    </row>
    <row r="117" spans="1:2" ht="33.75" x14ac:dyDescent="0.2">
      <c r="A117" s="203" t="s">
        <v>759</v>
      </c>
      <c r="B117" s="205" t="s">
        <v>550</v>
      </c>
    </row>
    <row r="118" spans="1:2" ht="45" x14ac:dyDescent="0.2">
      <c r="A118" s="203" t="s">
        <v>782</v>
      </c>
      <c r="B118" s="205" t="s">
        <v>562</v>
      </c>
    </row>
    <row r="119" spans="1:2" ht="33.75" x14ac:dyDescent="0.2">
      <c r="A119" s="203" t="s">
        <v>948</v>
      </c>
      <c r="B119" s="205" t="s">
        <v>949</v>
      </c>
    </row>
    <row r="120" spans="1:2" ht="78.75" x14ac:dyDescent="0.2">
      <c r="A120" s="203" t="s">
        <v>783</v>
      </c>
      <c r="B120" s="204" t="s">
        <v>563</v>
      </c>
    </row>
    <row r="121" spans="1:2" ht="21" x14ac:dyDescent="0.2">
      <c r="A121" s="201" t="s">
        <v>506</v>
      </c>
      <c r="B121" s="202" t="s">
        <v>642</v>
      </c>
    </row>
    <row r="122" spans="1:2" ht="67.5" x14ac:dyDescent="0.2">
      <c r="A122" s="203" t="s">
        <v>760</v>
      </c>
      <c r="B122" s="204" t="s">
        <v>551</v>
      </c>
    </row>
    <row r="123" spans="1:2" ht="78.75" x14ac:dyDescent="0.2">
      <c r="A123" s="203" t="s">
        <v>761</v>
      </c>
      <c r="B123" s="204" t="s">
        <v>552</v>
      </c>
    </row>
    <row r="124" spans="1:2" ht="67.5" x14ac:dyDescent="0.2">
      <c r="A124" s="203" t="s">
        <v>762</v>
      </c>
      <c r="B124" s="204" t="s">
        <v>613</v>
      </c>
    </row>
    <row r="125" spans="1:2" ht="56.25" x14ac:dyDescent="0.2">
      <c r="A125" s="203" t="s">
        <v>763</v>
      </c>
      <c r="B125" s="204" t="s">
        <v>553</v>
      </c>
    </row>
    <row r="126" spans="1:2" ht="56.25" x14ac:dyDescent="0.2">
      <c r="A126" s="203" t="s">
        <v>764</v>
      </c>
      <c r="B126" s="204" t="s">
        <v>614</v>
      </c>
    </row>
    <row r="127" spans="1:2" ht="56.25" x14ac:dyDescent="0.2">
      <c r="A127" s="203" t="s">
        <v>790</v>
      </c>
      <c r="B127" s="204" t="s">
        <v>568</v>
      </c>
    </row>
    <row r="128" spans="1:2" ht="45" x14ac:dyDescent="0.2">
      <c r="A128" s="203" t="s">
        <v>950</v>
      </c>
      <c r="B128" s="205" t="s">
        <v>951</v>
      </c>
    </row>
    <row r="129" spans="1:2" ht="56.25" x14ac:dyDescent="0.2">
      <c r="A129" s="203" t="s">
        <v>952</v>
      </c>
      <c r="B129" s="204" t="s">
        <v>953</v>
      </c>
    </row>
    <row r="130" spans="1:2" ht="45" x14ac:dyDescent="0.2">
      <c r="A130" s="203" t="s">
        <v>954</v>
      </c>
      <c r="B130" s="205" t="s">
        <v>955</v>
      </c>
    </row>
    <row r="131" spans="1:2" ht="33.75" x14ac:dyDescent="0.2">
      <c r="A131" s="203" t="s">
        <v>956</v>
      </c>
      <c r="B131" s="205" t="s">
        <v>957</v>
      </c>
    </row>
    <row r="132" spans="1:2" ht="67.5" x14ac:dyDescent="0.2">
      <c r="A132" s="203" t="s">
        <v>958</v>
      </c>
      <c r="B132" s="204" t="s">
        <v>566</v>
      </c>
    </row>
    <row r="133" spans="1:2" ht="45" x14ac:dyDescent="0.2">
      <c r="A133" s="203" t="s">
        <v>788</v>
      </c>
      <c r="B133" s="205" t="s">
        <v>554</v>
      </c>
    </row>
    <row r="134" spans="1:2" ht="56.25" x14ac:dyDescent="0.2">
      <c r="A134" s="203" t="s">
        <v>789</v>
      </c>
      <c r="B134" s="204" t="s">
        <v>567</v>
      </c>
    </row>
    <row r="135" spans="1:2" x14ac:dyDescent="0.2">
      <c r="A135" s="201" t="s">
        <v>244</v>
      </c>
      <c r="B135" s="202" t="s">
        <v>507</v>
      </c>
    </row>
    <row r="136" spans="1:2" ht="21" x14ac:dyDescent="0.2">
      <c r="A136" s="201" t="s">
        <v>509</v>
      </c>
      <c r="B136" s="202" t="s">
        <v>508</v>
      </c>
    </row>
    <row r="137" spans="1:2" ht="45" x14ac:dyDescent="0.2">
      <c r="A137" s="203" t="s">
        <v>856</v>
      </c>
      <c r="B137" s="205" t="s">
        <v>476</v>
      </c>
    </row>
    <row r="138" spans="1:2" ht="21" x14ac:dyDescent="0.2">
      <c r="A138" s="201" t="s">
        <v>513</v>
      </c>
      <c r="B138" s="202" t="s">
        <v>512</v>
      </c>
    </row>
    <row r="139" spans="1:2" ht="45" x14ac:dyDescent="0.2">
      <c r="A139" s="203" t="s">
        <v>959</v>
      </c>
      <c r="B139" s="205" t="s">
        <v>960</v>
      </c>
    </row>
    <row r="140" spans="1:2" ht="33.75" x14ac:dyDescent="0.2">
      <c r="A140" s="203" t="s">
        <v>961</v>
      </c>
      <c r="B140" s="205" t="s">
        <v>962</v>
      </c>
    </row>
    <row r="141" spans="1:2" ht="21" x14ac:dyDescent="0.2">
      <c r="A141" s="201" t="s">
        <v>514</v>
      </c>
      <c r="B141" s="202" t="s">
        <v>488</v>
      </c>
    </row>
    <row r="142" spans="1:2" ht="56.25" x14ac:dyDescent="0.2">
      <c r="A142" s="203" t="s">
        <v>742</v>
      </c>
      <c r="B142" s="204" t="s">
        <v>411</v>
      </c>
    </row>
    <row r="143" spans="1:2" ht="78.75" x14ac:dyDescent="0.2">
      <c r="A143" s="203" t="s">
        <v>743</v>
      </c>
      <c r="B143" s="204" t="s">
        <v>412</v>
      </c>
    </row>
    <row r="144" spans="1:2" ht="56.25" x14ac:dyDescent="0.2">
      <c r="A144" s="203" t="s">
        <v>963</v>
      </c>
      <c r="B144" s="204" t="s">
        <v>964</v>
      </c>
    </row>
    <row r="145" spans="1:2" ht="45" x14ac:dyDescent="0.2">
      <c r="A145" s="203" t="s">
        <v>745</v>
      </c>
      <c r="B145" s="205" t="s">
        <v>422</v>
      </c>
    </row>
    <row r="146" spans="1:2" ht="45" x14ac:dyDescent="0.2">
      <c r="A146" s="203" t="s">
        <v>746</v>
      </c>
      <c r="B146" s="205" t="s">
        <v>423</v>
      </c>
    </row>
    <row r="147" spans="1:2" ht="31.5" x14ac:dyDescent="0.2">
      <c r="A147" s="201" t="s">
        <v>33</v>
      </c>
      <c r="B147" s="202" t="s">
        <v>520</v>
      </c>
    </row>
    <row r="148" spans="1:2" ht="21" x14ac:dyDescent="0.2">
      <c r="A148" s="201" t="s">
        <v>522</v>
      </c>
      <c r="B148" s="202" t="s">
        <v>521</v>
      </c>
    </row>
    <row r="149" spans="1:2" ht="67.5" x14ac:dyDescent="0.2">
      <c r="A149" s="203" t="s">
        <v>965</v>
      </c>
      <c r="B149" s="204" t="s">
        <v>966</v>
      </c>
    </row>
    <row r="150" spans="1:2" ht="21" x14ac:dyDescent="0.2">
      <c r="A150" s="201" t="s">
        <v>28</v>
      </c>
      <c r="B150" s="202" t="s">
        <v>524</v>
      </c>
    </row>
    <row r="151" spans="1:2" x14ac:dyDescent="0.2">
      <c r="A151" s="201" t="s">
        <v>526</v>
      </c>
      <c r="B151" s="202" t="s">
        <v>525</v>
      </c>
    </row>
    <row r="152" spans="1:2" ht="56.25" x14ac:dyDescent="0.2">
      <c r="A152" s="203" t="s">
        <v>967</v>
      </c>
      <c r="B152" s="204" t="s">
        <v>968</v>
      </c>
    </row>
    <row r="153" spans="1:2" ht="67.5" x14ac:dyDescent="0.2">
      <c r="A153" s="203" t="s">
        <v>969</v>
      </c>
      <c r="B153" s="204" t="s">
        <v>970</v>
      </c>
    </row>
    <row r="154" spans="1:2" ht="33.75" x14ac:dyDescent="0.2">
      <c r="A154" s="203" t="s">
        <v>728</v>
      </c>
      <c r="B154" s="205" t="s">
        <v>399</v>
      </c>
    </row>
    <row r="155" spans="1:2" ht="21" x14ac:dyDescent="0.2">
      <c r="A155" s="201" t="s">
        <v>530</v>
      </c>
      <c r="B155" s="202" t="s">
        <v>529</v>
      </c>
    </row>
    <row r="156" spans="1:2" ht="33.75" x14ac:dyDescent="0.2">
      <c r="A156" s="203" t="s">
        <v>823</v>
      </c>
      <c r="B156" s="205" t="s">
        <v>447</v>
      </c>
    </row>
    <row r="157" spans="1:2" ht="21" x14ac:dyDescent="0.2">
      <c r="A157" s="201" t="s">
        <v>205</v>
      </c>
      <c r="B157" s="202" t="s">
        <v>643</v>
      </c>
    </row>
    <row r="158" spans="1:2" ht="21" x14ac:dyDescent="0.2">
      <c r="A158" s="201" t="s">
        <v>971</v>
      </c>
      <c r="B158" s="202" t="s">
        <v>972</v>
      </c>
    </row>
    <row r="159" spans="1:2" ht="56.25" x14ac:dyDescent="0.2">
      <c r="A159" s="203" t="s">
        <v>973</v>
      </c>
      <c r="B159" s="204" t="s">
        <v>974</v>
      </c>
    </row>
    <row r="160" spans="1:2" ht="21" x14ac:dyDescent="0.2">
      <c r="A160" s="201" t="s">
        <v>975</v>
      </c>
      <c r="B160" s="202" t="s">
        <v>976</v>
      </c>
    </row>
    <row r="161" spans="1:2" ht="90" x14ac:dyDescent="0.2">
      <c r="A161" s="203" t="s">
        <v>977</v>
      </c>
      <c r="B161" s="204" t="s">
        <v>978</v>
      </c>
    </row>
    <row r="162" spans="1:2" ht="45" x14ac:dyDescent="0.2">
      <c r="A162" s="203" t="s">
        <v>979</v>
      </c>
      <c r="B162" s="205" t="s">
        <v>980</v>
      </c>
    </row>
    <row r="163" spans="1:2" ht="101.25" x14ac:dyDescent="0.2">
      <c r="A163" s="203" t="s">
        <v>981</v>
      </c>
      <c r="B163" s="204" t="s">
        <v>982</v>
      </c>
    </row>
    <row r="164" spans="1:2" ht="21" x14ac:dyDescent="0.2">
      <c r="A164" s="201" t="s">
        <v>531</v>
      </c>
      <c r="B164" s="202" t="s">
        <v>644</v>
      </c>
    </row>
    <row r="165" spans="1:2" ht="45" x14ac:dyDescent="0.2">
      <c r="A165" s="203" t="s">
        <v>793</v>
      </c>
      <c r="B165" s="205" t="s">
        <v>570</v>
      </c>
    </row>
    <row r="166" spans="1:2" x14ac:dyDescent="0.2">
      <c r="A166" s="201" t="s">
        <v>29</v>
      </c>
      <c r="B166" s="202" t="s">
        <v>532</v>
      </c>
    </row>
    <row r="167" spans="1:2" ht="31.5" x14ac:dyDescent="0.2">
      <c r="A167" s="201" t="s">
        <v>382</v>
      </c>
      <c r="B167" s="202" t="s">
        <v>645</v>
      </c>
    </row>
    <row r="168" spans="1:2" ht="90" x14ac:dyDescent="0.2">
      <c r="A168" s="203" t="s">
        <v>983</v>
      </c>
      <c r="B168" s="204" t="s">
        <v>984</v>
      </c>
    </row>
    <row r="169" spans="1:2" ht="67.5" x14ac:dyDescent="0.2">
      <c r="A169" s="203" t="s">
        <v>985</v>
      </c>
      <c r="B169" s="204" t="s">
        <v>986</v>
      </c>
    </row>
    <row r="170" spans="1:2" ht="67.5" x14ac:dyDescent="0.2">
      <c r="A170" s="203" t="s">
        <v>853</v>
      </c>
      <c r="B170" s="204" t="s">
        <v>580</v>
      </c>
    </row>
    <row r="171" spans="1:2" ht="67.5" x14ac:dyDescent="0.2">
      <c r="A171" s="203" t="s">
        <v>851</v>
      </c>
      <c r="B171" s="204" t="s">
        <v>579</v>
      </c>
    </row>
    <row r="172" spans="1:2" ht="56.25" x14ac:dyDescent="0.2">
      <c r="A172" s="203" t="s">
        <v>987</v>
      </c>
      <c r="B172" s="204" t="s">
        <v>988</v>
      </c>
    </row>
    <row r="173" spans="1:2" ht="56.25" x14ac:dyDescent="0.2">
      <c r="A173" s="203" t="s">
        <v>860</v>
      </c>
      <c r="B173" s="204" t="s">
        <v>583</v>
      </c>
    </row>
    <row r="174" spans="1:2" x14ac:dyDescent="0.2">
      <c r="A174" s="201" t="s">
        <v>431</v>
      </c>
      <c r="B174" s="202" t="s">
        <v>533</v>
      </c>
    </row>
    <row r="175" spans="1:2" ht="45" x14ac:dyDescent="0.2">
      <c r="A175" s="203" t="s">
        <v>845</v>
      </c>
      <c r="B175" s="205" t="s">
        <v>465</v>
      </c>
    </row>
    <row r="176" spans="1:2" ht="56.25" x14ac:dyDescent="0.2">
      <c r="A176" s="203" t="s">
        <v>846</v>
      </c>
      <c r="B176" s="204" t="s">
        <v>577</v>
      </c>
    </row>
    <row r="177" spans="1:2" ht="56.25" x14ac:dyDescent="0.2">
      <c r="A177" s="203" t="s">
        <v>847</v>
      </c>
      <c r="B177" s="204" t="s">
        <v>632</v>
      </c>
    </row>
    <row r="178" spans="1:2" ht="45" x14ac:dyDescent="0.2">
      <c r="A178" s="203" t="s">
        <v>989</v>
      </c>
      <c r="B178" s="204" t="s">
        <v>990</v>
      </c>
    </row>
    <row r="179" spans="1:2" ht="33.75" x14ac:dyDescent="0.2">
      <c r="A179" s="203" t="s">
        <v>848</v>
      </c>
      <c r="B179" s="205" t="s">
        <v>633</v>
      </c>
    </row>
    <row r="180" spans="1:2" ht="45" x14ac:dyDescent="0.2">
      <c r="A180" s="203" t="s">
        <v>849</v>
      </c>
      <c r="B180" s="205" t="s">
        <v>578</v>
      </c>
    </row>
    <row r="181" spans="1:2" ht="21" x14ac:dyDescent="0.2">
      <c r="A181" s="201" t="s">
        <v>212</v>
      </c>
      <c r="B181" s="202" t="s">
        <v>534</v>
      </c>
    </row>
    <row r="182" spans="1:2" x14ac:dyDescent="0.2">
      <c r="A182" s="201" t="s">
        <v>363</v>
      </c>
      <c r="B182" s="202" t="s">
        <v>535</v>
      </c>
    </row>
    <row r="183" spans="1:2" ht="67.5" x14ac:dyDescent="0.2">
      <c r="A183" s="203" t="s">
        <v>725</v>
      </c>
      <c r="B183" s="204" t="s">
        <v>393</v>
      </c>
    </row>
    <row r="184" spans="1:2" ht="56.25" x14ac:dyDescent="0.2">
      <c r="A184" s="203" t="s">
        <v>991</v>
      </c>
      <c r="B184" s="204" t="s">
        <v>992</v>
      </c>
    </row>
    <row r="185" spans="1:2" x14ac:dyDescent="0.2">
      <c r="A185" s="201" t="s">
        <v>365</v>
      </c>
      <c r="B185" s="202" t="s">
        <v>536</v>
      </c>
    </row>
    <row r="186" spans="1:2" ht="33.75" x14ac:dyDescent="0.2">
      <c r="A186" s="203" t="s">
        <v>993</v>
      </c>
      <c r="B186" s="205" t="s">
        <v>994</v>
      </c>
    </row>
    <row r="187" spans="1:2" ht="45" x14ac:dyDescent="0.2">
      <c r="A187" s="203" t="s">
        <v>734</v>
      </c>
      <c r="B187" s="204" t="s">
        <v>403</v>
      </c>
    </row>
    <row r="188" spans="1:2" ht="21" x14ac:dyDescent="0.2">
      <c r="A188" s="201" t="s">
        <v>537</v>
      </c>
      <c r="B188" s="202" t="s">
        <v>488</v>
      </c>
    </row>
    <row r="189" spans="1:2" ht="56.25" x14ac:dyDescent="0.2">
      <c r="A189" s="203" t="s">
        <v>726</v>
      </c>
      <c r="B189" s="204" t="s">
        <v>395</v>
      </c>
    </row>
    <row r="190" spans="1:2" ht="21" x14ac:dyDescent="0.2">
      <c r="A190" s="201" t="s">
        <v>867</v>
      </c>
      <c r="B190" s="202" t="s">
        <v>646</v>
      </c>
    </row>
    <row r="191" spans="1:2" ht="31.5" x14ac:dyDescent="0.2">
      <c r="A191" s="201" t="s">
        <v>185</v>
      </c>
      <c r="B191" s="202" t="s">
        <v>362</v>
      </c>
    </row>
    <row r="192" spans="1:2" ht="22.5" x14ac:dyDescent="0.2">
      <c r="A192" s="203" t="s">
        <v>701</v>
      </c>
      <c r="B192" s="205" t="s">
        <v>362</v>
      </c>
    </row>
    <row r="193" spans="1:2" ht="21" x14ac:dyDescent="0.2">
      <c r="A193" s="201" t="s">
        <v>186</v>
      </c>
      <c r="B193" s="202" t="s">
        <v>647</v>
      </c>
    </row>
    <row r="194" spans="1:2" ht="22.5" x14ac:dyDescent="0.2">
      <c r="A194" s="203" t="s">
        <v>695</v>
      </c>
      <c r="B194" s="205" t="s">
        <v>367</v>
      </c>
    </row>
    <row r="195" spans="1:2" ht="45" x14ac:dyDescent="0.2">
      <c r="A195" s="203" t="s">
        <v>705</v>
      </c>
      <c r="B195" s="205" t="s">
        <v>607</v>
      </c>
    </row>
    <row r="196" spans="1:2" ht="33.75" x14ac:dyDescent="0.2">
      <c r="A196" s="203" t="s">
        <v>696</v>
      </c>
      <c r="B196" s="205" t="s">
        <v>605</v>
      </c>
    </row>
    <row r="197" spans="1:2" ht="33.75" x14ac:dyDescent="0.2">
      <c r="A197" s="203" t="s">
        <v>706</v>
      </c>
      <c r="B197" s="205" t="s">
        <v>608</v>
      </c>
    </row>
    <row r="198" spans="1:2" ht="45" x14ac:dyDescent="0.2">
      <c r="A198" s="203" t="s">
        <v>710</v>
      </c>
      <c r="B198" s="205" t="s">
        <v>584</v>
      </c>
    </row>
    <row r="199" spans="1:2" ht="45" x14ac:dyDescent="0.2">
      <c r="A199" s="203" t="s">
        <v>703</v>
      </c>
      <c r="B199" s="205" t="s">
        <v>374</v>
      </c>
    </row>
    <row r="200" spans="1:2" ht="22.5" x14ac:dyDescent="0.2">
      <c r="A200" s="203" t="s">
        <v>711</v>
      </c>
      <c r="B200" s="205" t="s">
        <v>377</v>
      </c>
    </row>
    <row r="201" spans="1:2" ht="33.75" x14ac:dyDescent="0.2">
      <c r="A201" s="203" t="s">
        <v>704</v>
      </c>
      <c r="B201" s="205" t="s">
        <v>375</v>
      </c>
    </row>
    <row r="202" spans="1:2" ht="123.75" x14ac:dyDescent="0.2">
      <c r="A202" s="203" t="s">
        <v>707</v>
      </c>
      <c r="B202" s="204" t="s">
        <v>540</v>
      </c>
    </row>
    <row r="203" spans="1:2" ht="22.5" x14ac:dyDescent="0.2">
      <c r="A203" s="203" t="s">
        <v>995</v>
      </c>
      <c r="B203" s="205" t="s">
        <v>996</v>
      </c>
    </row>
    <row r="204" spans="1:2" ht="31.5" x14ac:dyDescent="0.2">
      <c r="A204" s="201" t="s">
        <v>869</v>
      </c>
      <c r="B204" s="202" t="s">
        <v>371</v>
      </c>
    </row>
    <row r="205" spans="1:2" ht="45" x14ac:dyDescent="0.2">
      <c r="A205" s="203" t="s">
        <v>700</v>
      </c>
      <c r="B205" s="205" t="s">
        <v>606</v>
      </c>
    </row>
    <row r="206" spans="1:2" ht="42" x14ac:dyDescent="0.2">
      <c r="A206" s="201" t="s">
        <v>997</v>
      </c>
      <c r="B206" s="202" t="s">
        <v>998</v>
      </c>
    </row>
    <row r="207" spans="1:2" ht="33.75" x14ac:dyDescent="0.2">
      <c r="A207" s="203" t="s">
        <v>999</v>
      </c>
      <c r="B207" s="205" t="s">
        <v>998</v>
      </c>
    </row>
    <row r="208" spans="1:2" ht="45" x14ac:dyDescent="0.2">
      <c r="A208" s="203" t="s">
        <v>1000</v>
      </c>
      <c r="B208" s="205" t="s">
        <v>1001</v>
      </c>
    </row>
    <row r="209" spans="1:2" x14ac:dyDescent="0.2">
      <c r="A209" s="201" t="s">
        <v>870</v>
      </c>
      <c r="B209" s="202" t="s">
        <v>648</v>
      </c>
    </row>
    <row r="210" spans="1:2" ht="21" x14ac:dyDescent="0.2">
      <c r="A210" s="201" t="s">
        <v>871</v>
      </c>
      <c r="B210" s="202" t="s">
        <v>467</v>
      </c>
    </row>
    <row r="211" spans="1:2" ht="22.5" x14ac:dyDescent="0.2">
      <c r="A211" s="203" t="s">
        <v>850</v>
      </c>
      <c r="B211" s="205" t="s">
        <v>467</v>
      </c>
    </row>
    <row r="212" spans="1:2" ht="21" x14ac:dyDescent="0.2">
      <c r="A212" s="201" t="s">
        <v>872</v>
      </c>
      <c r="B212" s="202" t="s">
        <v>541</v>
      </c>
    </row>
    <row r="213" spans="1:2" ht="22.5" x14ac:dyDescent="0.2">
      <c r="A213" s="203" t="s">
        <v>709</v>
      </c>
      <c r="B213" s="205" t="s">
        <v>541</v>
      </c>
    </row>
    <row r="214" spans="1:2" ht="42" x14ac:dyDescent="0.2">
      <c r="A214" s="201" t="s">
        <v>873</v>
      </c>
      <c r="B214" s="202" t="s">
        <v>481</v>
      </c>
    </row>
    <row r="215" spans="1:2" ht="33.75" x14ac:dyDescent="0.2">
      <c r="A215" s="203" t="s">
        <v>708</v>
      </c>
      <c r="B215" s="205" t="s">
        <v>481</v>
      </c>
    </row>
    <row r="216" spans="1:2" ht="21" x14ac:dyDescent="0.2">
      <c r="A216" s="201" t="s">
        <v>874</v>
      </c>
      <c r="B216" s="202" t="s">
        <v>430</v>
      </c>
    </row>
    <row r="217" spans="1:2" ht="22.5" x14ac:dyDescent="0.2">
      <c r="A217" s="203" t="s">
        <v>751</v>
      </c>
      <c r="B217" s="205" t="s">
        <v>430</v>
      </c>
    </row>
    <row r="218" spans="1:2" ht="33.75" x14ac:dyDescent="0.2">
      <c r="A218" s="203" t="s">
        <v>752</v>
      </c>
      <c r="B218" s="205" t="s">
        <v>610</v>
      </c>
    </row>
    <row r="219" spans="1:2" ht="21" x14ac:dyDescent="0.2">
      <c r="A219" s="201" t="s">
        <v>876</v>
      </c>
      <c r="B219" s="202" t="s">
        <v>471</v>
      </c>
    </row>
    <row r="220" spans="1:2" ht="22.5" x14ac:dyDescent="0.2">
      <c r="A220" s="203" t="s">
        <v>852</v>
      </c>
      <c r="B220" s="205" t="s">
        <v>471</v>
      </c>
    </row>
    <row r="221" spans="1:2" ht="45" x14ac:dyDescent="0.2">
      <c r="A221" s="207" t="s">
        <v>1002</v>
      </c>
      <c r="B221" s="208" t="s">
        <v>1003</v>
      </c>
    </row>
    <row r="222" spans="1:2" ht="63.75" x14ac:dyDescent="0.2">
      <c r="A222" s="209" t="s">
        <v>855</v>
      </c>
      <c r="B222" s="210" t="s">
        <v>854</v>
      </c>
    </row>
    <row r="223" spans="1:2" ht="102" x14ac:dyDescent="0.2">
      <c r="A223" s="209" t="s">
        <v>717</v>
      </c>
      <c r="B223" s="211" t="s">
        <v>716</v>
      </c>
    </row>
    <row r="224" spans="1:2" ht="114.75" x14ac:dyDescent="0.2">
      <c r="A224" s="209" t="s">
        <v>721</v>
      </c>
      <c r="B224" s="211" t="s">
        <v>720</v>
      </c>
    </row>
    <row r="225" spans="1:2" ht="127.5" x14ac:dyDescent="0.2">
      <c r="A225" s="209" t="s">
        <v>723</v>
      </c>
      <c r="B225" s="211" t="s">
        <v>722</v>
      </c>
    </row>
    <row r="226" spans="1:2" ht="76.5" x14ac:dyDescent="0.2">
      <c r="A226" s="209" t="s">
        <v>731</v>
      </c>
      <c r="B226" s="211" t="s">
        <v>730</v>
      </c>
    </row>
    <row r="227" spans="1:2" ht="38.25" x14ac:dyDescent="0.2">
      <c r="A227" s="209" t="s">
        <v>697</v>
      </c>
      <c r="B227" s="211" t="s">
        <v>369</v>
      </c>
    </row>
    <row r="228" spans="1:2" ht="38.25" x14ac:dyDescent="0.2">
      <c r="A228" s="209" t="s">
        <v>698</v>
      </c>
      <c r="B228" s="211" t="s">
        <v>369</v>
      </c>
    </row>
    <row r="229" spans="1:2" ht="38.25" x14ac:dyDescent="0.2">
      <c r="A229" s="209" t="s">
        <v>699</v>
      </c>
      <c r="B229" s="211" t="s">
        <v>371</v>
      </c>
    </row>
    <row r="230" spans="1:2" ht="38.25" x14ac:dyDescent="0.2">
      <c r="A230" s="209" t="s">
        <v>712</v>
      </c>
      <c r="B230" s="211" t="s">
        <v>542</v>
      </c>
    </row>
    <row r="231" spans="1:2" ht="38.25" x14ac:dyDescent="0.2">
      <c r="A231" s="209" t="s">
        <v>791</v>
      </c>
      <c r="B231" s="211" t="s">
        <v>569</v>
      </c>
    </row>
    <row r="232" spans="1:2" ht="102" x14ac:dyDescent="0.2">
      <c r="A232" s="209" t="s">
        <v>715</v>
      </c>
      <c r="B232" s="211" t="s">
        <v>386</v>
      </c>
    </row>
    <row r="233" spans="1:2" ht="51" x14ac:dyDescent="0.2">
      <c r="A233" s="209" t="s">
        <v>727</v>
      </c>
      <c r="B233" s="211" t="s">
        <v>397</v>
      </c>
    </row>
    <row r="234" spans="1:2" ht="76.5" x14ac:dyDescent="0.2">
      <c r="A234" s="209" t="s">
        <v>729</v>
      </c>
      <c r="B234" s="211" t="s">
        <v>401</v>
      </c>
    </row>
    <row r="235" spans="1:2" ht="60" x14ac:dyDescent="0.25">
      <c r="A235" s="212" t="s">
        <v>769</v>
      </c>
      <c r="B235" s="213" t="s">
        <v>556</v>
      </c>
    </row>
    <row r="236" spans="1:2" ht="45" x14ac:dyDescent="0.25">
      <c r="A236" s="212" t="s">
        <v>775</v>
      </c>
      <c r="B236" s="213" t="s">
        <v>441</v>
      </c>
    </row>
    <row r="237" spans="1:2" ht="90" x14ac:dyDescent="0.25">
      <c r="A237" s="212" t="s">
        <v>772</v>
      </c>
      <c r="B237" s="214" t="s">
        <v>557</v>
      </c>
    </row>
    <row r="238" spans="1:2" ht="90" x14ac:dyDescent="0.25">
      <c r="A238" s="212" t="s">
        <v>773</v>
      </c>
      <c r="B238" s="214" t="s">
        <v>616</v>
      </c>
    </row>
    <row r="239" spans="1:2" ht="105" x14ac:dyDescent="0.25">
      <c r="A239" s="212" t="s">
        <v>779</v>
      </c>
      <c r="B239" s="214" t="s">
        <v>560</v>
      </c>
    </row>
    <row r="240" spans="1:2" ht="90" x14ac:dyDescent="0.25">
      <c r="A240" s="212" t="s">
        <v>780</v>
      </c>
      <c r="B240" s="214" t="s">
        <v>561</v>
      </c>
    </row>
    <row r="241" spans="1:2" ht="105" x14ac:dyDescent="0.25">
      <c r="A241" s="212" t="s">
        <v>784</v>
      </c>
      <c r="B241" s="214" t="s">
        <v>564</v>
      </c>
    </row>
    <row r="242" spans="1:2" ht="90" x14ac:dyDescent="0.25">
      <c r="A242" s="212" t="s">
        <v>785</v>
      </c>
      <c r="B242" s="214" t="s">
        <v>565</v>
      </c>
    </row>
    <row r="243" spans="1:2" ht="90" x14ac:dyDescent="0.25">
      <c r="A243" s="212" t="s">
        <v>786</v>
      </c>
      <c r="B243" s="214" t="s">
        <v>618</v>
      </c>
    </row>
    <row r="244" spans="1:2" ht="105" x14ac:dyDescent="0.25">
      <c r="A244" s="212" t="s">
        <v>787</v>
      </c>
      <c r="B244" s="214" t="s">
        <v>566</v>
      </c>
    </row>
    <row r="245" spans="1:2" ht="45" x14ac:dyDescent="0.25">
      <c r="A245" s="212" t="s">
        <v>857</v>
      </c>
      <c r="B245" s="213" t="s">
        <v>414</v>
      </c>
    </row>
    <row r="246" spans="1:2" ht="105" x14ac:dyDescent="0.25">
      <c r="A246" s="212" t="s">
        <v>744</v>
      </c>
      <c r="B246" s="214" t="s">
        <v>545</v>
      </c>
    </row>
    <row r="247" spans="1:2" ht="75" x14ac:dyDescent="0.25">
      <c r="A247" s="212" t="s">
        <v>756</v>
      </c>
      <c r="B247" s="214" t="s">
        <v>549</v>
      </c>
    </row>
    <row r="248" spans="1:2" ht="75" x14ac:dyDescent="0.25">
      <c r="A248" s="212" t="s">
        <v>795</v>
      </c>
      <c r="B248" s="214" t="s">
        <v>446</v>
      </c>
    </row>
    <row r="249" spans="1:2" ht="75" x14ac:dyDescent="0.25">
      <c r="A249" s="212" t="s">
        <v>747</v>
      </c>
      <c r="B249" s="214" t="s">
        <v>546</v>
      </c>
    </row>
    <row r="250" spans="1:2" ht="60" x14ac:dyDescent="0.25">
      <c r="A250" s="212" t="s">
        <v>748</v>
      </c>
      <c r="B250" s="213" t="s">
        <v>424</v>
      </c>
    </row>
    <row r="251" spans="1:2" ht="90" x14ac:dyDescent="0.25">
      <c r="A251" s="212" t="s">
        <v>749</v>
      </c>
      <c r="B251" s="214" t="s">
        <v>425</v>
      </c>
    </row>
    <row r="252" spans="1:2" ht="90" x14ac:dyDescent="0.25">
      <c r="A252" s="212" t="s">
        <v>858</v>
      </c>
      <c r="B252" s="214" t="s">
        <v>581</v>
      </c>
    </row>
    <row r="253" spans="1:2" ht="90" x14ac:dyDescent="0.25">
      <c r="A253" s="212" t="s">
        <v>859</v>
      </c>
      <c r="B253" s="214" t="s">
        <v>582</v>
      </c>
    </row>
    <row r="254" spans="1:2" ht="76.5" x14ac:dyDescent="0.2">
      <c r="A254" s="209" t="s">
        <v>732</v>
      </c>
      <c r="B254" s="211" t="s">
        <v>543</v>
      </c>
    </row>
    <row r="255" spans="1:2" ht="63.75" x14ac:dyDescent="0.2">
      <c r="A255" s="209" t="s">
        <v>734</v>
      </c>
      <c r="B255" s="211" t="s">
        <v>403</v>
      </c>
    </row>
    <row r="256" spans="1:2" ht="76.5" x14ac:dyDescent="0.2">
      <c r="A256" s="209" t="s">
        <v>733</v>
      </c>
      <c r="B256" s="211" t="s">
        <v>402</v>
      </c>
    </row>
    <row r="257" spans="1:2" ht="38.25" x14ac:dyDescent="0.2">
      <c r="A257" s="209" t="s">
        <v>792</v>
      </c>
      <c r="B257" s="211" t="s">
        <v>443</v>
      </c>
    </row>
    <row r="258" spans="1:2" ht="38.25" x14ac:dyDescent="0.2">
      <c r="A258" s="209" t="s">
        <v>738</v>
      </c>
      <c r="B258" s="211" t="s">
        <v>737</v>
      </c>
    </row>
    <row r="259" spans="1:2" ht="153" x14ac:dyDescent="0.2">
      <c r="A259" s="209" t="s">
        <v>798</v>
      </c>
      <c r="B259" s="211" t="s">
        <v>797</v>
      </c>
    </row>
    <row r="260" spans="1:2" ht="89.25" x14ac:dyDescent="0.2">
      <c r="A260" s="209" t="s">
        <v>754</v>
      </c>
      <c r="B260" s="211" t="s">
        <v>654</v>
      </c>
    </row>
    <row r="261" spans="1:2" ht="153" x14ac:dyDescent="0.2">
      <c r="A261" s="209" t="s">
        <v>806</v>
      </c>
      <c r="B261" s="211" t="s">
        <v>805</v>
      </c>
    </row>
    <row r="262" spans="1:2" ht="51" x14ac:dyDescent="0.2">
      <c r="A262" s="209" t="s">
        <v>821</v>
      </c>
      <c r="B262" s="211" t="s">
        <v>575</v>
      </c>
    </row>
    <row r="263" spans="1:2" ht="51" x14ac:dyDescent="0.2">
      <c r="A263" s="209" t="s">
        <v>819</v>
      </c>
      <c r="B263" s="211" t="s">
        <v>630</v>
      </c>
    </row>
    <row r="264" spans="1:2" ht="63.75" x14ac:dyDescent="0.2">
      <c r="A264" s="209" t="s">
        <v>831</v>
      </c>
      <c r="B264" s="211" t="s">
        <v>830</v>
      </c>
    </row>
    <row r="265" spans="1:2" ht="63.75" x14ac:dyDescent="0.2">
      <c r="A265" s="209" t="s">
        <v>739</v>
      </c>
      <c r="B265" s="211" t="s">
        <v>408</v>
      </c>
    </row>
    <row r="266" spans="1:2" ht="38.25" x14ac:dyDescent="0.2">
      <c r="A266" s="209" t="s">
        <v>740</v>
      </c>
      <c r="B266" s="211" t="s">
        <v>409</v>
      </c>
    </row>
    <row r="267" spans="1:2" ht="51" x14ac:dyDescent="0.2">
      <c r="A267" s="209" t="s">
        <v>741</v>
      </c>
      <c r="B267" s="211" t="s">
        <v>410</v>
      </c>
    </row>
    <row r="268" spans="1:2" ht="63.75" x14ac:dyDescent="0.2">
      <c r="A268" s="209" t="s">
        <v>841</v>
      </c>
      <c r="B268" s="211" t="s">
        <v>658</v>
      </c>
    </row>
    <row r="269" spans="1:2" ht="76.5" x14ac:dyDescent="0.2">
      <c r="A269" s="209" t="s">
        <v>837</v>
      </c>
      <c r="B269" s="211" t="s">
        <v>659</v>
      </c>
    </row>
    <row r="270" spans="1:2" ht="63.75" x14ac:dyDescent="0.2">
      <c r="A270" s="209" t="s">
        <v>838</v>
      </c>
      <c r="B270" s="211" t="s">
        <v>660</v>
      </c>
    </row>
    <row r="271" spans="1:2" ht="63.75" x14ac:dyDescent="0.2">
      <c r="A271" s="209" t="s">
        <v>839</v>
      </c>
      <c r="B271" s="211" t="s">
        <v>661</v>
      </c>
    </row>
    <row r="272" spans="1:2" ht="76.5" x14ac:dyDescent="0.2">
      <c r="A272" s="209" t="s">
        <v>840</v>
      </c>
      <c r="B272" s="211" t="s">
        <v>662</v>
      </c>
    </row>
    <row r="273" spans="1:2" ht="63.75" x14ac:dyDescent="0.2">
      <c r="A273" s="209" t="s">
        <v>767</v>
      </c>
      <c r="B273" s="211" t="s">
        <v>555</v>
      </c>
    </row>
    <row r="274" spans="1:2" ht="45" x14ac:dyDescent="0.25">
      <c r="A274" s="212" t="s">
        <v>490</v>
      </c>
      <c r="B274" s="213" t="s">
        <v>635</v>
      </c>
    </row>
    <row r="275" spans="1:2" ht="30" x14ac:dyDescent="0.25">
      <c r="A275" s="212" t="s">
        <v>492</v>
      </c>
      <c r="B275" s="213" t="s">
        <v>491</v>
      </c>
    </row>
    <row r="276" spans="1:2" ht="30" x14ac:dyDescent="0.25">
      <c r="A276" s="212" t="s">
        <v>511</v>
      </c>
      <c r="B276" s="213" t="s">
        <v>510</v>
      </c>
    </row>
    <row r="277" spans="1:2" ht="30" x14ac:dyDescent="0.25">
      <c r="A277" s="212" t="s">
        <v>24</v>
      </c>
      <c r="B277" s="213" t="s">
        <v>515</v>
      </c>
    </row>
    <row r="278" spans="1:2" ht="30" x14ac:dyDescent="0.25">
      <c r="A278" s="212" t="s">
        <v>517</v>
      </c>
      <c r="B278" s="213" t="s">
        <v>516</v>
      </c>
    </row>
    <row r="279" spans="1:2" ht="30" x14ac:dyDescent="0.25">
      <c r="A279" s="212" t="s">
        <v>519</v>
      </c>
      <c r="B279" s="213" t="s">
        <v>518</v>
      </c>
    </row>
    <row r="280" spans="1:2" ht="30" x14ac:dyDescent="0.25">
      <c r="A280" s="212" t="s">
        <v>523</v>
      </c>
      <c r="B280" s="213" t="s">
        <v>488</v>
      </c>
    </row>
    <row r="281" spans="1:2" ht="30" x14ac:dyDescent="0.25">
      <c r="A281" s="212" t="s">
        <v>528</v>
      </c>
      <c r="B281" s="213" t="s">
        <v>527</v>
      </c>
    </row>
    <row r="282" spans="1:2" ht="45" x14ac:dyDescent="0.25">
      <c r="A282" s="212" t="s">
        <v>868</v>
      </c>
      <c r="B282" s="213" t="s">
        <v>369</v>
      </c>
    </row>
    <row r="283" spans="1:2" ht="45" x14ac:dyDescent="0.25">
      <c r="A283" s="212" t="s">
        <v>875</v>
      </c>
      <c r="B283" s="213" t="s">
        <v>542</v>
      </c>
    </row>
    <row r="284" spans="1:2" ht="60" x14ac:dyDescent="0.25">
      <c r="A284" s="215" t="s">
        <v>881</v>
      </c>
      <c r="B284" s="216" t="s">
        <v>882</v>
      </c>
    </row>
    <row r="285" spans="1:2" ht="75" x14ac:dyDescent="0.25">
      <c r="A285" s="215" t="s">
        <v>862</v>
      </c>
      <c r="B285" s="217" t="s">
        <v>1004</v>
      </c>
    </row>
    <row r="286" spans="1:2" ht="90" x14ac:dyDescent="0.25">
      <c r="A286" s="215" t="s">
        <v>757</v>
      </c>
      <c r="B286" s="217" t="s">
        <v>1006</v>
      </c>
    </row>
    <row r="287" spans="1:2" ht="120" x14ac:dyDescent="0.25">
      <c r="A287" s="215" t="s">
        <v>1005</v>
      </c>
      <c r="B287" s="217" t="s">
        <v>1007</v>
      </c>
    </row>
    <row r="288" spans="1:2" x14ac:dyDescent="0.2">
      <c r="A288" s="215"/>
    </row>
  </sheetData>
  <autoFilter ref="A1:B211"/>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topLeftCell="A2" workbookViewId="0">
      <selection activeCell="P67" sqref="P67"/>
    </sheetView>
  </sheetViews>
  <sheetFormatPr defaultRowHeight="12.75" x14ac:dyDescent="0.2"/>
  <cols>
    <col min="1" max="1" width="3.7109375" customWidth="1"/>
    <col min="2" max="2" width="47.85546875" customWidth="1"/>
    <col min="3" max="3" width="7.7109375" customWidth="1"/>
    <col min="4" max="4" width="6" customWidth="1"/>
    <col min="5" max="5" width="7.7109375" customWidth="1"/>
    <col min="6" max="6" width="6" customWidth="1"/>
    <col min="7" max="7" width="7.7109375" customWidth="1"/>
    <col min="8" max="8" width="6" customWidth="1"/>
  </cols>
  <sheetData>
    <row r="1" spans="1:8" ht="45.75" hidden="1" customHeight="1" x14ac:dyDescent="0.2">
      <c r="A1" s="460" t="str">
        <f>"Приложение №"&amp;Н2Норм&amp;"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60"/>
      <c r="C1" s="460"/>
      <c r="D1" s="460"/>
      <c r="E1" s="460"/>
      <c r="F1" s="460"/>
      <c r="G1" s="460"/>
      <c r="H1" s="460"/>
    </row>
    <row r="2" spans="1:8" ht="54.75" customHeight="1" x14ac:dyDescent="0.2">
      <c r="A2" s="460" t="str">
        <f>"Приложение №"&amp;Н1Норм&amp;" к решению
Богучанского районного Совета депутатов
от "&amp;Р1дата&amp;" года №"&amp;Р1номер</f>
        <v>Приложение № к решению
Богучанского районного Совета депутатов
от  04.12.2020 года №5/1-16</v>
      </c>
      <c r="B2" s="460"/>
      <c r="C2" s="460"/>
      <c r="D2" s="460"/>
      <c r="E2" s="460"/>
      <c r="F2" s="460"/>
      <c r="G2" s="460"/>
      <c r="H2" s="460"/>
    </row>
    <row r="3" spans="1:8" ht="58.5" customHeight="1" x14ac:dyDescent="0.3">
      <c r="A3" s="459" t="str">
        <f>"Нормативы распределения доходов районного бюджета между бюджетами бюджетной системы Российской Федерации на "&amp;год&amp;" год и плановый период "&amp;ПлПер&amp;" годов"</f>
        <v>Нормативы распределения доходов районного бюджета между бюджетами бюджетной системы Российской Федерации на 2021 год и плановый период 2022-2023 годов</v>
      </c>
      <c r="B3" s="459"/>
      <c r="C3" s="459"/>
      <c r="D3" s="459"/>
      <c r="E3" s="459"/>
      <c r="F3" s="459"/>
      <c r="G3" s="459"/>
      <c r="H3" s="459"/>
    </row>
    <row r="4" spans="1:8" ht="14.25" customHeight="1" x14ac:dyDescent="0.3">
      <c r="A4" s="226"/>
      <c r="B4" s="226"/>
      <c r="C4" s="226"/>
      <c r="D4" s="226"/>
      <c r="E4" s="226"/>
      <c r="F4" s="226"/>
      <c r="G4" s="227" t="s">
        <v>1099</v>
      </c>
      <c r="H4" s="226"/>
    </row>
    <row r="5" spans="1:8" ht="25.5" x14ac:dyDescent="0.2">
      <c r="A5" s="233" t="s">
        <v>1079</v>
      </c>
      <c r="B5" s="225" t="s">
        <v>1080</v>
      </c>
      <c r="C5" s="463" t="s">
        <v>602</v>
      </c>
      <c r="D5" s="464"/>
      <c r="E5" s="463" t="s">
        <v>676</v>
      </c>
      <c r="F5" s="464"/>
      <c r="G5" s="463" t="s">
        <v>1127</v>
      </c>
      <c r="H5" s="464"/>
    </row>
    <row r="6" spans="1:8" ht="38.25" x14ac:dyDescent="0.2">
      <c r="A6" s="233"/>
      <c r="B6" s="225"/>
      <c r="C6" s="220" t="s">
        <v>1081</v>
      </c>
      <c r="D6" s="220" t="s">
        <v>1082</v>
      </c>
      <c r="E6" s="220" t="s">
        <v>1081</v>
      </c>
      <c r="F6" s="220" t="s">
        <v>1082</v>
      </c>
      <c r="G6" s="220" t="s">
        <v>1081</v>
      </c>
      <c r="H6" s="220" t="s">
        <v>1082</v>
      </c>
    </row>
    <row r="7" spans="1:8" x14ac:dyDescent="0.2">
      <c r="A7" s="236">
        <v>1</v>
      </c>
      <c r="B7" s="221">
        <v>2</v>
      </c>
      <c r="C7" s="236">
        <v>3</v>
      </c>
      <c r="D7" s="221">
        <v>4</v>
      </c>
      <c r="E7" s="236">
        <v>5</v>
      </c>
      <c r="F7" s="221">
        <v>6</v>
      </c>
      <c r="G7" s="236">
        <v>7</v>
      </c>
      <c r="H7" s="221">
        <v>8</v>
      </c>
    </row>
    <row r="8" spans="1:8" ht="51" x14ac:dyDescent="0.2">
      <c r="A8" s="222">
        <v>1</v>
      </c>
      <c r="B8" s="223" t="s">
        <v>1083</v>
      </c>
      <c r="C8" s="224">
        <v>5</v>
      </c>
      <c r="D8" s="224"/>
      <c r="E8" s="224">
        <v>5</v>
      </c>
      <c r="F8" s="224"/>
      <c r="G8" s="224">
        <v>5</v>
      </c>
      <c r="H8" s="224"/>
    </row>
    <row r="9" spans="1:8" ht="38.25" x14ac:dyDescent="0.2">
      <c r="A9" s="222">
        <v>2</v>
      </c>
      <c r="B9" s="223" t="s">
        <v>1084</v>
      </c>
      <c r="C9" s="224">
        <v>5</v>
      </c>
      <c r="D9" s="224"/>
      <c r="E9" s="224">
        <v>5</v>
      </c>
      <c r="F9" s="224"/>
      <c r="G9" s="224">
        <v>5</v>
      </c>
      <c r="H9" s="224"/>
    </row>
    <row r="10" spans="1:8" ht="63.75" x14ac:dyDescent="0.2">
      <c r="A10" s="222">
        <v>3</v>
      </c>
      <c r="B10" s="223" t="s">
        <v>1085</v>
      </c>
      <c r="C10" s="224">
        <v>20</v>
      </c>
      <c r="D10" s="224">
        <v>10</v>
      </c>
      <c r="E10" s="224">
        <v>20</v>
      </c>
      <c r="F10" s="224">
        <v>10</v>
      </c>
      <c r="G10" s="224">
        <v>20</v>
      </c>
      <c r="H10" s="224">
        <v>10</v>
      </c>
    </row>
    <row r="11" spans="1:8" ht="102" x14ac:dyDescent="0.2">
      <c r="A11" s="222">
        <v>4</v>
      </c>
      <c r="B11" s="223" t="s">
        <v>1086</v>
      </c>
      <c r="C11" s="224">
        <v>20</v>
      </c>
      <c r="D11" s="224">
        <v>10</v>
      </c>
      <c r="E11" s="224">
        <v>20</v>
      </c>
      <c r="F11" s="224">
        <v>10</v>
      </c>
      <c r="G11" s="224">
        <v>20</v>
      </c>
      <c r="H11" s="224">
        <v>10</v>
      </c>
    </row>
    <row r="12" spans="1:8" ht="38.25" x14ac:dyDescent="0.2">
      <c r="A12" s="222">
        <v>5</v>
      </c>
      <c r="B12" s="223" t="s">
        <v>1087</v>
      </c>
      <c r="C12" s="224">
        <v>20</v>
      </c>
      <c r="D12" s="224">
        <v>10</v>
      </c>
      <c r="E12" s="224">
        <v>20</v>
      </c>
      <c r="F12" s="224">
        <v>10</v>
      </c>
      <c r="G12" s="224">
        <v>20</v>
      </c>
      <c r="H12" s="224">
        <v>10</v>
      </c>
    </row>
    <row r="13" spans="1:8" ht="76.5" x14ac:dyDescent="0.2">
      <c r="A13" s="222">
        <v>6</v>
      </c>
      <c r="B13" s="223" t="s">
        <v>1088</v>
      </c>
      <c r="C13" s="224">
        <v>15</v>
      </c>
      <c r="D13" s="224"/>
      <c r="E13" s="224">
        <v>15</v>
      </c>
      <c r="F13" s="224"/>
      <c r="G13" s="224">
        <v>15</v>
      </c>
      <c r="H13" s="224"/>
    </row>
    <row r="14" spans="1:8" ht="51" x14ac:dyDescent="0.2">
      <c r="A14" s="222">
        <v>7</v>
      </c>
      <c r="B14" s="223" t="s">
        <v>1089</v>
      </c>
      <c r="C14" s="461" t="s">
        <v>1139</v>
      </c>
      <c r="D14" s="462"/>
      <c r="E14" s="461" t="s">
        <v>1139</v>
      </c>
      <c r="F14" s="462"/>
      <c r="G14" s="461" t="s">
        <v>1139</v>
      </c>
      <c r="H14" s="462"/>
    </row>
    <row r="15" spans="1:8" ht="76.5" x14ac:dyDescent="0.2">
      <c r="A15" s="222">
        <v>8</v>
      </c>
      <c r="B15" s="223" t="s">
        <v>1090</v>
      </c>
      <c r="C15" s="461" t="s">
        <v>1139</v>
      </c>
      <c r="D15" s="462"/>
      <c r="E15" s="461" t="s">
        <v>1139</v>
      </c>
      <c r="F15" s="462"/>
      <c r="G15" s="461" t="s">
        <v>1139</v>
      </c>
      <c r="H15" s="462"/>
    </row>
    <row r="16" spans="1:8" ht="51" x14ac:dyDescent="0.2">
      <c r="A16" s="222">
        <v>9</v>
      </c>
      <c r="B16" s="223" t="s">
        <v>1091</v>
      </c>
      <c r="C16" s="461" t="s">
        <v>1139</v>
      </c>
      <c r="D16" s="462"/>
      <c r="E16" s="461" t="s">
        <v>1139</v>
      </c>
      <c r="F16" s="462"/>
      <c r="G16" s="461" t="s">
        <v>1139</v>
      </c>
      <c r="H16" s="462"/>
    </row>
    <row r="17" spans="1:8" ht="51" x14ac:dyDescent="0.2">
      <c r="A17" s="222">
        <v>10</v>
      </c>
      <c r="B17" s="223" t="s">
        <v>1092</v>
      </c>
      <c r="C17" s="461" t="s">
        <v>1139</v>
      </c>
      <c r="D17" s="462"/>
      <c r="E17" s="461" t="s">
        <v>1139</v>
      </c>
      <c r="F17" s="462"/>
      <c r="G17" s="461" t="s">
        <v>1139</v>
      </c>
      <c r="H17" s="462"/>
    </row>
    <row r="18" spans="1:8" ht="25.5" x14ac:dyDescent="0.2">
      <c r="A18" s="222">
        <v>11</v>
      </c>
      <c r="B18" s="223" t="s">
        <v>96</v>
      </c>
      <c r="C18" s="224">
        <v>100</v>
      </c>
      <c r="D18" s="224"/>
      <c r="E18" s="224">
        <v>100</v>
      </c>
      <c r="F18" s="224"/>
      <c r="G18" s="224">
        <v>100</v>
      </c>
      <c r="H18" s="224"/>
    </row>
    <row r="19" spans="1:8" ht="25.5" x14ac:dyDescent="0.2">
      <c r="A19" s="222">
        <v>12</v>
      </c>
      <c r="B19" s="223" t="s">
        <v>1093</v>
      </c>
      <c r="C19" s="224">
        <v>30</v>
      </c>
      <c r="D19" s="224">
        <v>30</v>
      </c>
      <c r="E19" s="224">
        <v>30</v>
      </c>
      <c r="F19" s="224">
        <v>30</v>
      </c>
      <c r="G19" s="224">
        <v>30</v>
      </c>
      <c r="H19" s="224">
        <v>30</v>
      </c>
    </row>
    <row r="20" spans="1:8" ht="25.5" x14ac:dyDescent="0.2">
      <c r="A20" s="222">
        <v>13</v>
      </c>
      <c r="B20" s="223" t="s">
        <v>677</v>
      </c>
      <c r="C20" s="224">
        <v>100</v>
      </c>
      <c r="D20" s="224"/>
      <c r="E20" s="224">
        <v>100</v>
      </c>
      <c r="F20" s="224"/>
      <c r="G20" s="224">
        <v>100</v>
      </c>
      <c r="H20" s="224"/>
    </row>
    <row r="21" spans="1:8" ht="25.5" x14ac:dyDescent="0.2">
      <c r="A21" s="222">
        <v>14</v>
      </c>
      <c r="B21" s="223" t="s">
        <v>1100</v>
      </c>
      <c r="C21" s="224">
        <v>100</v>
      </c>
      <c r="D21" s="224"/>
      <c r="E21" s="224">
        <v>100</v>
      </c>
      <c r="F21" s="224"/>
      <c r="G21" s="224">
        <v>100</v>
      </c>
      <c r="H21" s="224"/>
    </row>
    <row r="22" spans="1:8" ht="25.5" x14ac:dyDescent="0.2">
      <c r="A22" s="222">
        <v>15</v>
      </c>
      <c r="B22" s="223" t="s">
        <v>1101</v>
      </c>
      <c r="C22" s="224"/>
      <c r="D22" s="224">
        <v>100</v>
      </c>
      <c r="E22" s="224"/>
      <c r="F22" s="224">
        <v>100</v>
      </c>
      <c r="G22" s="224"/>
      <c r="H22" s="224">
        <v>100</v>
      </c>
    </row>
    <row r="23" spans="1:8" ht="25.5" x14ac:dyDescent="0.2">
      <c r="A23" s="222">
        <v>16</v>
      </c>
      <c r="B23" s="223" t="s">
        <v>1112</v>
      </c>
      <c r="C23" s="224">
        <v>100</v>
      </c>
      <c r="D23" s="224"/>
      <c r="E23" s="224">
        <v>100</v>
      </c>
      <c r="F23" s="224"/>
      <c r="G23" s="224">
        <v>100</v>
      </c>
      <c r="H23" s="224"/>
    </row>
    <row r="24" spans="1:8" ht="25.5" x14ac:dyDescent="0.2">
      <c r="A24" s="222">
        <v>17</v>
      </c>
      <c r="B24" s="223" t="s">
        <v>1113</v>
      </c>
      <c r="C24" s="224">
        <v>100</v>
      </c>
      <c r="D24" s="224"/>
      <c r="E24" s="224">
        <v>100</v>
      </c>
      <c r="F24" s="224"/>
      <c r="G24" s="224">
        <v>100</v>
      </c>
      <c r="H24" s="224"/>
    </row>
    <row r="25" spans="1:8" ht="25.5" x14ac:dyDescent="0.2">
      <c r="A25" s="222">
        <v>18</v>
      </c>
      <c r="B25" s="223" t="s">
        <v>99</v>
      </c>
      <c r="C25" s="224">
        <v>100</v>
      </c>
      <c r="D25" s="224"/>
      <c r="E25" s="224">
        <v>100</v>
      </c>
      <c r="F25" s="224"/>
      <c r="G25" s="224">
        <v>100</v>
      </c>
      <c r="H25" s="224"/>
    </row>
    <row r="26" spans="1:8" ht="38.25" x14ac:dyDescent="0.2">
      <c r="A26" s="222">
        <v>19</v>
      </c>
      <c r="B26" s="223" t="s">
        <v>1102</v>
      </c>
      <c r="C26" s="224"/>
      <c r="D26" s="224">
        <v>100</v>
      </c>
      <c r="E26" s="224"/>
      <c r="F26" s="224">
        <v>100</v>
      </c>
      <c r="G26" s="224"/>
      <c r="H26" s="224">
        <v>100</v>
      </c>
    </row>
    <row r="27" spans="1:8" ht="25.5" x14ac:dyDescent="0.2">
      <c r="A27" s="222">
        <v>20</v>
      </c>
      <c r="B27" s="223" t="s">
        <v>301</v>
      </c>
      <c r="C27" s="224">
        <v>100</v>
      </c>
      <c r="D27" s="224"/>
      <c r="E27" s="224">
        <v>100</v>
      </c>
      <c r="F27" s="224"/>
      <c r="G27" s="224">
        <v>100</v>
      </c>
      <c r="H27" s="224"/>
    </row>
    <row r="28" spans="1:8" ht="38.25" x14ac:dyDescent="0.2">
      <c r="A28" s="222"/>
      <c r="B28" s="223" t="s">
        <v>1103</v>
      </c>
      <c r="C28" s="224"/>
      <c r="D28" s="224"/>
      <c r="E28" s="224"/>
      <c r="F28" s="224"/>
      <c r="G28" s="224"/>
      <c r="H28" s="224"/>
    </row>
    <row r="29" spans="1:8" ht="25.5" x14ac:dyDescent="0.2">
      <c r="A29" s="222">
        <v>21</v>
      </c>
      <c r="B29" s="228" t="s">
        <v>106</v>
      </c>
      <c r="C29" s="224">
        <v>100</v>
      </c>
      <c r="D29" s="224"/>
      <c r="E29" s="224">
        <v>100</v>
      </c>
      <c r="F29" s="224"/>
      <c r="G29" s="224">
        <v>100</v>
      </c>
      <c r="H29" s="224"/>
    </row>
    <row r="30" spans="1:8" ht="89.25" x14ac:dyDescent="0.2">
      <c r="A30" s="222">
        <v>22</v>
      </c>
      <c r="B30" s="229" t="s">
        <v>150</v>
      </c>
      <c r="C30" s="224">
        <v>100</v>
      </c>
      <c r="D30" s="224"/>
      <c r="E30" s="224">
        <v>100</v>
      </c>
      <c r="F30" s="224"/>
      <c r="G30" s="224">
        <v>100</v>
      </c>
      <c r="H30" s="224"/>
    </row>
    <row r="31" spans="1:8" ht="76.5" x14ac:dyDescent="0.2">
      <c r="A31" s="222">
        <v>23</v>
      </c>
      <c r="B31" s="228" t="s">
        <v>230</v>
      </c>
      <c r="C31" s="224">
        <v>100</v>
      </c>
      <c r="D31" s="224"/>
      <c r="E31" s="224">
        <v>100</v>
      </c>
      <c r="F31" s="224"/>
      <c r="G31" s="224">
        <v>100</v>
      </c>
      <c r="H31" s="224"/>
    </row>
    <row r="32" spans="1:8" ht="63.75" x14ac:dyDescent="0.2">
      <c r="A32" s="222">
        <v>24</v>
      </c>
      <c r="B32" s="228" t="s">
        <v>151</v>
      </c>
      <c r="C32" s="224">
        <v>100</v>
      </c>
      <c r="D32" s="224"/>
      <c r="E32" s="224">
        <v>100</v>
      </c>
      <c r="F32" s="224"/>
      <c r="G32" s="224">
        <v>100</v>
      </c>
      <c r="H32" s="224"/>
    </row>
    <row r="33" spans="1:8" ht="63.75" x14ac:dyDescent="0.2">
      <c r="A33" s="222">
        <v>25</v>
      </c>
      <c r="B33" s="228" t="s">
        <v>213</v>
      </c>
      <c r="C33" s="224">
        <v>100</v>
      </c>
      <c r="D33" s="224"/>
      <c r="E33" s="224">
        <v>100</v>
      </c>
      <c r="F33" s="224"/>
      <c r="G33" s="224">
        <v>100</v>
      </c>
      <c r="H33" s="224"/>
    </row>
    <row r="34" spans="1:8" ht="63.75" x14ac:dyDescent="0.2">
      <c r="A34" s="222">
        <v>26</v>
      </c>
      <c r="B34" s="228" t="s">
        <v>1104</v>
      </c>
      <c r="C34" s="224"/>
      <c r="D34" s="224">
        <v>100</v>
      </c>
      <c r="E34" s="224"/>
      <c r="F34" s="224">
        <v>100</v>
      </c>
      <c r="G34" s="224"/>
      <c r="H34" s="224">
        <v>100</v>
      </c>
    </row>
    <row r="35" spans="1:8" ht="51" x14ac:dyDescent="0.2">
      <c r="A35" s="222">
        <v>27</v>
      </c>
      <c r="B35" s="228" t="s">
        <v>11</v>
      </c>
      <c r="C35" s="224">
        <v>100</v>
      </c>
      <c r="D35" s="224"/>
      <c r="E35" s="224">
        <v>100</v>
      </c>
      <c r="F35" s="224"/>
      <c r="G35" s="224">
        <v>100</v>
      </c>
      <c r="H35" s="224"/>
    </row>
    <row r="36" spans="1:8" ht="76.5" x14ac:dyDescent="0.2">
      <c r="A36" s="222">
        <v>28</v>
      </c>
      <c r="B36" s="228" t="s">
        <v>682</v>
      </c>
      <c r="C36" s="224">
        <v>100</v>
      </c>
      <c r="D36" s="224"/>
      <c r="E36" s="224">
        <v>100</v>
      </c>
      <c r="F36" s="224"/>
      <c r="G36" s="224">
        <v>100</v>
      </c>
      <c r="H36" s="224"/>
    </row>
    <row r="37" spans="1:8" ht="25.5" x14ac:dyDescent="0.2">
      <c r="A37" s="222">
        <v>29</v>
      </c>
      <c r="B37" s="223" t="s">
        <v>1094</v>
      </c>
      <c r="C37" s="224">
        <v>55</v>
      </c>
      <c r="D37" s="224"/>
      <c r="E37" s="224">
        <v>55</v>
      </c>
      <c r="F37" s="224"/>
      <c r="G37" s="224">
        <v>55</v>
      </c>
      <c r="H37" s="224"/>
    </row>
    <row r="38" spans="1:8" ht="25.5" x14ac:dyDescent="0.2">
      <c r="A38" s="222">
        <v>30</v>
      </c>
      <c r="B38" s="223" t="s">
        <v>1095</v>
      </c>
      <c r="C38" s="224">
        <v>55</v>
      </c>
      <c r="D38" s="224"/>
      <c r="E38" s="224">
        <v>55</v>
      </c>
      <c r="F38" s="224"/>
      <c r="G38" s="224">
        <v>55</v>
      </c>
      <c r="H38" s="224"/>
    </row>
    <row r="39" spans="1:8" ht="25.5" x14ac:dyDescent="0.2">
      <c r="A39" s="222">
        <v>31</v>
      </c>
      <c r="B39" s="223" t="s">
        <v>1096</v>
      </c>
      <c r="C39" s="224">
        <v>55</v>
      </c>
      <c r="D39" s="224"/>
      <c r="E39" s="224">
        <v>55</v>
      </c>
      <c r="F39" s="224"/>
      <c r="G39" s="224">
        <v>55</v>
      </c>
      <c r="H39" s="224"/>
    </row>
    <row r="40" spans="1:8" ht="25.5" x14ac:dyDescent="0.2">
      <c r="A40" s="222">
        <v>32</v>
      </c>
      <c r="B40" s="223" t="s">
        <v>686</v>
      </c>
      <c r="C40" s="224">
        <v>55</v>
      </c>
      <c r="D40" s="224"/>
      <c r="E40" s="224">
        <v>55</v>
      </c>
      <c r="F40" s="224"/>
      <c r="G40" s="224">
        <v>55</v>
      </c>
      <c r="H40" s="224"/>
    </row>
    <row r="41" spans="1:8" ht="25.5" x14ac:dyDescent="0.2">
      <c r="A41" s="222">
        <v>33</v>
      </c>
      <c r="B41" s="223" t="s">
        <v>1097</v>
      </c>
      <c r="C41" s="224">
        <v>55</v>
      </c>
      <c r="D41" s="224"/>
      <c r="E41" s="224">
        <v>55</v>
      </c>
      <c r="F41" s="224"/>
      <c r="G41" s="224">
        <v>55</v>
      </c>
      <c r="H41" s="224"/>
    </row>
    <row r="42" spans="1:8" ht="38.25" x14ac:dyDescent="0.2">
      <c r="A42" s="222">
        <v>34</v>
      </c>
      <c r="B42" s="223" t="s">
        <v>1098</v>
      </c>
      <c r="C42" s="224">
        <v>55</v>
      </c>
      <c r="D42" s="224"/>
      <c r="E42" s="224">
        <v>55</v>
      </c>
      <c r="F42" s="224"/>
      <c r="G42" s="224">
        <v>55</v>
      </c>
      <c r="H42" s="224"/>
    </row>
    <row r="43" spans="1:8" ht="38.25" x14ac:dyDescent="0.2">
      <c r="A43" s="222">
        <v>35</v>
      </c>
      <c r="B43" s="223" t="s">
        <v>260</v>
      </c>
      <c r="C43" s="224">
        <v>100</v>
      </c>
      <c r="D43" s="224"/>
      <c r="E43" s="224">
        <v>100</v>
      </c>
      <c r="F43" s="224"/>
      <c r="G43" s="224">
        <v>100</v>
      </c>
      <c r="H43" s="224"/>
    </row>
    <row r="44" spans="1:8" ht="38.25" x14ac:dyDescent="0.2">
      <c r="A44" s="222">
        <v>36</v>
      </c>
      <c r="B44" s="223" t="s">
        <v>586</v>
      </c>
      <c r="C44" s="224">
        <v>100</v>
      </c>
      <c r="D44" s="224"/>
      <c r="E44" s="224">
        <v>100</v>
      </c>
      <c r="F44" s="224"/>
      <c r="G44" s="224">
        <v>100</v>
      </c>
      <c r="H44" s="224"/>
    </row>
    <row r="45" spans="1:8" x14ac:dyDescent="0.2">
      <c r="A45" s="222">
        <v>37</v>
      </c>
      <c r="B45" s="223" t="s">
        <v>334</v>
      </c>
      <c r="C45" s="224">
        <v>100</v>
      </c>
      <c r="D45" s="224"/>
      <c r="E45" s="224">
        <v>100</v>
      </c>
      <c r="F45" s="224"/>
      <c r="G45" s="224">
        <v>100</v>
      </c>
      <c r="H45" s="224"/>
    </row>
    <row r="46" spans="1:8" ht="51" x14ac:dyDescent="0.2">
      <c r="A46" s="222">
        <v>38</v>
      </c>
      <c r="B46" s="223" t="s">
        <v>78</v>
      </c>
      <c r="C46" s="224">
        <v>100</v>
      </c>
      <c r="D46" s="224"/>
      <c r="E46" s="224">
        <v>100</v>
      </c>
      <c r="F46" s="224"/>
      <c r="G46" s="224">
        <v>100</v>
      </c>
      <c r="H46" s="224"/>
    </row>
    <row r="47" spans="1:8" ht="51" x14ac:dyDescent="0.2">
      <c r="A47" s="222">
        <v>39</v>
      </c>
      <c r="B47" s="223" t="s">
        <v>130</v>
      </c>
      <c r="C47" s="224">
        <v>100</v>
      </c>
      <c r="D47" s="224"/>
      <c r="E47" s="224">
        <v>100</v>
      </c>
      <c r="F47" s="224"/>
      <c r="G47" s="224">
        <v>100</v>
      </c>
      <c r="H47" s="224"/>
    </row>
    <row r="48" spans="1:8" ht="51" x14ac:dyDescent="0.2">
      <c r="A48" s="222">
        <v>40</v>
      </c>
      <c r="B48" s="223" t="s">
        <v>1110</v>
      </c>
      <c r="C48" s="224">
        <v>100</v>
      </c>
      <c r="D48" s="224"/>
      <c r="E48" s="224">
        <v>100</v>
      </c>
      <c r="F48" s="224"/>
      <c r="G48" s="224">
        <v>100</v>
      </c>
      <c r="H48" s="224"/>
    </row>
    <row r="49" spans="1:16" ht="51" x14ac:dyDescent="0.2">
      <c r="A49" s="222">
        <v>41</v>
      </c>
      <c r="B49" s="223" t="s">
        <v>1111</v>
      </c>
      <c r="C49" s="224"/>
      <c r="D49" s="224">
        <v>100</v>
      </c>
      <c r="E49" s="224"/>
      <c r="F49" s="224">
        <v>100</v>
      </c>
      <c r="G49" s="224"/>
      <c r="H49" s="224">
        <v>100</v>
      </c>
    </row>
    <row r="50" spans="1:16" ht="25.5" x14ac:dyDescent="0.2">
      <c r="A50" s="222">
        <v>42</v>
      </c>
      <c r="B50" s="228" t="s">
        <v>357</v>
      </c>
      <c r="C50" s="231">
        <v>100</v>
      </c>
      <c r="D50" s="230"/>
      <c r="E50" s="231">
        <v>100</v>
      </c>
      <c r="F50" s="230"/>
      <c r="G50" s="231">
        <v>100</v>
      </c>
      <c r="H50" s="230"/>
    </row>
    <row r="51" spans="1:16" ht="25.5" x14ac:dyDescent="0.2">
      <c r="A51" s="222">
        <v>43</v>
      </c>
      <c r="B51" s="232" t="s">
        <v>1105</v>
      </c>
      <c r="C51" s="231">
        <v>100</v>
      </c>
      <c r="D51" s="230"/>
      <c r="E51" s="231">
        <v>100</v>
      </c>
      <c r="F51" s="230"/>
      <c r="G51" s="231">
        <v>100</v>
      </c>
      <c r="H51" s="230"/>
    </row>
    <row r="52" spans="1:16" x14ac:dyDescent="0.2">
      <c r="A52" s="222">
        <v>44</v>
      </c>
      <c r="B52" s="232" t="s">
        <v>1106</v>
      </c>
      <c r="C52" s="230"/>
      <c r="D52" s="234">
        <v>100</v>
      </c>
      <c r="E52" s="234"/>
      <c r="F52" s="234">
        <v>100</v>
      </c>
      <c r="G52" s="234"/>
      <c r="H52" s="234">
        <v>100</v>
      </c>
    </row>
    <row r="55" spans="1:16" ht="12.75" customHeight="1" x14ac:dyDescent="0.2">
      <c r="A55" s="458" t="s">
        <v>1107</v>
      </c>
      <c r="B55" s="458"/>
      <c r="C55" s="458"/>
      <c r="D55" s="458"/>
      <c r="E55" s="458"/>
      <c r="F55" s="458"/>
      <c r="G55" s="458"/>
      <c r="H55" s="458"/>
      <c r="I55" s="235"/>
      <c r="J55" s="235"/>
      <c r="K55" s="235"/>
      <c r="L55" s="235"/>
      <c r="M55" s="235"/>
      <c r="N55" s="235"/>
      <c r="O55" s="235"/>
      <c r="P55" s="235"/>
    </row>
    <row r="56" spans="1:16" x14ac:dyDescent="0.2">
      <c r="B56" s="177" t="s">
        <v>1109</v>
      </c>
    </row>
    <row r="57" spans="1:16" x14ac:dyDescent="0.2">
      <c r="B57" s="177" t="s">
        <v>1108</v>
      </c>
    </row>
  </sheetData>
  <mergeCells count="19">
    <mergeCell ref="A1:H1"/>
    <mergeCell ref="C16:D16"/>
    <mergeCell ref="E16:F16"/>
    <mergeCell ref="A55:H55"/>
    <mergeCell ref="A3:H3"/>
    <mergeCell ref="A2:H2"/>
    <mergeCell ref="C17:D17"/>
    <mergeCell ref="E17:F17"/>
    <mergeCell ref="G17:H17"/>
    <mergeCell ref="G16:H16"/>
    <mergeCell ref="C14:D14"/>
    <mergeCell ref="E14:F14"/>
    <mergeCell ref="G14:H14"/>
    <mergeCell ref="C15:D15"/>
    <mergeCell ref="E15:F15"/>
    <mergeCell ref="G15:H15"/>
    <mergeCell ref="C5:D5"/>
    <mergeCell ref="E5:F5"/>
    <mergeCell ref="G5:H5"/>
  </mergeCells>
  <pageMargins left="0.54" right="0.1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285"/>
  <sheetViews>
    <sheetView topLeftCell="A2" zoomScaleNormal="100" workbookViewId="0">
      <selection activeCell="N14" sqref="N14"/>
    </sheetView>
  </sheetViews>
  <sheetFormatPr defaultRowHeight="12.75" x14ac:dyDescent="0.2"/>
  <cols>
    <col min="1" max="1" width="64.7109375" style="121" customWidth="1"/>
    <col min="2" max="2" width="4.42578125" style="121" customWidth="1"/>
    <col min="3" max="3" width="2.28515625" style="121" customWidth="1"/>
    <col min="4" max="4" width="3.42578125" style="121" customWidth="1"/>
    <col min="5" max="5" width="6.5703125" style="121" customWidth="1"/>
    <col min="6" max="6" width="3.42578125" style="121" bestFit="1" customWidth="1"/>
    <col min="7" max="7" width="6.7109375" style="121" customWidth="1"/>
    <col min="8" max="8" width="6.140625" style="362" customWidth="1"/>
    <col min="9" max="9" width="17.5703125" style="121" customWidth="1"/>
    <col min="10" max="11" width="17.42578125" style="121" customWidth="1"/>
    <col min="12" max="12" width="19.85546875" style="121" customWidth="1"/>
    <col min="13" max="13" width="18.42578125" style="121" customWidth="1"/>
    <col min="14" max="14" width="17.140625" style="121" customWidth="1"/>
    <col min="15" max="15" width="18.28515625" style="121" customWidth="1"/>
    <col min="16" max="16384" width="9.140625" style="121"/>
  </cols>
  <sheetData>
    <row r="1" spans="1:15" ht="54.75" hidden="1" customHeight="1" x14ac:dyDescent="0.2">
      <c r="A1" s="460" t="str">
        <f>"Приложение №"&amp;Н2дох&amp;"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60"/>
      <c r="C1" s="460"/>
      <c r="D1" s="460"/>
      <c r="E1" s="460"/>
      <c r="F1" s="460"/>
      <c r="G1" s="460"/>
      <c r="H1" s="460"/>
      <c r="I1" s="460"/>
      <c r="J1" s="460"/>
      <c r="K1" s="460"/>
    </row>
    <row r="2" spans="1:15" ht="56.25" customHeight="1" x14ac:dyDescent="0.2">
      <c r="A2" s="460" t="str">
        <f>"Приложение "&amp;Н1дох&amp;" к решению
Богучанского районного Совета депутатов
от "&amp;Р1дата&amp;" года №"&amp;Р1номер</f>
        <v>Приложение 4 к решению
Богучанского районного Совета депутатов
от  04.12.2020 года №5/1-16</v>
      </c>
      <c r="B2" s="460"/>
      <c r="C2" s="460"/>
      <c r="D2" s="460"/>
      <c r="E2" s="460"/>
      <c r="F2" s="460"/>
      <c r="G2" s="460"/>
      <c r="H2" s="460"/>
      <c r="I2" s="460"/>
      <c r="J2" s="460"/>
      <c r="K2" s="460"/>
    </row>
    <row r="3" spans="1:15" ht="18" x14ac:dyDescent="0.25">
      <c r="A3" s="466" t="str">
        <f>"Доходы районного бюджета на "&amp;год&amp;" год и плановый период "&amp;ПлПер&amp;" годов"</f>
        <v>Доходы районного бюджета на 2021 год и плановый период 2022-2023 годов</v>
      </c>
      <c r="B3" s="466"/>
      <c r="C3" s="466"/>
      <c r="D3" s="466"/>
      <c r="E3" s="466"/>
      <c r="F3" s="466"/>
      <c r="G3" s="466"/>
      <c r="H3" s="466"/>
      <c r="I3" s="466"/>
      <c r="J3" s="466"/>
      <c r="K3" s="466"/>
    </row>
    <row r="4" spans="1:15" x14ac:dyDescent="0.2">
      <c r="J4" s="122"/>
      <c r="K4" s="122" t="s">
        <v>73</v>
      </c>
    </row>
    <row r="5" spans="1:15" ht="3" customHeight="1" x14ac:dyDescent="0.2">
      <c r="A5" s="467" t="s">
        <v>1670</v>
      </c>
      <c r="B5" s="469" t="s">
        <v>1671</v>
      </c>
      <c r="C5" s="469"/>
      <c r="D5" s="469"/>
      <c r="E5" s="469"/>
      <c r="F5" s="469"/>
      <c r="G5" s="469"/>
      <c r="H5" s="469"/>
      <c r="I5" s="465" t="s">
        <v>1417</v>
      </c>
      <c r="J5" s="465" t="s">
        <v>1523</v>
      </c>
      <c r="K5" s="465" t="s">
        <v>2082</v>
      </c>
    </row>
    <row r="6" spans="1:15" ht="6" customHeight="1" x14ac:dyDescent="0.2">
      <c r="A6" s="467"/>
      <c r="B6" s="469"/>
      <c r="C6" s="469"/>
      <c r="D6" s="469"/>
      <c r="E6" s="469"/>
      <c r="F6" s="469"/>
      <c r="G6" s="469"/>
      <c r="H6" s="469"/>
      <c r="I6" s="465"/>
      <c r="J6" s="465"/>
      <c r="K6" s="465"/>
    </row>
    <row r="7" spans="1:15" ht="160.5" customHeight="1" x14ac:dyDescent="0.2">
      <c r="A7" s="468"/>
      <c r="B7" s="347" t="s">
        <v>1663</v>
      </c>
      <c r="C7" s="347" t="s">
        <v>1664</v>
      </c>
      <c r="D7" s="347" t="s">
        <v>1665</v>
      </c>
      <c r="E7" s="347" t="s">
        <v>1666</v>
      </c>
      <c r="F7" s="347" t="s">
        <v>1667</v>
      </c>
      <c r="G7" s="347" t="s">
        <v>1668</v>
      </c>
      <c r="H7" s="347" t="s">
        <v>1669</v>
      </c>
      <c r="I7" s="465"/>
      <c r="J7" s="465"/>
      <c r="K7" s="465"/>
      <c r="L7" s="123"/>
      <c r="M7" s="124"/>
    </row>
    <row r="8" spans="1:15" x14ac:dyDescent="0.2">
      <c r="A8" s="167">
        <v>1</v>
      </c>
      <c r="B8" s="168" t="s">
        <v>178</v>
      </c>
      <c r="C8" s="168" t="s">
        <v>284</v>
      </c>
      <c r="D8" s="168" t="s">
        <v>285</v>
      </c>
      <c r="E8" s="169" t="s">
        <v>286</v>
      </c>
      <c r="F8" s="168" t="s">
        <v>287</v>
      </c>
      <c r="G8" s="168" t="s">
        <v>288</v>
      </c>
      <c r="H8" s="169" t="s">
        <v>25</v>
      </c>
      <c r="I8" s="170" t="s">
        <v>205</v>
      </c>
      <c r="J8" s="170" t="s">
        <v>29</v>
      </c>
      <c r="K8" s="170" t="s">
        <v>212</v>
      </c>
      <c r="L8" s="125"/>
    </row>
    <row r="9" spans="1:15" x14ac:dyDescent="0.2">
      <c r="A9" s="7" t="s">
        <v>35</v>
      </c>
      <c r="B9" s="171" t="s">
        <v>169</v>
      </c>
      <c r="C9" s="171" t="s">
        <v>133</v>
      </c>
      <c r="D9" s="171" t="s">
        <v>134</v>
      </c>
      <c r="E9" s="171" t="s">
        <v>135</v>
      </c>
      <c r="F9" s="171" t="s">
        <v>134</v>
      </c>
      <c r="G9" s="171" t="s">
        <v>136</v>
      </c>
      <c r="H9" s="171" t="s">
        <v>169</v>
      </c>
      <c r="I9" s="163">
        <f>I10+I20+I26+I38+I46+I50+I65+I71+I86+I95</f>
        <v>601717190</v>
      </c>
      <c r="J9" s="163">
        <f>J10+J20+J26+J38+J46+J50+J65+J71+J86+J95</f>
        <v>626470490</v>
      </c>
      <c r="K9" s="163">
        <f>K10+K20+K26+K38+K46+K50+K65+K71+K86+K95</f>
        <v>686301790</v>
      </c>
      <c r="M9" s="125"/>
      <c r="N9" s="125"/>
      <c r="O9" s="125"/>
    </row>
    <row r="10" spans="1:15" x14ac:dyDescent="0.2">
      <c r="A10" s="7" t="s">
        <v>36</v>
      </c>
      <c r="B10" s="171" t="s">
        <v>137</v>
      </c>
      <c r="C10" s="171" t="s">
        <v>133</v>
      </c>
      <c r="D10" s="171" t="s">
        <v>138</v>
      </c>
      <c r="E10" s="171" t="s">
        <v>135</v>
      </c>
      <c r="F10" s="171" t="s">
        <v>134</v>
      </c>
      <c r="G10" s="171" t="s">
        <v>136</v>
      </c>
      <c r="H10" s="171" t="s">
        <v>169</v>
      </c>
      <c r="I10" s="163">
        <f>I11+I14</f>
        <v>385710000</v>
      </c>
      <c r="J10" s="163">
        <f>J11+J14</f>
        <v>412625000</v>
      </c>
      <c r="K10" s="163">
        <f>K11+K14</f>
        <v>463770000</v>
      </c>
    </row>
    <row r="11" spans="1:15" x14ac:dyDescent="0.2">
      <c r="A11" s="7" t="s">
        <v>1161</v>
      </c>
      <c r="B11" s="171" t="s">
        <v>137</v>
      </c>
      <c r="C11" s="171" t="s">
        <v>133</v>
      </c>
      <c r="D11" s="171" t="s">
        <v>138</v>
      </c>
      <c r="E11" s="171" t="s">
        <v>139</v>
      </c>
      <c r="F11" s="171" t="s">
        <v>134</v>
      </c>
      <c r="G11" s="171" t="s">
        <v>136</v>
      </c>
      <c r="H11" s="171" t="s">
        <v>140</v>
      </c>
      <c r="I11" s="163">
        <f t="shared" ref="I11:K12" si="0">I12</f>
        <v>18600000</v>
      </c>
      <c r="J11" s="163">
        <f t="shared" si="0"/>
        <v>29735000</v>
      </c>
      <c r="K11" s="163">
        <f t="shared" si="0"/>
        <v>53860000</v>
      </c>
    </row>
    <row r="12" spans="1:15" ht="25.5" x14ac:dyDescent="0.2">
      <c r="A12" s="7" t="s">
        <v>236</v>
      </c>
      <c r="B12" s="171" t="s">
        <v>137</v>
      </c>
      <c r="C12" s="171" t="s">
        <v>133</v>
      </c>
      <c r="D12" s="171" t="s">
        <v>138</v>
      </c>
      <c r="E12" s="171" t="s">
        <v>237</v>
      </c>
      <c r="F12" s="171" t="s">
        <v>134</v>
      </c>
      <c r="G12" s="171" t="s">
        <v>136</v>
      </c>
      <c r="H12" s="171" t="s">
        <v>140</v>
      </c>
      <c r="I12" s="163">
        <f t="shared" si="0"/>
        <v>18600000</v>
      </c>
      <c r="J12" s="163">
        <f t="shared" si="0"/>
        <v>29735000</v>
      </c>
      <c r="K12" s="163">
        <f t="shared" si="0"/>
        <v>53860000</v>
      </c>
    </row>
    <row r="13" spans="1:15" ht="38.25" x14ac:dyDescent="0.2">
      <c r="A13" s="7" t="s">
        <v>1154</v>
      </c>
      <c r="B13" s="171" t="s">
        <v>137</v>
      </c>
      <c r="C13" s="171" t="s">
        <v>133</v>
      </c>
      <c r="D13" s="171" t="s">
        <v>138</v>
      </c>
      <c r="E13" s="171" t="s">
        <v>238</v>
      </c>
      <c r="F13" s="171" t="s">
        <v>239</v>
      </c>
      <c r="G13" s="171" t="s">
        <v>136</v>
      </c>
      <c r="H13" s="171" t="s">
        <v>140</v>
      </c>
      <c r="I13" s="163">
        <v>18600000</v>
      </c>
      <c r="J13" s="163">
        <v>29735000</v>
      </c>
      <c r="K13" s="163">
        <v>53860000</v>
      </c>
    </row>
    <row r="14" spans="1:15" x14ac:dyDescent="0.2">
      <c r="A14" s="7" t="s">
        <v>1162</v>
      </c>
      <c r="B14" s="171" t="s">
        <v>137</v>
      </c>
      <c r="C14" s="171" t="s">
        <v>133</v>
      </c>
      <c r="D14" s="171" t="s">
        <v>138</v>
      </c>
      <c r="E14" s="171" t="s">
        <v>240</v>
      </c>
      <c r="F14" s="171" t="s">
        <v>138</v>
      </c>
      <c r="G14" s="171" t="s">
        <v>136</v>
      </c>
      <c r="H14" s="171" t="s">
        <v>140</v>
      </c>
      <c r="I14" s="163">
        <f>I15+I16+I17+I19+I18</f>
        <v>367110000</v>
      </c>
      <c r="J14" s="163">
        <f>J15+J16+J17+J19+J18</f>
        <v>382890000</v>
      </c>
      <c r="K14" s="163">
        <f>K15+K16+K17+K19+K18</f>
        <v>409910000</v>
      </c>
    </row>
    <row r="15" spans="1:15" ht="63.75" x14ac:dyDescent="0.2">
      <c r="A15" s="275" t="s">
        <v>1155</v>
      </c>
      <c r="B15" s="171" t="s">
        <v>137</v>
      </c>
      <c r="C15" s="171" t="s">
        <v>133</v>
      </c>
      <c r="D15" s="171" t="s">
        <v>138</v>
      </c>
      <c r="E15" s="171" t="s">
        <v>241</v>
      </c>
      <c r="F15" s="171" t="s">
        <v>138</v>
      </c>
      <c r="G15" s="171" t="s">
        <v>136</v>
      </c>
      <c r="H15" s="171" t="s">
        <v>140</v>
      </c>
      <c r="I15" s="163">
        <v>352090000</v>
      </c>
      <c r="J15" s="163">
        <v>367100000</v>
      </c>
      <c r="K15" s="163">
        <v>393280000</v>
      </c>
    </row>
    <row r="16" spans="1:15" ht="76.5" x14ac:dyDescent="0.2">
      <c r="A16" s="172" t="s">
        <v>278</v>
      </c>
      <c r="B16" s="171" t="s">
        <v>137</v>
      </c>
      <c r="C16" s="171" t="s">
        <v>133</v>
      </c>
      <c r="D16" s="171" t="s">
        <v>138</v>
      </c>
      <c r="E16" s="171" t="s">
        <v>242</v>
      </c>
      <c r="F16" s="171" t="s">
        <v>138</v>
      </c>
      <c r="G16" s="171" t="s">
        <v>136</v>
      </c>
      <c r="H16" s="171" t="s">
        <v>140</v>
      </c>
      <c r="I16" s="163">
        <v>692000</v>
      </c>
      <c r="J16" s="163">
        <v>712000</v>
      </c>
      <c r="K16" s="163">
        <v>734000</v>
      </c>
    </row>
    <row r="17" spans="1:11" ht="25.5" x14ac:dyDescent="0.2">
      <c r="A17" s="172" t="s">
        <v>279</v>
      </c>
      <c r="B17" s="171" t="s">
        <v>137</v>
      </c>
      <c r="C17" s="171" t="s">
        <v>133</v>
      </c>
      <c r="D17" s="171" t="s">
        <v>138</v>
      </c>
      <c r="E17" s="171" t="s">
        <v>277</v>
      </c>
      <c r="F17" s="171" t="s">
        <v>138</v>
      </c>
      <c r="G17" s="171" t="s">
        <v>136</v>
      </c>
      <c r="H17" s="171" t="s">
        <v>140</v>
      </c>
      <c r="I17" s="163">
        <v>950000</v>
      </c>
      <c r="J17" s="163">
        <v>980000</v>
      </c>
      <c r="K17" s="163">
        <v>1009000</v>
      </c>
    </row>
    <row r="18" spans="1:11" ht="63.75" x14ac:dyDescent="0.2">
      <c r="A18" s="172" t="s">
        <v>1156</v>
      </c>
      <c r="B18" s="171" t="s">
        <v>137</v>
      </c>
      <c r="C18" s="171" t="s">
        <v>133</v>
      </c>
      <c r="D18" s="171" t="s">
        <v>138</v>
      </c>
      <c r="E18" s="171" t="s">
        <v>669</v>
      </c>
      <c r="F18" s="171" t="s">
        <v>138</v>
      </c>
      <c r="G18" s="171" t="s">
        <v>136</v>
      </c>
      <c r="H18" s="171" t="s">
        <v>140</v>
      </c>
      <c r="I18" s="163">
        <v>10470000</v>
      </c>
      <c r="J18" s="163">
        <v>10995000</v>
      </c>
      <c r="K18" s="163">
        <v>11565000</v>
      </c>
    </row>
    <row r="19" spans="1:11" ht="38.25" x14ac:dyDescent="0.2">
      <c r="A19" s="172" t="s">
        <v>1984</v>
      </c>
      <c r="B19" s="171" t="s">
        <v>137</v>
      </c>
      <c r="C19" s="171" t="s">
        <v>133</v>
      </c>
      <c r="D19" s="171" t="s">
        <v>138</v>
      </c>
      <c r="E19" s="171" t="s">
        <v>1985</v>
      </c>
      <c r="F19" s="171" t="s">
        <v>138</v>
      </c>
      <c r="G19" s="171" t="s">
        <v>136</v>
      </c>
      <c r="H19" s="171" t="s">
        <v>140</v>
      </c>
      <c r="I19" s="163">
        <v>2908000</v>
      </c>
      <c r="J19" s="163">
        <v>3103000</v>
      </c>
      <c r="K19" s="163">
        <v>3322000</v>
      </c>
    </row>
    <row r="20" spans="1:11" ht="25.5" x14ac:dyDescent="0.2">
      <c r="A20" s="172" t="s">
        <v>1163</v>
      </c>
      <c r="B20" s="171" t="s">
        <v>290</v>
      </c>
      <c r="C20" s="171" t="s">
        <v>133</v>
      </c>
      <c r="D20" s="171" t="s">
        <v>251</v>
      </c>
      <c r="E20" s="171" t="s">
        <v>135</v>
      </c>
      <c r="F20" s="171" t="s">
        <v>134</v>
      </c>
      <c r="G20" s="171" t="s">
        <v>136</v>
      </c>
      <c r="H20" s="171" t="s">
        <v>169</v>
      </c>
      <c r="I20" s="163">
        <f>I21</f>
        <v>37400</v>
      </c>
      <c r="J20" s="163">
        <f>J21</f>
        <v>38700</v>
      </c>
      <c r="K20" s="163">
        <f>K21</f>
        <v>40100</v>
      </c>
    </row>
    <row r="21" spans="1:11" ht="25.5" x14ac:dyDescent="0.2">
      <c r="A21" s="172" t="s">
        <v>289</v>
      </c>
      <c r="B21" s="171" t="s">
        <v>290</v>
      </c>
      <c r="C21" s="171" t="s">
        <v>133</v>
      </c>
      <c r="D21" s="171" t="s">
        <v>251</v>
      </c>
      <c r="E21" s="171" t="s">
        <v>240</v>
      </c>
      <c r="F21" s="171" t="s">
        <v>138</v>
      </c>
      <c r="G21" s="171" t="s">
        <v>136</v>
      </c>
      <c r="H21" s="171" t="s">
        <v>140</v>
      </c>
      <c r="I21" s="163">
        <f>SUM(I22:I25)</f>
        <v>37400</v>
      </c>
      <c r="J21" s="163">
        <f>SUM(J22:J25)</f>
        <v>38700</v>
      </c>
      <c r="K21" s="163">
        <f>SUM(K22:K25)</f>
        <v>40100</v>
      </c>
    </row>
    <row r="22" spans="1:11" ht="51" x14ac:dyDescent="0.2">
      <c r="A22" s="172" t="s">
        <v>291</v>
      </c>
      <c r="B22" s="171" t="s">
        <v>290</v>
      </c>
      <c r="C22" s="171" t="s">
        <v>133</v>
      </c>
      <c r="D22" s="171" t="s">
        <v>251</v>
      </c>
      <c r="E22" s="171" t="s">
        <v>292</v>
      </c>
      <c r="F22" s="171" t="s">
        <v>138</v>
      </c>
      <c r="G22" s="171" t="s">
        <v>136</v>
      </c>
      <c r="H22" s="171" t="s">
        <v>140</v>
      </c>
      <c r="I22" s="163">
        <v>17200</v>
      </c>
      <c r="J22" s="163">
        <v>17800</v>
      </c>
      <c r="K22" s="163">
        <v>18600</v>
      </c>
    </row>
    <row r="23" spans="1:11" ht="63.75" x14ac:dyDescent="0.2">
      <c r="A23" s="172" t="s">
        <v>293</v>
      </c>
      <c r="B23" s="171" t="s">
        <v>290</v>
      </c>
      <c r="C23" s="171" t="s">
        <v>133</v>
      </c>
      <c r="D23" s="171" t="s">
        <v>251</v>
      </c>
      <c r="E23" s="171" t="s">
        <v>294</v>
      </c>
      <c r="F23" s="171" t="s">
        <v>138</v>
      </c>
      <c r="G23" s="171" t="s">
        <v>136</v>
      </c>
      <c r="H23" s="171" t="s">
        <v>140</v>
      </c>
      <c r="I23" s="163">
        <v>100</v>
      </c>
      <c r="J23" s="163">
        <v>100</v>
      </c>
      <c r="K23" s="163">
        <v>100</v>
      </c>
    </row>
    <row r="24" spans="1:11" ht="63.75" x14ac:dyDescent="0.2">
      <c r="A24" s="172" t="s">
        <v>295</v>
      </c>
      <c r="B24" s="171" t="s">
        <v>290</v>
      </c>
      <c r="C24" s="171" t="s">
        <v>133</v>
      </c>
      <c r="D24" s="171" t="s">
        <v>251</v>
      </c>
      <c r="E24" s="171" t="s">
        <v>296</v>
      </c>
      <c r="F24" s="171" t="s">
        <v>138</v>
      </c>
      <c r="G24" s="171" t="s">
        <v>136</v>
      </c>
      <c r="H24" s="171" t="s">
        <v>140</v>
      </c>
      <c r="I24" s="163">
        <v>22600</v>
      </c>
      <c r="J24" s="163">
        <v>23300</v>
      </c>
      <c r="K24" s="163">
        <v>24300</v>
      </c>
    </row>
    <row r="25" spans="1:11" ht="63.75" x14ac:dyDescent="0.2">
      <c r="A25" s="7" t="s">
        <v>297</v>
      </c>
      <c r="B25" s="171" t="s">
        <v>290</v>
      </c>
      <c r="C25" s="171" t="s">
        <v>133</v>
      </c>
      <c r="D25" s="171" t="s">
        <v>251</v>
      </c>
      <c r="E25" s="171" t="s">
        <v>298</v>
      </c>
      <c r="F25" s="171" t="s">
        <v>138</v>
      </c>
      <c r="G25" s="171" t="s">
        <v>136</v>
      </c>
      <c r="H25" s="171" t="s">
        <v>140</v>
      </c>
      <c r="I25" s="163">
        <v>-2500</v>
      </c>
      <c r="J25" s="163">
        <v>-2500</v>
      </c>
      <c r="K25" s="163">
        <v>-2900</v>
      </c>
    </row>
    <row r="26" spans="1:11" x14ac:dyDescent="0.2">
      <c r="A26" s="7" t="s">
        <v>95</v>
      </c>
      <c r="B26" s="171" t="s">
        <v>137</v>
      </c>
      <c r="C26" s="171" t="s">
        <v>133</v>
      </c>
      <c r="D26" s="171" t="s">
        <v>243</v>
      </c>
      <c r="E26" s="171" t="s">
        <v>135</v>
      </c>
      <c r="F26" s="171" t="s">
        <v>134</v>
      </c>
      <c r="G26" s="171" t="s">
        <v>136</v>
      </c>
      <c r="H26" s="171" t="s">
        <v>169</v>
      </c>
      <c r="I26" s="163">
        <f>I32+I34+I36+I27</f>
        <v>117342800</v>
      </c>
      <c r="J26" s="163">
        <f>J32+J34+J36+J27</f>
        <v>118509200</v>
      </c>
      <c r="K26" s="163">
        <f>K32+K34+K36+K27</f>
        <v>122979400</v>
      </c>
    </row>
    <row r="27" spans="1:11" ht="25.5" x14ac:dyDescent="0.2">
      <c r="A27" s="7" t="s">
        <v>1575</v>
      </c>
      <c r="B27" s="171" t="s">
        <v>137</v>
      </c>
      <c r="C27" s="171" t="s">
        <v>133</v>
      </c>
      <c r="D27" s="171" t="s">
        <v>243</v>
      </c>
      <c r="E27" s="171" t="s">
        <v>139</v>
      </c>
      <c r="F27" s="171" t="s">
        <v>134</v>
      </c>
      <c r="G27" s="171" t="s">
        <v>136</v>
      </c>
      <c r="H27" s="171" t="s">
        <v>140</v>
      </c>
      <c r="I27" s="163">
        <f>I28+I30</f>
        <v>108012800</v>
      </c>
      <c r="J27" s="163">
        <f>J28+J30</f>
        <v>114329200</v>
      </c>
      <c r="K27" s="163">
        <f>K28+K30</f>
        <v>118779400</v>
      </c>
    </row>
    <row r="28" spans="1:11" ht="25.5" x14ac:dyDescent="0.2">
      <c r="A28" s="7" t="s">
        <v>1576</v>
      </c>
      <c r="B28" s="171" t="s">
        <v>137</v>
      </c>
      <c r="C28" s="171" t="s">
        <v>133</v>
      </c>
      <c r="D28" s="171" t="s">
        <v>243</v>
      </c>
      <c r="E28" s="171" t="s">
        <v>237</v>
      </c>
      <c r="F28" s="171" t="s">
        <v>138</v>
      </c>
      <c r="G28" s="171" t="s">
        <v>136</v>
      </c>
      <c r="H28" s="171" t="s">
        <v>140</v>
      </c>
      <c r="I28" s="163">
        <f>I29</f>
        <v>80004700</v>
      </c>
      <c r="J28" s="163">
        <f>J29</f>
        <v>84824300</v>
      </c>
      <c r="K28" s="163">
        <f>K29</f>
        <v>89902800</v>
      </c>
    </row>
    <row r="29" spans="1:11" ht="25.5" x14ac:dyDescent="0.2">
      <c r="A29" s="7" t="s">
        <v>1576</v>
      </c>
      <c r="B29" s="171" t="s">
        <v>137</v>
      </c>
      <c r="C29" s="171" t="s">
        <v>133</v>
      </c>
      <c r="D29" s="171" t="s">
        <v>243</v>
      </c>
      <c r="E29" s="171" t="s">
        <v>1577</v>
      </c>
      <c r="F29" s="171" t="s">
        <v>138</v>
      </c>
      <c r="G29" s="171" t="s">
        <v>136</v>
      </c>
      <c r="H29" s="171" t="s">
        <v>140</v>
      </c>
      <c r="I29" s="163">
        <v>80004700</v>
      </c>
      <c r="J29" s="163">
        <v>84824300</v>
      </c>
      <c r="K29" s="163">
        <v>89902800</v>
      </c>
    </row>
    <row r="30" spans="1:11" ht="38.25" x14ac:dyDescent="0.2">
      <c r="A30" s="7" t="s">
        <v>1578</v>
      </c>
      <c r="B30" s="171" t="s">
        <v>137</v>
      </c>
      <c r="C30" s="171" t="s">
        <v>133</v>
      </c>
      <c r="D30" s="171" t="s">
        <v>243</v>
      </c>
      <c r="E30" s="171" t="s">
        <v>1579</v>
      </c>
      <c r="F30" s="171" t="s">
        <v>138</v>
      </c>
      <c r="G30" s="171" t="s">
        <v>136</v>
      </c>
      <c r="H30" s="171" t="s">
        <v>140</v>
      </c>
      <c r="I30" s="163">
        <f>I31</f>
        <v>28008100</v>
      </c>
      <c r="J30" s="163">
        <f>J31</f>
        <v>29504900</v>
      </c>
      <c r="K30" s="163">
        <f>K31</f>
        <v>28876600</v>
      </c>
    </row>
    <row r="31" spans="1:11" ht="51" x14ac:dyDescent="0.2">
      <c r="A31" s="7" t="s">
        <v>1580</v>
      </c>
      <c r="B31" s="171" t="s">
        <v>137</v>
      </c>
      <c r="C31" s="171" t="s">
        <v>133</v>
      </c>
      <c r="D31" s="171" t="s">
        <v>243</v>
      </c>
      <c r="E31" s="171" t="s">
        <v>1581</v>
      </c>
      <c r="F31" s="171" t="s">
        <v>138</v>
      </c>
      <c r="G31" s="171" t="s">
        <v>136</v>
      </c>
      <c r="H31" s="171" t="s">
        <v>140</v>
      </c>
      <c r="I31" s="163">
        <v>28008100</v>
      </c>
      <c r="J31" s="163">
        <v>29504900</v>
      </c>
      <c r="K31" s="163">
        <v>28876600</v>
      </c>
    </row>
    <row r="32" spans="1:11" x14ac:dyDescent="0.2">
      <c r="A32" s="425" t="s">
        <v>96</v>
      </c>
      <c r="B32" s="171" t="s">
        <v>137</v>
      </c>
      <c r="C32" s="171" t="s">
        <v>133</v>
      </c>
      <c r="D32" s="171" t="s">
        <v>243</v>
      </c>
      <c r="E32" s="171" t="s">
        <v>240</v>
      </c>
      <c r="F32" s="171" t="s">
        <v>239</v>
      </c>
      <c r="G32" s="171" t="s">
        <v>136</v>
      </c>
      <c r="H32" s="171" t="s">
        <v>140</v>
      </c>
      <c r="I32" s="163">
        <f>SUM(I33:I33)</f>
        <v>5150000</v>
      </c>
      <c r="J32" s="163">
        <f>SUM(J33:J33)</f>
        <v>0</v>
      </c>
      <c r="K32" s="163">
        <f>SUM(K33:K33)</f>
        <v>0</v>
      </c>
    </row>
    <row r="33" spans="1:11" x14ac:dyDescent="0.2">
      <c r="A33" s="7" t="s">
        <v>96</v>
      </c>
      <c r="B33" s="171" t="s">
        <v>137</v>
      </c>
      <c r="C33" s="171" t="s">
        <v>133</v>
      </c>
      <c r="D33" s="171" t="s">
        <v>243</v>
      </c>
      <c r="E33" s="171" t="s">
        <v>241</v>
      </c>
      <c r="F33" s="171" t="s">
        <v>239</v>
      </c>
      <c r="G33" s="171" t="s">
        <v>136</v>
      </c>
      <c r="H33" s="171" t="s">
        <v>140</v>
      </c>
      <c r="I33" s="162">
        <v>5150000</v>
      </c>
      <c r="J33" s="162">
        <v>0</v>
      </c>
      <c r="K33" s="162">
        <v>0</v>
      </c>
    </row>
    <row r="34" spans="1:11" hidden="1" x14ac:dyDescent="0.2">
      <c r="A34" s="7" t="s">
        <v>20</v>
      </c>
      <c r="B34" s="171" t="s">
        <v>137</v>
      </c>
      <c r="C34" s="171" t="s">
        <v>133</v>
      </c>
      <c r="D34" s="171" t="s">
        <v>243</v>
      </c>
      <c r="E34" s="171" t="s">
        <v>34</v>
      </c>
      <c r="F34" s="171" t="s">
        <v>138</v>
      </c>
      <c r="G34" s="171" t="s">
        <v>136</v>
      </c>
      <c r="H34" s="171" t="s">
        <v>140</v>
      </c>
      <c r="I34" s="163">
        <f>I35</f>
        <v>0</v>
      </c>
      <c r="J34" s="163">
        <f>J35</f>
        <v>0</v>
      </c>
      <c r="K34" s="163">
        <f>K35</f>
        <v>0</v>
      </c>
    </row>
    <row r="35" spans="1:11" hidden="1" x14ac:dyDescent="0.2">
      <c r="A35" s="7" t="s">
        <v>20</v>
      </c>
      <c r="B35" s="171" t="s">
        <v>137</v>
      </c>
      <c r="C35" s="171" t="s">
        <v>133</v>
      </c>
      <c r="D35" s="171" t="s">
        <v>243</v>
      </c>
      <c r="E35" s="171" t="s">
        <v>218</v>
      </c>
      <c r="F35" s="171" t="s">
        <v>138</v>
      </c>
      <c r="G35" s="171" t="s">
        <v>136</v>
      </c>
      <c r="H35" s="171" t="s">
        <v>140</v>
      </c>
      <c r="I35" s="162">
        <v>0</v>
      </c>
      <c r="J35" s="162">
        <v>0</v>
      </c>
      <c r="K35" s="162">
        <v>0</v>
      </c>
    </row>
    <row r="36" spans="1:11" ht="25.5" x14ac:dyDescent="0.2">
      <c r="A36" s="7" t="s">
        <v>677</v>
      </c>
      <c r="B36" s="171" t="s">
        <v>137</v>
      </c>
      <c r="C36" s="171" t="s">
        <v>133</v>
      </c>
      <c r="D36" s="171" t="s">
        <v>243</v>
      </c>
      <c r="E36" s="171" t="s">
        <v>23</v>
      </c>
      <c r="F36" s="171" t="s">
        <v>239</v>
      </c>
      <c r="G36" s="171" t="s">
        <v>136</v>
      </c>
      <c r="H36" s="171" t="s">
        <v>140</v>
      </c>
      <c r="I36" s="163">
        <f>I37</f>
        <v>4180000</v>
      </c>
      <c r="J36" s="163">
        <f>J37</f>
        <v>4180000</v>
      </c>
      <c r="K36" s="163">
        <f>K37</f>
        <v>4200000</v>
      </c>
    </row>
    <row r="37" spans="1:11" ht="25.5" x14ac:dyDescent="0.2">
      <c r="A37" s="7" t="s">
        <v>299</v>
      </c>
      <c r="B37" s="171" t="s">
        <v>137</v>
      </c>
      <c r="C37" s="171" t="s">
        <v>133</v>
      </c>
      <c r="D37" s="171" t="s">
        <v>243</v>
      </c>
      <c r="E37" s="173" t="s">
        <v>300</v>
      </c>
      <c r="F37" s="171" t="s">
        <v>239</v>
      </c>
      <c r="G37" s="171" t="s">
        <v>136</v>
      </c>
      <c r="H37" s="171" t="s">
        <v>140</v>
      </c>
      <c r="I37" s="162">
        <v>4180000</v>
      </c>
      <c r="J37" s="162">
        <v>4180000</v>
      </c>
      <c r="K37" s="162">
        <v>4200000</v>
      </c>
    </row>
    <row r="38" spans="1:11" x14ac:dyDescent="0.2">
      <c r="A38" s="7" t="s">
        <v>97</v>
      </c>
      <c r="B38" s="171" t="s">
        <v>137</v>
      </c>
      <c r="C38" s="171" t="s">
        <v>133</v>
      </c>
      <c r="D38" s="171" t="s">
        <v>244</v>
      </c>
      <c r="E38" s="173" t="s">
        <v>135</v>
      </c>
      <c r="F38" s="171" t="s">
        <v>134</v>
      </c>
      <c r="G38" s="171" t="s">
        <v>136</v>
      </c>
      <c r="H38" s="171" t="s">
        <v>169</v>
      </c>
      <c r="I38" s="163">
        <f>I41+I39</f>
        <v>712400</v>
      </c>
      <c r="J38" s="163">
        <f>J41+J39</f>
        <v>740700</v>
      </c>
      <c r="K38" s="163">
        <f>K41+K39</f>
        <v>770200</v>
      </c>
    </row>
    <row r="39" spans="1:11" x14ac:dyDescent="0.2">
      <c r="A39" s="7" t="s">
        <v>256</v>
      </c>
      <c r="B39" s="171" t="s">
        <v>137</v>
      </c>
      <c r="C39" s="171" t="s">
        <v>133</v>
      </c>
      <c r="D39" s="171" t="s">
        <v>244</v>
      </c>
      <c r="E39" s="173" t="s">
        <v>139</v>
      </c>
      <c r="F39" s="171" t="s">
        <v>134</v>
      </c>
      <c r="G39" s="171" t="s">
        <v>136</v>
      </c>
      <c r="H39" s="171" t="s">
        <v>140</v>
      </c>
      <c r="I39" s="163">
        <f>I40</f>
        <v>4000</v>
      </c>
      <c r="J39" s="163">
        <f>J40</f>
        <v>4000</v>
      </c>
      <c r="K39" s="163">
        <f>K40</f>
        <v>4000</v>
      </c>
    </row>
    <row r="40" spans="1:11" ht="38.25" x14ac:dyDescent="0.2">
      <c r="A40" s="7" t="s">
        <v>257</v>
      </c>
      <c r="B40" s="171" t="s">
        <v>137</v>
      </c>
      <c r="C40" s="171" t="s">
        <v>133</v>
      </c>
      <c r="D40" s="171" t="s">
        <v>244</v>
      </c>
      <c r="E40" s="173" t="s">
        <v>258</v>
      </c>
      <c r="F40" s="171" t="s">
        <v>243</v>
      </c>
      <c r="G40" s="171" t="s">
        <v>136</v>
      </c>
      <c r="H40" s="171" t="s">
        <v>140</v>
      </c>
      <c r="I40" s="163">
        <v>4000</v>
      </c>
      <c r="J40" s="163">
        <v>4000</v>
      </c>
      <c r="K40" s="163">
        <v>4000</v>
      </c>
    </row>
    <row r="41" spans="1:11" x14ac:dyDescent="0.2">
      <c r="A41" s="7" t="s">
        <v>98</v>
      </c>
      <c r="B41" s="171" t="s">
        <v>137</v>
      </c>
      <c r="C41" s="171" t="s">
        <v>133</v>
      </c>
      <c r="D41" s="171" t="s">
        <v>244</v>
      </c>
      <c r="E41" s="173" t="s">
        <v>245</v>
      </c>
      <c r="F41" s="171" t="s">
        <v>134</v>
      </c>
      <c r="G41" s="171" t="s">
        <v>136</v>
      </c>
      <c r="H41" s="171" t="s">
        <v>140</v>
      </c>
      <c r="I41" s="163">
        <f>I42+I44</f>
        <v>708400</v>
      </c>
      <c r="J41" s="163">
        <f>J42+J44</f>
        <v>736700</v>
      </c>
      <c r="K41" s="163">
        <f>K42+K44</f>
        <v>766200</v>
      </c>
    </row>
    <row r="42" spans="1:11" x14ac:dyDescent="0.2">
      <c r="A42" s="7" t="s">
        <v>1157</v>
      </c>
      <c r="B42" s="171" t="s">
        <v>137</v>
      </c>
      <c r="C42" s="171" t="s">
        <v>133</v>
      </c>
      <c r="D42" s="171" t="s">
        <v>244</v>
      </c>
      <c r="E42" s="173" t="s">
        <v>1158</v>
      </c>
      <c r="F42" s="171" t="s">
        <v>134</v>
      </c>
      <c r="G42" s="171" t="s">
        <v>136</v>
      </c>
      <c r="H42" s="171" t="s">
        <v>140</v>
      </c>
      <c r="I42" s="163">
        <f>I43</f>
        <v>449500</v>
      </c>
      <c r="J42" s="163">
        <f>J43</f>
        <v>467480</v>
      </c>
      <c r="K42" s="163">
        <f>K43</f>
        <v>486200</v>
      </c>
    </row>
    <row r="43" spans="1:11" ht="25.5" x14ac:dyDescent="0.2">
      <c r="A43" s="7" t="s">
        <v>665</v>
      </c>
      <c r="B43" s="171" t="s">
        <v>137</v>
      </c>
      <c r="C43" s="171" t="s">
        <v>133</v>
      </c>
      <c r="D43" s="171" t="s">
        <v>244</v>
      </c>
      <c r="E43" s="173" t="s">
        <v>666</v>
      </c>
      <c r="F43" s="171" t="s">
        <v>243</v>
      </c>
      <c r="G43" s="171" t="s">
        <v>136</v>
      </c>
      <c r="H43" s="171" t="s">
        <v>140</v>
      </c>
      <c r="I43" s="163">
        <v>449500</v>
      </c>
      <c r="J43" s="163">
        <v>467480</v>
      </c>
      <c r="K43" s="163">
        <v>486200</v>
      </c>
    </row>
    <row r="44" spans="1:11" x14ac:dyDescent="0.2">
      <c r="A44" s="7" t="s">
        <v>1159</v>
      </c>
      <c r="B44" s="171" t="s">
        <v>137</v>
      </c>
      <c r="C44" s="171" t="s">
        <v>133</v>
      </c>
      <c r="D44" s="171" t="s">
        <v>244</v>
      </c>
      <c r="E44" s="173" t="s">
        <v>1160</v>
      </c>
      <c r="F44" s="171" t="s">
        <v>134</v>
      </c>
      <c r="G44" s="171" t="s">
        <v>136</v>
      </c>
      <c r="H44" s="171" t="s">
        <v>140</v>
      </c>
      <c r="I44" s="163">
        <f>I45</f>
        <v>258900</v>
      </c>
      <c r="J44" s="163">
        <f>J45</f>
        <v>269220</v>
      </c>
      <c r="K44" s="163">
        <f>K45</f>
        <v>280000</v>
      </c>
    </row>
    <row r="45" spans="1:11" ht="38.25" x14ac:dyDescent="0.2">
      <c r="A45" s="7" t="s">
        <v>668</v>
      </c>
      <c r="B45" s="171" t="s">
        <v>137</v>
      </c>
      <c r="C45" s="171" t="s">
        <v>133</v>
      </c>
      <c r="D45" s="171" t="s">
        <v>244</v>
      </c>
      <c r="E45" s="171" t="s">
        <v>667</v>
      </c>
      <c r="F45" s="171" t="s">
        <v>243</v>
      </c>
      <c r="G45" s="171" t="s">
        <v>136</v>
      </c>
      <c r="H45" s="171" t="s">
        <v>140</v>
      </c>
      <c r="I45" s="163">
        <v>258900</v>
      </c>
      <c r="J45" s="163">
        <v>269220</v>
      </c>
      <c r="K45" s="163">
        <v>280000</v>
      </c>
    </row>
    <row r="46" spans="1:11" x14ac:dyDescent="0.2">
      <c r="A46" s="7" t="s">
        <v>21</v>
      </c>
      <c r="B46" s="171" t="s">
        <v>169</v>
      </c>
      <c r="C46" s="171" t="s">
        <v>133</v>
      </c>
      <c r="D46" s="171" t="s">
        <v>33</v>
      </c>
      <c r="E46" s="171" t="s">
        <v>135</v>
      </c>
      <c r="F46" s="171" t="s">
        <v>134</v>
      </c>
      <c r="G46" s="171" t="s">
        <v>136</v>
      </c>
      <c r="H46" s="171" t="s">
        <v>169</v>
      </c>
      <c r="I46" s="163">
        <f>I47+I49</f>
        <v>5265000</v>
      </c>
      <c r="J46" s="163">
        <f>J47+J49</f>
        <v>5315000</v>
      </c>
      <c r="K46" s="163">
        <f>K47+K49</f>
        <v>5365000</v>
      </c>
    </row>
    <row r="47" spans="1:11" ht="25.5" x14ac:dyDescent="0.2">
      <c r="A47" s="7" t="s">
        <v>99</v>
      </c>
      <c r="B47" s="171" t="s">
        <v>169</v>
      </c>
      <c r="C47" s="171" t="s">
        <v>133</v>
      </c>
      <c r="D47" s="171" t="s">
        <v>33</v>
      </c>
      <c r="E47" s="171" t="s">
        <v>34</v>
      </c>
      <c r="F47" s="171" t="s">
        <v>138</v>
      </c>
      <c r="G47" s="171" t="s">
        <v>136</v>
      </c>
      <c r="H47" s="171" t="s">
        <v>140</v>
      </c>
      <c r="I47" s="163">
        <f>I48</f>
        <v>5250000</v>
      </c>
      <c r="J47" s="163">
        <f>J48</f>
        <v>5300000</v>
      </c>
      <c r="K47" s="163">
        <f>K48</f>
        <v>5350000</v>
      </c>
    </row>
    <row r="48" spans="1:11" ht="38.25" x14ac:dyDescent="0.2">
      <c r="A48" s="7" t="s">
        <v>1164</v>
      </c>
      <c r="B48" s="171" t="s">
        <v>137</v>
      </c>
      <c r="C48" s="171" t="s">
        <v>133</v>
      </c>
      <c r="D48" s="171" t="s">
        <v>33</v>
      </c>
      <c r="E48" s="171" t="s">
        <v>218</v>
      </c>
      <c r="F48" s="171" t="s">
        <v>138</v>
      </c>
      <c r="G48" s="171" t="s">
        <v>136</v>
      </c>
      <c r="H48" s="171" t="s">
        <v>140</v>
      </c>
      <c r="I48" s="163">
        <v>5250000</v>
      </c>
      <c r="J48" s="163">
        <v>5300000</v>
      </c>
      <c r="K48" s="163">
        <v>5350000</v>
      </c>
    </row>
    <row r="49" spans="1:11" ht="25.5" x14ac:dyDescent="0.2">
      <c r="A49" s="7" t="s">
        <v>1353</v>
      </c>
      <c r="B49" s="171" t="s">
        <v>5</v>
      </c>
      <c r="C49" s="171" t="s">
        <v>133</v>
      </c>
      <c r="D49" s="171" t="s">
        <v>33</v>
      </c>
      <c r="E49" s="171" t="s">
        <v>1354</v>
      </c>
      <c r="F49" s="171" t="s">
        <v>138</v>
      </c>
      <c r="G49" s="171" t="s">
        <v>136</v>
      </c>
      <c r="H49" s="171" t="s">
        <v>140</v>
      </c>
      <c r="I49" s="163">
        <v>15000</v>
      </c>
      <c r="J49" s="163">
        <v>15000</v>
      </c>
      <c r="K49" s="163">
        <v>15000</v>
      </c>
    </row>
    <row r="50" spans="1:11" ht="25.5" x14ac:dyDescent="0.2">
      <c r="A50" s="7" t="s">
        <v>107</v>
      </c>
      <c r="B50" s="171" t="s">
        <v>169</v>
      </c>
      <c r="C50" s="171" t="s">
        <v>133</v>
      </c>
      <c r="D50" s="171" t="s">
        <v>29</v>
      </c>
      <c r="E50" s="173" t="s">
        <v>135</v>
      </c>
      <c r="F50" s="171" t="s">
        <v>134</v>
      </c>
      <c r="G50" s="171" t="s">
        <v>136</v>
      </c>
      <c r="H50" s="171" t="s">
        <v>169</v>
      </c>
      <c r="I50" s="163">
        <f>I51+I59+I62</f>
        <v>47831600</v>
      </c>
      <c r="J50" s="163">
        <f>J51+J59+J62</f>
        <v>51973800</v>
      </c>
      <c r="K50" s="163">
        <f>K51+K59+K62</f>
        <v>56508800</v>
      </c>
    </row>
    <row r="51" spans="1:11" ht="63.75" x14ac:dyDescent="0.2">
      <c r="A51" s="174" t="s">
        <v>1165</v>
      </c>
      <c r="B51" s="171" t="s">
        <v>169</v>
      </c>
      <c r="C51" s="171" t="s">
        <v>133</v>
      </c>
      <c r="D51" s="171" t="s">
        <v>29</v>
      </c>
      <c r="E51" s="173" t="s">
        <v>31</v>
      </c>
      <c r="F51" s="171" t="s">
        <v>134</v>
      </c>
      <c r="G51" s="171" t="s">
        <v>136</v>
      </c>
      <c r="H51" s="171" t="s">
        <v>30</v>
      </c>
      <c r="I51" s="163">
        <f>I52+I56+I54</f>
        <v>47571100</v>
      </c>
      <c r="J51" s="163">
        <f>J52+J56+J54</f>
        <v>51715300</v>
      </c>
      <c r="K51" s="163">
        <f>K52+K56+K54</f>
        <v>56250300</v>
      </c>
    </row>
    <row r="52" spans="1:11" ht="51" x14ac:dyDescent="0.2">
      <c r="A52" s="174" t="s">
        <v>229</v>
      </c>
      <c r="B52" s="171" t="s">
        <v>169</v>
      </c>
      <c r="C52" s="171" t="s">
        <v>133</v>
      </c>
      <c r="D52" s="171" t="s">
        <v>29</v>
      </c>
      <c r="E52" s="173" t="s">
        <v>228</v>
      </c>
      <c r="F52" s="171" t="s">
        <v>134</v>
      </c>
      <c r="G52" s="171" t="s">
        <v>136</v>
      </c>
      <c r="H52" s="171" t="s">
        <v>30</v>
      </c>
      <c r="I52" s="163">
        <f>I53</f>
        <v>37500000</v>
      </c>
      <c r="J52" s="163">
        <f>J53</f>
        <v>41250000</v>
      </c>
      <c r="K52" s="163">
        <f>K53</f>
        <v>45375000</v>
      </c>
    </row>
    <row r="53" spans="1:11" ht="76.5" x14ac:dyDescent="0.2">
      <c r="A53" s="174" t="s">
        <v>1312</v>
      </c>
      <c r="B53" s="171" t="s">
        <v>68</v>
      </c>
      <c r="C53" s="171" t="s">
        <v>133</v>
      </c>
      <c r="D53" s="171" t="s">
        <v>29</v>
      </c>
      <c r="E53" s="173" t="s">
        <v>259</v>
      </c>
      <c r="F53" s="171" t="s">
        <v>243</v>
      </c>
      <c r="G53" s="171" t="s">
        <v>136</v>
      </c>
      <c r="H53" s="171" t="s">
        <v>30</v>
      </c>
      <c r="I53" s="163">
        <v>37500000</v>
      </c>
      <c r="J53" s="163">
        <v>41250000</v>
      </c>
      <c r="K53" s="163">
        <v>45375000</v>
      </c>
    </row>
    <row r="54" spans="1:11" ht="63.75" x14ac:dyDescent="0.2">
      <c r="A54" s="7" t="s">
        <v>1166</v>
      </c>
      <c r="B54" s="171" t="s">
        <v>68</v>
      </c>
      <c r="C54" s="171" t="s">
        <v>133</v>
      </c>
      <c r="D54" s="171" t="s">
        <v>29</v>
      </c>
      <c r="E54" s="173" t="s">
        <v>206</v>
      </c>
      <c r="F54" s="171" t="s">
        <v>134</v>
      </c>
      <c r="G54" s="171" t="s">
        <v>136</v>
      </c>
      <c r="H54" s="171" t="s">
        <v>30</v>
      </c>
      <c r="I54" s="163">
        <f>I55</f>
        <v>200000</v>
      </c>
      <c r="J54" s="163">
        <f>J55</f>
        <v>200000</v>
      </c>
      <c r="K54" s="163">
        <f>K55</f>
        <v>200000</v>
      </c>
    </row>
    <row r="55" spans="1:11" ht="63.75" x14ac:dyDescent="0.2">
      <c r="A55" s="7" t="s">
        <v>1167</v>
      </c>
      <c r="B55" s="171" t="s">
        <v>68</v>
      </c>
      <c r="C55" s="171" t="s">
        <v>133</v>
      </c>
      <c r="D55" s="171" t="s">
        <v>29</v>
      </c>
      <c r="E55" s="173" t="s">
        <v>207</v>
      </c>
      <c r="F55" s="171" t="s">
        <v>243</v>
      </c>
      <c r="G55" s="171" t="s">
        <v>136</v>
      </c>
      <c r="H55" s="171" t="s">
        <v>30</v>
      </c>
      <c r="I55" s="163">
        <v>200000</v>
      </c>
      <c r="J55" s="163">
        <v>200000</v>
      </c>
      <c r="K55" s="163">
        <v>200000</v>
      </c>
    </row>
    <row r="56" spans="1:11" ht="63.75" x14ac:dyDescent="0.2">
      <c r="A56" s="7" t="s">
        <v>1168</v>
      </c>
      <c r="B56" s="171" t="s">
        <v>169</v>
      </c>
      <c r="C56" s="171" t="s">
        <v>133</v>
      </c>
      <c r="D56" s="171" t="s">
        <v>29</v>
      </c>
      <c r="E56" s="173" t="s">
        <v>208</v>
      </c>
      <c r="F56" s="171" t="s">
        <v>134</v>
      </c>
      <c r="G56" s="171" t="s">
        <v>136</v>
      </c>
      <c r="H56" s="171" t="s">
        <v>30</v>
      </c>
      <c r="I56" s="163">
        <f>I58+I57</f>
        <v>9871100</v>
      </c>
      <c r="J56" s="163">
        <f>J58+J57</f>
        <v>10265300</v>
      </c>
      <c r="K56" s="163">
        <f>K58+K57</f>
        <v>10675300</v>
      </c>
    </row>
    <row r="57" spans="1:11" ht="51" x14ac:dyDescent="0.2">
      <c r="A57" s="7" t="s">
        <v>1169</v>
      </c>
      <c r="B57" s="171" t="s">
        <v>5</v>
      </c>
      <c r="C57" s="171" t="s">
        <v>133</v>
      </c>
      <c r="D57" s="171" t="s">
        <v>29</v>
      </c>
      <c r="E57" s="173" t="s">
        <v>209</v>
      </c>
      <c r="F57" s="171" t="s">
        <v>243</v>
      </c>
      <c r="G57" s="171" t="s">
        <v>136</v>
      </c>
      <c r="H57" s="171" t="s">
        <v>30</v>
      </c>
      <c r="I57" s="163">
        <v>15000</v>
      </c>
      <c r="J57" s="163">
        <v>15000</v>
      </c>
      <c r="K57" s="163">
        <v>15000</v>
      </c>
    </row>
    <row r="58" spans="1:11" ht="51" x14ac:dyDescent="0.2">
      <c r="A58" s="7" t="s">
        <v>1169</v>
      </c>
      <c r="B58" s="171" t="s">
        <v>68</v>
      </c>
      <c r="C58" s="171" t="s">
        <v>133</v>
      </c>
      <c r="D58" s="171" t="s">
        <v>29</v>
      </c>
      <c r="E58" s="173" t="s">
        <v>209</v>
      </c>
      <c r="F58" s="171" t="s">
        <v>243</v>
      </c>
      <c r="G58" s="171" t="s">
        <v>136</v>
      </c>
      <c r="H58" s="171" t="s">
        <v>30</v>
      </c>
      <c r="I58" s="163">
        <v>9856100</v>
      </c>
      <c r="J58" s="163">
        <v>10250300</v>
      </c>
      <c r="K58" s="163">
        <v>10660300</v>
      </c>
    </row>
    <row r="59" spans="1:11" x14ac:dyDescent="0.2">
      <c r="A59" s="7" t="s">
        <v>10</v>
      </c>
      <c r="B59" s="171" t="s">
        <v>68</v>
      </c>
      <c r="C59" s="171" t="s">
        <v>133</v>
      </c>
      <c r="D59" s="171" t="s">
        <v>29</v>
      </c>
      <c r="E59" s="173" t="s">
        <v>219</v>
      </c>
      <c r="F59" s="171" t="s">
        <v>134</v>
      </c>
      <c r="G59" s="171" t="s">
        <v>136</v>
      </c>
      <c r="H59" s="171" t="s">
        <v>30</v>
      </c>
      <c r="I59" s="163">
        <f t="shared" ref="I59:K60" si="1">I60</f>
        <v>13000</v>
      </c>
      <c r="J59" s="163">
        <f t="shared" si="1"/>
        <v>11000</v>
      </c>
      <c r="K59" s="163">
        <f t="shared" si="1"/>
        <v>11000</v>
      </c>
    </row>
    <row r="60" spans="1:11" ht="38.25" x14ac:dyDescent="0.2">
      <c r="A60" s="7" t="s">
        <v>11</v>
      </c>
      <c r="B60" s="171" t="s">
        <v>68</v>
      </c>
      <c r="C60" s="171" t="s">
        <v>133</v>
      </c>
      <c r="D60" s="171" t="s">
        <v>29</v>
      </c>
      <c r="E60" s="173" t="s">
        <v>210</v>
      </c>
      <c r="F60" s="171" t="s">
        <v>134</v>
      </c>
      <c r="G60" s="171" t="s">
        <v>136</v>
      </c>
      <c r="H60" s="171" t="s">
        <v>30</v>
      </c>
      <c r="I60" s="163">
        <f t="shared" si="1"/>
        <v>13000</v>
      </c>
      <c r="J60" s="163">
        <f t="shared" si="1"/>
        <v>11000</v>
      </c>
      <c r="K60" s="163">
        <f t="shared" si="1"/>
        <v>11000</v>
      </c>
    </row>
    <row r="61" spans="1:11" ht="38.25" x14ac:dyDescent="0.2">
      <c r="A61" s="7" t="s">
        <v>127</v>
      </c>
      <c r="B61" s="171" t="s">
        <v>68</v>
      </c>
      <c r="C61" s="171" t="s">
        <v>133</v>
      </c>
      <c r="D61" s="171" t="s">
        <v>29</v>
      </c>
      <c r="E61" s="173" t="s">
        <v>211</v>
      </c>
      <c r="F61" s="171" t="s">
        <v>243</v>
      </c>
      <c r="G61" s="171" t="s">
        <v>136</v>
      </c>
      <c r="H61" s="171" t="s">
        <v>30</v>
      </c>
      <c r="I61" s="163">
        <v>13000</v>
      </c>
      <c r="J61" s="163">
        <v>11000</v>
      </c>
      <c r="K61" s="163">
        <v>11000</v>
      </c>
    </row>
    <row r="62" spans="1:11" ht="63.75" x14ac:dyDescent="0.2">
      <c r="A62" s="7" t="s">
        <v>678</v>
      </c>
      <c r="B62" s="181" t="s">
        <v>68</v>
      </c>
      <c r="C62" s="181" t="s">
        <v>133</v>
      </c>
      <c r="D62" s="181" t="s">
        <v>29</v>
      </c>
      <c r="E62" s="182" t="s">
        <v>679</v>
      </c>
      <c r="F62" s="181" t="s">
        <v>243</v>
      </c>
      <c r="G62" s="181" t="s">
        <v>136</v>
      </c>
      <c r="H62" s="181" t="s">
        <v>30</v>
      </c>
      <c r="I62" s="163">
        <f t="shared" ref="I62:K63" si="2">I63</f>
        <v>247500</v>
      </c>
      <c r="J62" s="163">
        <f t="shared" si="2"/>
        <v>247500</v>
      </c>
      <c r="K62" s="163">
        <f t="shared" si="2"/>
        <v>247500</v>
      </c>
    </row>
    <row r="63" spans="1:11" ht="63.75" x14ac:dyDescent="0.2">
      <c r="A63" s="7" t="s">
        <v>680</v>
      </c>
      <c r="B63" s="181" t="s">
        <v>68</v>
      </c>
      <c r="C63" s="181" t="s">
        <v>133</v>
      </c>
      <c r="D63" s="181" t="s">
        <v>29</v>
      </c>
      <c r="E63" s="182" t="s">
        <v>681</v>
      </c>
      <c r="F63" s="181" t="s">
        <v>134</v>
      </c>
      <c r="G63" s="181" t="s">
        <v>136</v>
      </c>
      <c r="H63" s="181" t="s">
        <v>30</v>
      </c>
      <c r="I63" s="163">
        <f t="shared" si="2"/>
        <v>247500</v>
      </c>
      <c r="J63" s="163">
        <f t="shared" si="2"/>
        <v>247500</v>
      </c>
      <c r="K63" s="163">
        <f t="shared" si="2"/>
        <v>247500</v>
      </c>
    </row>
    <row r="64" spans="1:11" ht="63.75" x14ac:dyDescent="0.2">
      <c r="A64" s="7" t="s">
        <v>682</v>
      </c>
      <c r="B64" s="181" t="s">
        <v>68</v>
      </c>
      <c r="C64" s="181" t="s">
        <v>133</v>
      </c>
      <c r="D64" s="181" t="s">
        <v>29</v>
      </c>
      <c r="E64" s="182" t="s">
        <v>683</v>
      </c>
      <c r="F64" s="181" t="s">
        <v>243</v>
      </c>
      <c r="G64" s="181" t="s">
        <v>136</v>
      </c>
      <c r="H64" s="181" t="s">
        <v>30</v>
      </c>
      <c r="I64" s="163">
        <v>247500</v>
      </c>
      <c r="J64" s="163">
        <v>247500</v>
      </c>
      <c r="K64" s="163">
        <v>247500</v>
      </c>
    </row>
    <row r="65" spans="1:14" x14ac:dyDescent="0.2">
      <c r="A65" s="7" t="s">
        <v>128</v>
      </c>
      <c r="B65" s="171" t="s">
        <v>80</v>
      </c>
      <c r="C65" s="171" t="s">
        <v>133</v>
      </c>
      <c r="D65" s="171" t="s">
        <v>212</v>
      </c>
      <c r="E65" s="173" t="s">
        <v>135</v>
      </c>
      <c r="F65" s="171" t="s">
        <v>134</v>
      </c>
      <c r="G65" s="171" t="s">
        <v>136</v>
      </c>
      <c r="H65" s="171" t="s">
        <v>169</v>
      </c>
      <c r="I65" s="163">
        <f>I66</f>
        <v>1086700</v>
      </c>
      <c r="J65" s="163">
        <f>J66</f>
        <v>1130200</v>
      </c>
      <c r="K65" s="163">
        <f>K66</f>
        <v>1175400</v>
      </c>
    </row>
    <row r="66" spans="1:14" x14ac:dyDescent="0.2">
      <c r="A66" s="7" t="s">
        <v>1170</v>
      </c>
      <c r="B66" s="171" t="s">
        <v>80</v>
      </c>
      <c r="C66" s="171" t="s">
        <v>133</v>
      </c>
      <c r="D66" s="171" t="s">
        <v>212</v>
      </c>
      <c r="E66" s="173" t="s">
        <v>139</v>
      </c>
      <c r="F66" s="171" t="s">
        <v>138</v>
      </c>
      <c r="G66" s="171" t="s">
        <v>136</v>
      </c>
      <c r="H66" s="171" t="s">
        <v>30</v>
      </c>
      <c r="I66" s="163">
        <f>I67+I68+I69</f>
        <v>1086700</v>
      </c>
      <c r="J66" s="163">
        <f>J67+J68+J69</f>
        <v>1130200</v>
      </c>
      <c r="K66" s="163">
        <f>K67+K68+K69</f>
        <v>1175400</v>
      </c>
    </row>
    <row r="67" spans="1:14" ht="25.5" x14ac:dyDescent="0.2">
      <c r="A67" s="7" t="s">
        <v>684</v>
      </c>
      <c r="B67" s="171" t="s">
        <v>80</v>
      </c>
      <c r="C67" s="171" t="s">
        <v>133</v>
      </c>
      <c r="D67" s="171" t="s">
        <v>212</v>
      </c>
      <c r="E67" s="173" t="s">
        <v>237</v>
      </c>
      <c r="F67" s="171" t="s">
        <v>138</v>
      </c>
      <c r="G67" s="171" t="s">
        <v>136</v>
      </c>
      <c r="H67" s="171" t="s">
        <v>30</v>
      </c>
      <c r="I67" s="163">
        <v>666700</v>
      </c>
      <c r="J67" s="163">
        <v>674200</v>
      </c>
      <c r="K67" s="163">
        <v>700400</v>
      </c>
    </row>
    <row r="68" spans="1:14" x14ac:dyDescent="0.2">
      <c r="A68" s="52" t="s">
        <v>685</v>
      </c>
      <c r="B68" s="171" t="s">
        <v>80</v>
      </c>
      <c r="C68" s="171" t="s">
        <v>133</v>
      </c>
      <c r="D68" s="171" t="s">
        <v>212</v>
      </c>
      <c r="E68" s="173" t="s">
        <v>258</v>
      </c>
      <c r="F68" s="171" t="s">
        <v>138</v>
      </c>
      <c r="G68" s="171" t="s">
        <v>136</v>
      </c>
      <c r="H68" s="171" t="s">
        <v>30</v>
      </c>
      <c r="I68" s="163">
        <v>120000</v>
      </c>
      <c r="J68" s="163">
        <v>122000</v>
      </c>
      <c r="K68" s="163">
        <v>125000</v>
      </c>
    </row>
    <row r="69" spans="1:14" x14ac:dyDescent="0.2">
      <c r="A69" s="52" t="s">
        <v>686</v>
      </c>
      <c r="B69" s="171" t="s">
        <v>80</v>
      </c>
      <c r="C69" s="171" t="s">
        <v>133</v>
      </c>
      <c r="D69" s="171" t="s">
        <v>212</v>
      </c>
      <c r="E69" s="173" t="s">
        <v>302</v>
      </c>
      <c r="F69" s="171" t="s">
        <v>138</v>
      </c>
      <c r="G69" s="171" t="s">
        <v>136</v>
      </c>
      <c r="H69" s="171" t="s">
        <v>30</v>
      </c>
      <c r="I69" s="163">
        <f>I70</f>
        <v>300000</v>
      </c>
      <c r="J69" s="163">
        <f>J70</f>
        <v>334000</v>
      </c>
      <c r="K69" s="163">
        <f>K70</f>
        <v>350000</v>
      </c>
      <c r="L69" s="125"/>
      <c r="M69" s="125"/>
      <c r="N69" s="125"/>
    </row>
    <row r="70" spans="1:14" x14ac:dyDescent="0.2">
      <c r="A70" s="302" t="s">
        <v>1400</v>
      </c>
      <c r="B70" s="171" t="s">
        <v>80</v>
      </c>
      <c r="C70" s="171" t="s">
        <v>133</v>
      </c>
      <c r="D70" s="171" t="s">
        <v>212</v>
      </c>
      <c r="E70" s="173" t="s">
        <v>1401</v>
      </c>
      <c r="F70" s="171" t="s">
        <v>138</v>
      </c>
      <c r="G70" s="171" t="s">
        <v>136</v>
      </c>
      <c r="H70" s="171" t="s">
        <v>30</v>
      </c>
      <c r="I70" s="163">
        <v>300000</v>
      </c>
      <c r="J70" s="163">
        <v>334000</v>
      </c>
      <c r="K70" s="163">
        <v>350000</v>
      </c>
      <c r="L70" s="125"/>
      <c r="M70" s="125"/>
      <c r="N70" s="125"/>
    </row>
    <row r="71" spans="1:14" ht="25.5" x14ac:dyDescent="0.2">
      <c r="A71" s="7" t="s">
        <v>1171</v>
      </c>
      <c r="B71" s="171" t="s">
        <v>169</v>
      </c>
      <c r="C71" s="171" t="s">
        <v>133</v>
      </c>
      <c r="D71" s="171" t="s">
        <v>75</v>
      </c>
      <c r="E71" s="173" t="s">
        <v>135</v>
      </c>
      <c r="F71" s="171" t="s">
        <v>134</v>
      </c>
      <c r="G71" s="171" t="s">
        <v>136</v>
      </c>
      <c r="H71" s="171" t="s">
        <v>169</v>
      </c>
      <c r="I71" s="163">
        <f>I74+I79</f>
        <v>32495390</v>
      </c>
      <c r="J71" s="163">
        <f>J74+J79</f>
        <v>32495390</v>
      </c>
      <c r="K71" s="163">
        <f>K74+K79</f>
        <v>32495390</v>
      </c>
    </row>
    <row r="72" spans="1:14" x14ac:dyDescent="0.2">
      <c r="A72" s="7" t="s">
        <v>1172</v>
      </c>
      <c r="B72" s="171" t="s">
        <v>169</v>
      </c>
      <c r="C72" s="171" t="s">
        <v>133</v>
      </c>
      <c r="D72" s="171" t="s">
        <v>75</v>
      </c>
      <c r="E72" s="173" t="s">
        <v>139</v>
      </c>
      <c r="F72" s="171" t="s">
        <v>134</v>
      </c>
      <c r="G72" s="171" t="s">
        <v>136</v>
      </c>
      <c r="H72" s="171" t="s">
        <v>76</v>
      </c>
      <c r="I72" s="163">
        <f t="shared" ref="I72:K73" si="3">I73</f>
        <v>31230500</v>
      </c>
      <c r="J72" s="163">
        <f t="shared" si="3"/>
        <v>31230500</v>
      </c>
      <c r="K72" s="163">
        <f t="shared" si="3"/>
        <v>31230500</v>
      </c>
    </row>
    <row r="73" spans="1:14" x14ac:dyDescent="0.2">
      <c r="A73" s="7" t="s">
        <v>1173</v>
      </c>
      <c r="B73" s="171" t="s">
        <v>169</v>
      </c>
      <c r="C73" s="171" t="s">
        <v>133</v>
      </c>
      <c r="D73" s="171" t="s">
        <v>75</v>
      </c>
      <c r="E73" s="173" t="s">
        <v>1174</v>
      </c>
      <c r="F73" s="171" t="s">
        <v>134</v>
      </c>
      <c r="G73" s="171" t="s">
        <v>136</v>
      </c>
      <c r="H73" s="171" t="s">
        <v>76</v>
      </c>
      <c r="I73" s="163">
        <f t="shared" si="3"/>
        <v>31230500</v>
      </c>
      <c r="J73" s="163">
        <f t="shared" si="3"/>
        <v>31230500</v>
      </c>
      <c r="K73" s="163">
        <f t="shared" si="3"/>
        <v>31230500</v>
      </c>
    </row>
    <row r="74" spans="1:14" ht="25.5" x14ac:dyDescent="0.2">
      <c r="A74" s="7" t="s">
        <v>693</v>
      </c>
      <c r="B74" s="171" t="s">
        <v>169</v>
      </c>
      <c r="C74" s="171" t="s">
        <v>133</v>
      </c>
      <c r="D74" s="171" t="s">
        <v>75</v>
      </c>
      <c r="E74" s="173" t="s">
        <v>261</v>
      </c>
      <c r="F74" s="171" t="s">
        <v>243</v>
      </c>
      <c r="G74" s="171" t="s">
        <v>136</v>
      </c>
      <c r="H74" s="171" t="s">
        <v>76</v>
      </c>
      <c r="I74" s="163">
        <f>I77+I78+I75+I76</f>
        <v>31230500</v>
      </c>
      <c r="J74" s="163">
        <f>J77+J78+J75+J76</f>
        <v>31230500</v>
      </c>
      <c r="K74" s="163">
        <f>K77+K78+K75+K76</f>
        <v>31230500</v>
      </c>
    </row>
    <row r="75" spans="1:14" ht="25.5" hidden="1" x14ac:dyDescent="0.2">
      <c r="A75" s="7" t="s">
        <v>260</v>
      </c>
      <c r="B75" s="171" t="s">
        <v>246</v>
      </c>
      <c r="C75" s="171" t="s">
        <v>133</v>
      </c>
      <c r="D75" s="171" t="s">
        <v>75</v>
      </c>
      <c r="E75" s="173" t="s">
        <v>261</v>
      </c>
      <c r="F75" s="171" t="s">
        <v>243</v>
      </c>
      <c r="G75" s="171" t="s">
        <v>136</v>
      </c>
      <c r="H75" s="171" t="s">
        <v>76</v>
      </c>
      <c r="I75" s="163">
        <v>0</v>
      </c>
      <c r="J75" s="163">
        <v>0</v>
      </c>
      <c r="K75" s="162">
        <v>0</v>
      </c>
    </row>
    <row r="76" spans="1:14" ht="25.5" x14ac:dyDescent="0.2">
      <c r="A76" s="7" t="s">
        <v>260</v>
      </c>
      <c r="B76" s="171" t="s">
        <v>1009</v>
      </c>
      <c r="C76" s="171" t="s">
        <v>133</v>
      </c>
      <c r="D76" s="171" t="s">
        <v>75</v>
      </c>
      <c r="E76" s="173" t="s">
        <v>261</v>
      </c>
      <c r="F76" s="171" t="s">
        <v>243</v>
      </c>
      <c r="G76" s="171" t="s">
        <v>136</v>
      </c>
      <c r="H76" s="171" t="s">
        <v>76</v>
      </c>
      <c r="I76" s="163">
        <v>2447500</v>
      </c>
      <c r="J76" s="163">
        <v>2447500</v>
      </c>
      <c r="K76" s="162">
        <v>2447500</v>
      </c>
    </row>
    <row r="77" spans="1:14" ht="51" x14ac:dyDescent="0.2">
      <c r="A77" s="7" t="s">
        <v>351</v>
      </c>
      <c r="B77" s="171" t="s">
        <v>220</v>
      </c>
      <c r="C77" s="171" t="s">
        <v>133</v>
      </c>
      <c r="D77" s="171" t="s">
        <v>75</v>
      </c>
      <c r="E77" s="173" t="s">
        <v>261</v>
      </c>
      <c r="F77" s="171" t="s">
        <v>243</v>
      </c>
      <c r="G77" s="171" t="s">
        <v>8</v>
      </c>
      <c r="H77" s="171" t="s">
        <v>76</v>
      </c>
      <c r="I77" s="162">
        <v>23383000</v>
      </c>
      <c r="J77" s="162">
        <v>23383000</v>
      </c>
      <c r="K77" s="162">
        <v>23383000</v>
      </c>
    </row>
    <row r="78" spans="1:14" ht="63.75" x14ac:dyDescent="0.2">
      <c r="A78" s="7" t="s">
        <v>353</v>
      </c>
      <c r="B78" s="171" t="s">
        <v>220</v>
      </c>
      <c r="C78" s="171" t="s">
        <v>133</v>
      </c>
      <c r="D78" s="171" t="s">
        <v>75</v>
      </c>
      <c r="E78" s="173" t="s">
        <v>261</v>
      </c>
      <c r="F78" s="171" t="s">
        <v>243</v>
      </c>
      <c r="G78" s="171" t="s">
        <v>274</v>
      </c>
      <c r="H78" s="171" t="s">
        <v>76</v>
      </c>
      <c r="I78" s="162">
        <v>5400000</v>
      </c>
      <c r="J78" s="162">
        <v>5400000</v>
      </c>
      <c r="K78" s="162">
        <v>5400000</v>
      </c>
    </row>
    <row r="79" spans="1:14" x14ac:dyDescent="0.2">
      <c r="A79" s="7" t="s">
        <v>1175</v>
      </c>
      <c r="B79" s="171" t="s">
        <v>169</v>
      </c>
      <c r="C79" s="171" t="s">
        <v>133</v>
      </c>
      <c r="D79" s="171" t="s">
        <v>75</v>
      </c>
      <c r="E79" s="173" t="s">
        <v>240</v>
      </c>
      <c r="F79" s="171" t="s">
        <v>134</v>
      </c>
      <c r="G79" s="171" t="s">
        <v>136</v>
      </c>
      <c r="H79" s="171" t="s">
        <v>76</v>
      </c>
      <c r="I79" s="162">
        <f>I80+I83</f>
        <v>1264890</v>
      </c>
      <c r="J79" s="162">
        <f t="shared" ref="I79:K81" si="4">J80</f>
        <v>1264890</v>
      </c>
      <c r="K79" s="162">
        <f t="shared" si="4"/>
        <v>1264890</v>
      </c>
    </row>
    <row r="80" spans="1:14" ht="25.5" x14ac:dyDescent="0.2">
      <c r="A80" s="7" t="s">
        <v>1176</v>
      </c>
      <c r="B80" s="171" t="s">
        <v>169</v>
      </c>
      <c r="C80" s="171" t="s">
        <v>133</v>
      </c>
      <c r="D80" s="171" t="s">
        <v>75</v>
      </c>
      <c r="E80" s="173" t="s">
        <v>1177</v>
      </c>
      <c r="F80" s="171" t="s">
        <v>134</v>
      </c>
      <c r="G80" s="171" t="s">
        <v>136</v>
      </c>
      <c r="H80" s="171" t="s">
        <v>76</v>
      </c>
      <c r="I80" s="162">
        <f t="shared" si="4"/>
        <v>1264890</v>
      </c>
      <c r="J80" s="162">
        <f t="shared" si="4"/>
        <v>1264890</v>
      </c>
      <c r="K80" s="162">
        <f t="shared" si="4"/>
        <v>1264890</v>
      </c>
    </row>
    <row r="81" spans="1:11" ht="25.5" x14ac:dyDescent="0.2">
      <c r="A81" s="7" t="s">
        <v>586</v>
      </c>
      <c r="B81" s="171" t="s">
        <v>5</v>
      </c>
      <c r="C81" s="171" t="s">
        <v>133</v>
      </c>
      <c r="D81" s="171" t="s">
        <v>75</v>
      </c>
      <c r="E81" s="173" t="s">
        <v>587</v>
      </c>
      <c r="F81" s="171" t="s">
        <v>243</v>
      </c>
      <c r="G81" s="171" t="s">
        <v>136</v>
      </c>
      <c r="H81" s="171" t="s">
        <v>76</v>
      </c>
      <c r="I81" s="162">
        <f t="shared" si="4"/>
        <v>1264890</v>
      </c>
      <c r="J81" s="162">
        <f t="shared" si="4"/>
        <v>1264890</v>
      </c>
      <c r="K81" s="162">
        <f t="shared" si="4"/>
        <v>1264890</v>
      </c>
    </row>
    <row r="82" spans="1:11" ht="37.5" customHeight="1" x14ac:dyDescent="0.2">
      <c r="A82" s="7" t="s">
        <v>355</v>
      </c>
      <c r="B82" s="171" t="s">
        <v>5</v>
      </c>
      <c r="C82" s="171" t="s">
        <v>133</v>
      </c>
      <c r="D82" s="171" t="s">
        <v>75</v>
      </c>
      <c r="E82" s="173" t="s">
        <v>587</v>
      </c>
      <c r="F82" s="171" t="s">
        <v>243</v>
      </c>
      <c r="G82" s="171" t="s">
        <v>588</v>
      </c>
      <c r="H82" s="171" t="s">
        <v>76</v>
      </c>
      <c r="I82" s="162">
        <v>1264890</v>
      </c>
      <c r="J82" s="162">
        <v>1264890</v>
      </c>
      <c r="K82" s="163">
        <v>1264890</v>
      </c>
    </row>
    <row r="83" spans="1:11" ht="24.75" hidden="1" customHeight="1" x14ac:dyDescent="0.2">
      <c r="A83" s="7" t="s">
        <v>334</v>
      </c>
      <c r="B83" s="171" t="s">
        <v>169</v>
      </c>
      <c r="C83" s="171" t="s">
        <v>133</v>
      </c>
      <c r="D83" s="171" t="s">
        <v>75</v>
      </c>
      <c r="E83" s="173" t="s">
        <v>1376</v>
      </c>
      <c r="F83" s="171" t="s">
        <v>134</v>
      </c>
      <c r="G83" s="171" t="s">
        <v>136</v>
      </c>
      <c r="H83" s="171" t="s">
        <v>76</v>
      </c>
      <c r="I83" s="162">
        <f>I84</f>
        <v>0</v>
      </c>
      <c r="J83" s="162"/>
      <c r="K83" s="163"/>
    </row>
    <row r="84" spans="1:11" ht="24.75" hidden="1" customHeight="1" x14ac:dyDescent="0.2">
      <c r="A84" s="7" t="s">
        <v>1374</v>
      </c>
      <c r="B84" s="171" t="s">
        <v>169</v>
      </c>
      <c r="C84" s="171" t="s">
        <v>133</v>
      </c>
      <c r="D84" s="171" t="s">
        <v>75</v>
      </c>
      <c r="E84" s="173" t="s">
        <v>1377</v>
      </c>
      <c r="F84" s="171" t="s">
        <v>243</v>
      </c>
      <c r="G84" s="171" t="s">
        <v>136</v>
      </c>
      <c r="H84" s="171" t="s">
        <v>76</v>
      </c>
      <c r="I84" s="162">
        <f>I85</f>
        <v>0</v>
      </c>
      <c r="J84" s="162"/>
      <c r="K84" s="163"/>
    </row>
    <row r="85" spans="1:11" ht="24.75" hidden="1" customHeight="1" x14ac:dyDescent="0.2">
      <c r="A85" s="7" t="s">
        <v>1374</v>
      </c>
      <c r="B85" s="171" t="s">
        <v>5</v>
      </c>
      <c r="C85" s="171" t="s">
        <v>133</v>
      </c>
      <c r="D85" s="171" t="s">
        <v>75</v>
      </c>
      <c r="E85" s="173" t="s">
        <v>1377</v>
      </c>
      <c r="F85" s="171" t="s">
        <v>243</v>
      </c>
      <c r="G85" s="171" t="s">
        <v>1371</v>
      </c>
      <c r="H85" s="171" t="s">
        <v>76</v>
      </c>
      <c r="I85" s="290"/>
      <c r="J85" s="162"/>
      <c r="K85" s="163"/>
    </row>
    <row r="86" spans="1:11" ht="24.75" customHeight="1" x14ac:dyDescent="0.2">
      <c r="A86" s="7" t="s">
        <v>129</v>
      </c>
      <c r="B86" s="171" t="s">
        <v>68</v>
      </c>
      <c r="C86" s="171" t="s">
        <v>133</v>
      </c>
      <c r="D86" s="171" t="s">
        <v>77</v>
      </c>
      <c r="E86" s="173" t="s">
        <v>135</v>
      </c>
      <c r="F86" s="171" t="s">
        <v>134</v>
      </c>
      <c r="G86" s="171" t="s">
        <v>136</v>
      </c>
      <c r="H86" s="171" t="s">
        <v>169</v>
      </c>
      <c r="I86" s="163">
        <f>I87+I90</f>
        <v>8530000</v>
      </c>
      <c r="J86" s="163">
        <f>J87+J90</f>
        <v>1300000</v>
      </c>
      <c r="K86" s="163">
        <f>K87+K90</f>
        <v>1000000</v>
      </c>
    </row>
    <row r="87" spans="1:11" ht="63.75" x14ac:dyDescent="0.2">
      <c r="A87" s="7" t="s">
        <v>1178</v>
      </c>
      <c r="B87" s="171" t="s">
        <v>68</v>
      </c>
      <c r="C87" s="171" t="s">
        <v>133</v>
      </c>
      <c r="D87" s="171" t="s">
        <v>77</v>
      </c>
      <c r="E87" s="173" t="s">
        <v>240</v>
      </c>
      <c r="F87" s="171" t="s">
        <v>134</v>
      </c>
      <c r="G87" s="171" t="s">
        <v>136</v>
      </c>
      <c r="H87" s="171" t="s">
        <v>169</v>
      </c>
      <c r="I87" s="163">
        <f t="shared" ref="I87:K88" si="5">I88</f>
        <v>4830000</v>
      </c>
      <c r="J87" s="163">
        <f t="shared" si="5"/>
        <v>300000</v>
      </c>
      <c r="K87" s="163">
        <f t="shared" si="5"/>
        <v>0</v>
      </c>
    </row>
    <row r="88" spans="1:11" ht="76.5" x14ac:dyDescent="0.2">
      <c r="A88" s="7" t="s">
        <v>1179</v>
      </c>
      <c r="B88" s="171" t="s">
        <v>68</v>
      </c>
      <c r="C88" s="171" t="s">
        <v>133</v>
      </c>
      <c r="D88" s="171" t="s">
        <v>77</v>
      </c>
      <c r="E88" s="173" t="s">
        <v>275</v>
      </c>
      <c r="F88" s="171" t="s">
        <v>243</v>
      </c>
      <c r="G88" s="171" t="s">
        <v>136</v>
      </c>
      <c r="H88" s="171" t="s">
        <v>79</v>
      </c>
      <c r="I88" s="163">
        <f t="shared" si="5"/>
        <v>4830000</v>
      </c>
      <c r="J88" s="163">
        <f t="shared" si="5"/>
        <v>300000</v>
      </c>
      <c r="K88" s="163">
        <f t="shared" si="5"/>
        <v>0</v>
      </c>
    </row>
    <row r="89" spans="1:11" ht="76.5" x14ac:dyDescent="0.2">
      <c r="A89" s="7" t="s">
        <v>1180</v>
      </c>
      <c r="B89" s="171" t="s">
        <v>68</v>
      </c>
      <c r="C89" s="171" t="s">
        <v>133</v>
      </c>
      <c r="D89" s="171" t="s">
        <v>77</v>
      </c>
      <c r="E89" s="173" t="s">
        <v>262</v>
      </c>
      <c r="F89" s="171" t="s">
        <v>243</v>
      </c>
      <c r="G89" s="171" t="s">
        <v>136</v>
      </c>
      <c r="H89" s="171" t="s">
        <v>79</v>
      </c>
      <c r="I89" s="163">
        <v>4830000</v>
      </c>
      <c r="J89" s="163">
        <v>300000</v>
      </c>
      <c r="K89" s="163">
        <v>0</v>
      </c>
    </row>
    <row r="90" spans="1:11" ht="25.5" x14ac:dyDescent="0.2">
      <c r="A90" s="7" t="s">
        <v>1181</v>
      </c>
      <c r="B90" s="171" t="s">
        <v>68</v>
      </c>
      <c r="C90" s="171" t="s">
        <v>133</v>
      </c>
      <c r="D90" s="171" t="s">
        <v>77</v>
      </c>
      <c r="E90" s="173" t="s">
        <v>245</v>
      </c>
      <c r="F90" s="171" t="s">
        <v>134</v>
      </c>
      <c r="G90" s="171" t="s">
        <v>136</v>
      </c>
      <c r="H90" s="171" t="s">
        <v>1</v>
      </c>
      <c r="I90" s="163">
        <f>I91+I94</f>
        <v>3700000</v>
      </c>
      <c r="J90" s="163">
        <f>J91+J94</f>
        <v>1000000</v>
      </c>
      <c r="K90" s="163">
        <f>K91+K94</f>
        <v>1000000</v>
      </c>
    </row>
    <row r="91" spans="1:11" ht="25.5" x14ac:dyDescent="0.2">
      <c r="A91" s="7" t="s">
        <v>1182</v>
      </c>
      <c r="B91" s="171" t="s">
        <v>68</v>
      </c>
      <c r="C91" s="171" t="s">
        <v>133</v>
      </c>
      <c r="D91" s="171" t="s">
        <v>77</v>
      </c>
      <c r="E91" s="173" t="s">
        <v>231</v>
      </c>
      <c r="F91" s="171" t="s">
        <v>134</v>
      </c>
      <c r="G91" s="171" t="s">
        <v>136</v>
      </c>
      <c r="H91" s="171" t="s">
        <v>1</v>
      </c>
      <c r="I91" s="163">
        <f>+I92</f>
        <v>3700000</v>
      </c>
      <c r="J91" s="163">
        <f>+J92</f>
        <v>1000000</v>
      </c>
      <c r="K91" s="163">
        <f>+K92</f>
        <v>1000000</v>
      </c>
    </row>
    <row r="92" spans="1:11" ht="51" x14ac:dyDescent="0.2">
      <c r="A92" s="174" t="s">
        <v>1313</v>
      </c>
      <c r="B92" s="171" t="s">
        <v>68</v>
      </c>
      <c r="C92" s="171" t="s">
        <v>133</v>
      </c>
      <c r="D92" s="171" t="s">
        <v>77</v>
      </c>
      <c r="E92" s="173" t="s">
        <v>268</v>
      </c>
      <c r="F92" s="171" t="s">
        <v>243</v>
      </c>
      <c r="G92" s="171" t="s">
        <v>136</v>
      </c>
      <c r="H92" s="171" t="s">
        <v>1</v>
      </c>
      <c r="I92" s="163">
        <v>3700000</v>
      </c>
      <c r="J92" s="163">
        <v>1000000</v>
      </c>
      <c r="K92" s="163">
        <v>1000000</v>
      </c>
    </row>
    <row r="93" spans="1:11" ht="38.25" hidden="1" x14ac:dyDescent="0.2">
      <c r="A93" s="7" t="s">
        <v>1183</v>
      </c>
      <c r="B93" s="171" t="s">
        <v>68</v>
      </c>
      <c r="C93" s="171" t="s">
        <v>133</v>
      </c>
      <c r="D93" s="171" t="s">
        <v>77</v>
      </c>
      <c r="E93" s="173" t="s">
        <v>1184</v>
      </c>
      <c r="F93" s="171" t="s">
        <v>134</v>
      </c>
      <c r="G93" s="171" t="s">
        <v>136</v>
      </c>
      <c r="H93" s="171" t="s">
        <v>1</v>
      </c>
      <c r="I93" s="163">
        <f>I94</f>
        <v>0</v>
      </c>
      <c r="J93" s="163">
        <f>J94</f>
        <v>0</v>
      </c>
      <c r="K93" s="163">
        <f>K94</f>
        <v>0</v>
      </c>
    </row>
    <row r="94" spans="1:11" ht="38.25" hidden="1" x14ac:dyDescent="0.2">
      <c r="A94" s="7" t="s">
        <v>1185</v>
      </c>
      <c r="B94" s="171" t="s">
        <v>68</v>
      </c>
      <c r="C94" s="171" t="s">
        <v>133</v>
      </c>
      <c r="D94" s="171" t="s">
        <v>77</v>
      </c>
      <c r="E94" s="173" t="s">
        <v>1128</v>
      </c>
      <c r="F94" s="171" t="s">
        <v>243</v>
      </c>
      <c r="G94" s="171" t="s">
        <v>136</v>
      </c>
      <c r="H94" s="171" t="s">
        <v>1</v>
      </c>
      <c r="I94" s="163">
        <v>0</v>
      </c>
      <c r="J94" s="163">
        <v>0</v>
      </c>
      <c r="K94" s="163">
        <v>0</v>
      </c>
    </row>
    <row r="95" spans="1:11" x14ac:dyDescent="0.2">
      <c r="A95" s="7" t="s">
        <v>2</v>
      </c>
      <c r="B95" s="323" t="s">
        <v>169</v>
      </c>
      <c r="C95" s="323" t="s">
        <v>133</v>
      </c>
      <c r="D95" s="323" t="s">
        <v>131</v>
      </c>
      <c r="E95" s="324" t="s">
        <v>135</v>
      </c>
      <c r="F95" s="323" t="s">
        <v>134</v>
      </c>
      <c r="G95" s="323" t="s">
        <v>136</v>
      </c>
      <c r="H95" s="323" t="s">
        <v>169</v>
      </c>
      <c r="I95" s="163">
        <f>I96+I111+I117</f>
        <v>2705900</v>
      </c>
      <c r="J95" s="163">
        <f>J96+J111+J117</f>
        <v>2342500</v>
      </c>
      <c r="K95" s="163">
        <f>K96+K111+K117</f>
        <v>2197500</v>
      </c>
    </row>
    <row r="96" spans="1:11" ht="25.5" x14ac:dyDescent="0.2">
      <c r="A96" s="7" t="s">
        <v>1582</v>
      </c>
      <c r="B96" s="323" t="s">
        <v>169</v>
      </c>
      <c r="C96" s="323" t="s">
        <v>133</v>
      </c>
      <c r="D96" s="323" t="s">
        <v>131</v>
      </c>
      <c r="E96" s="324" t="s">
        <v>139</v>
      </c>
      <c r="F96" s="323" t="s">
        <v>138</v>
      </c>
      <c r="G96" s="323" t="s">
        <v>136</v>
      </c>
      <c r="H96" s="323" t="s">
        <v>132</v>
      </c>
      <c r="I96" s="163">
        <f>I97+I99+I101+I103+I105+I107+I109</f>
        <v>1346372</v>
      </c>
      <c r="J96" s="163">
        <f>J97+J99+J101+J103+J105+J107+J109</f>
        <v>1346288</v>
      </c>
      <c r="K96" s="163">
        <f>K97+K99+K101+K103+K105+K107+K109</f>
        <v>1346288</v>
      </c>
    </row>
    <row r="97" spans="1:11" ht="38.25" x14ac:dyDescent="0.2">
      <c r="A97" s="322" t="s">
        <v>1986</v>
      </c>
      <c r="B97" s="325" t="s">
        <v>169</v>
      </c>
      <c r="C97" s="325" t="s">
        <v>133</v>
      </c>
      <c r="D97" s="325" t="s">
        <v>131</v>
      </c>
      <c r="E97" s="326" t="s">
        <v>1987</v>
      </c>
      <c r="F97" s="325" t="s">
        <v>138</v>
      </c>
      <c r="G97" s="325" t="s">
        <v>136</v>
      </c>
      <c r="H97" s="325" t="s">
        <v>132</v>
      </c>
      <c r="I97" s="163">
        <f>I98</f>
        <v>56438</v>
      </c>
      <c r="J97" s="163">
        <f>J98</f>
        <v>56438</v>
      </c>
      <c r="K97" s="163">
        <f>K98</f>
        <v>56438</v>
      </c>
    </row>
    <row r="98" spans="1:11" ht="63.75" x14ac:dyDescent="0.2">
      <c r="A98" s="322" t="s">
        <v>1988</v>
      </c>
      <c r="B98" s="323" t="s">
        <v>169</v>
      </c>
      <c r="C98" s="323" t="s">
        <v>133</v>
      </c>
      <c r="D98" s="323" t="s">
        <v>131</v>
      </c>
      <c r="E98" s="324" t="s">
        <v>1989</v>
      </c>
      <c r="F98" s="323" t="s">
        <v>138</v>
      </c>
      <c r="G98" s="323" t="s">
        <v>136</v>
      </c>
      <c r="H98" s="323" t="s">
        <v>132</v>
      </c>
      <c r="I98" s="163">
        <v>56438</v>
      </c>
      <c r="J98" s="163">
        <v>56438</v>
      </c>
      <c r="K98" s="163">
        <v>56438</v>
      </c>
    </row>
    <row r="99" spans="1:11" ht="63.75" x14ac:dyDescent="0.2">
      <c r="A99" s="7" t="s">
        <v>1583</v>
      </c>
      <c r="B99" s="323" t="s">
        <v>169</v>
      </c>
      <c r="C99" s="323" t="s">
        <v>133</v>
      </c>
      <c r="D99" s="323" t="s">
        <v>131</v>
      </c>
      <c r="E99" s="324" t="s">
        <v>1584</v>
      </c>
      <c r="F99" s="323" t="s">
        <v>138</v>
      </c>
      <c r="G99" s="323" t="s">
        <v>136</v>
      </c>
      <c r="H99" s="323" t="s">
        <v>132</v>
      </c>
      <c r="I99" s="162">
        <f>I100</f>
        <v>73050</v>
      </c>
      <c r="J99" s="162">
        <f>J100</f>
        <v>73050</v>
      </c>
      <c r="K99" s="162">
        <f>K100</f>
        <v>73050</v>
      </c>
    </row>
    <row r="100" spans="1:11" ht="76.5" x14ac:dyDescent="0.2">
      <c r="A100" s="322" t="s">
        <v>1585</v>
      </c>
      <c r="B100" s="325" t="s">
        <v>169</v>
      </c>
      <c r="C100" s="325" t="s">
        <v>133</v>
      </c>
      <c r="D100" s="325" t="s">
        <v>131</v>
      </c>
      <c r="E100" s="326" t="s">
        <v>1586</v>
      </c>
      <c r="F100" s="325" t="s">
        <v>138</v>
      </c>
      <c r="G100" s="325" t="s">
        <v>136</v>
      </c>
      <c r="H100" s="325" t="s">
        <v>132</v>
      </c>
      <c r="I100" s="163">
        <v>73050</v>
      </c>
      <c r="J100" s="163">
        <v>73050</v>
      </c>
      <c r="K100" s="163">
        <v>73050</v>
      </c>
    </row>
    <row r="101" spans="1:11" ht="38.25" x14ac:dyDescent="0.2">
      <c r="A101" s="7" t="s">
        <v>1990</v>
      </c>
      <c r="B101" s="325" t="s">
        <v>169</v>
      </c>
      <c r="C101" s="325" t="s">
        <v>133</v>
      </c>
      <c r="D101" s="325" t="s">
        <v>131</v>
      </c>
      <c r="E101" s="326" t="s">
        <v>1991</v>
      </c>
      <c r="F101" s="325" t="s">
        <v>138</v>
      </c>
      <c r="G101" s="325" t="s">
        <v>136</v>
      </c>
      <c r="H101" s="325" t="s">
        <v>132</v>
      </c>
      <c r="I101" s="162">
        <f>I102</f>
        <v>1700</v>
      </c>
      <c r="J101" s="162">
        <f>J102</f>
        <v>1700</v>
      </c>
      <c r="K101" s="162">
        <f>K102</f>
        <v>1700</v>
      </c>
    </row>
    <row r="102" spans="1:11" ht="63.75" x14ac:dyDescent="0.2">
      <c r="A102" s="322" t="s">
        <v>1992</v>
      </c>
      <c r="B102" s="325" t="s">
        <v>169</v>
      </c>
      <c r="C102" s="325" t="s">
        <v>133</v>
      </c>
      <c r="D102" s="325" t="s">
        <v>131</v>
      </c>
      <c r="E102" s="326" t="s">
        <v>1993</v>
      </c>
      <c r="F102" s="325" t="s">
        <v>138</v>
      </c>
      <c r="G102" s="325" t="s">
        <v>136</v>
      </c>
      <c r="H102" s="325" t="s">
        <v>132</v>
      </c>
      <c r="I102" s="163">
        <v>1700</v>
      </c>
      <c r="J102" s="163">
        <v>1700</v>
      </c>
      <c r="K102" s="163">
        <v>1700</v>
      </c>
    </row>
    <row r="103" spans="1:11" ht="51" x14ac:dyDescent="0.2">
      <c r="A103" s="322" t="s">
        <v>1587</v>
      </c>
      <c r="B103" s="325" t="s">
        <v>169</v>
      </c>
      <c r="C103" s="325" t="s">
        <v>133</v>
      </c>
      <c r="D103" s="325" t="s">
        <v>131</v>
      </c>
      <c r="E103" s="326" t="s">
        <v>1588</v>
      </c>
      <c r="F103" s="325" t="s">
        <v>138</v>
      </c>
      <c r="G103" s="325" t="s">
        <v>136</v>
      </c>
      <c r="H103" s="325" t="s">
        <v>132</v>
      </c>
      <c r="I103" s="163">
        <f>I104</f>
        <v>700084</v>
      </c>
      <c r="J103" s="163">
        <f>J104</f>
        <v>700000</v>
      </c>
      <c r="K103" s="163">
        <f>K104</f>
        <v>700000</v>
      </c>
    </row>
    <row r="104" spans="1:11" ht="63.75" x14ac:dyDescent="0.2">
      <c r="A104" s="322" t="s">
        <v>1589</v>
      </c>
      <c r="B104" s="325" t="s">
        <v>169</v>
      </c>
      <c r="C104" s="325" t="s">
        <v>133</v>
      </c>
      <c r="D104" s="325" t="s">
        <v>131</v>
      </c>
      <c r="E104" s="326" t="s">
        <v>1994</v>
      </c>
      <c r="F104" s="325" t="s">
        <v>138</v>
      </c>
      <c r="G104" s="325" t="s">
        <v>136</v>
      </c>
      <c r="H104" s="325" t="s">
        <v>132</v>
      </c>
      <c r="I104" s="163">
        <v>700084</v>
      </c>
      <c r="J104" s="163">
        <v>700000</v>
      </c>
      <c r="K104" s="163">
        <v>700000</v>
      </c>
    </row>
    <row r="105" spans="1:11" ht="51" x14ac:dyDescent="0.2">
      <c r="A105" s="322" t="s">
        <v>1995</v>
      </c>
      <c r="B105" s="325" t="s">
        <v>169</v>
      </c>
      <c r="C105" s="325" t="s">
        <v>133</v>
      </c>
      <c r="D105" s="325" t="s">
        <v>131</v>
      </c>
      <c r="E105" s="326" t="s">
        <v>1996</v>
      </c>
      <c r="F105" s="325" t="s">
        <v>138</v>
      </c>
      <c r="G105" s="325" t="s">
        <v>136</v>
      </c>
      <c r="H105" s="325" t="s">
        <v>132</v>
      </c>
      <c r="I105" s="162">
        <f>I106</f>
        <v>120000</v>
      </c>
      <c r="J105" s="162">
        <f>J106</f>
        <v>120000</v>
      </c>
      <c r="K105" s="162">
        <f>K106</f>
        <v>120000</v>
      </c>
    </row>
    <row r="106" spans="1:11" ht="42" customHeight="1" x14ac:dyDescent="0.2">
      <c r="A106" s="7" t="s">
        <v>1997</v>
      </c>
      <c r="B106" s="325" t="s">
        <v>169</v>
      </c>
      <c r="C106" s="325" t="s">
        <v>133</v>
      </c>
      <c r="D106" s="325" t="s">
        <v>131</v>
      </c>
      <c r="E106" s="326" t="s">
        <v>1998</v>
      </c>
      <c r="F106" s="325" t="s">
        <v>243</v>
      </c>
      <c r="G106" s="325" t="s">
        <v>136</v>
      </c>
      <c r="H106" s="325" t="s">
        <v>132</v>
      </c>
      <c r="I106" s="163">
        <v>120000</v>
      </c>
      <c r="J106" s="163">
        <v>120000</v>
      </c>
      <c r="K106" s="163">
        <v>120000</v>
      </c>
    </row>
    <row r="107" spans="1:11" ht="67.5" customHeight="1" x14ac:dyDescent="0.2">
      <c r="A107" s="289" t="s">
        <v>1999</v>
      </c>
      <c r="B107" s="323" t="s">
        <v>169</v>
      </c>
      <c r="C107" s="323" t="s">
        <v>133</v>
      </c>
      <c r="D107" s="323" t="s">
        <v>131</v>
      </c>
      <c r="E107" s="324" t="s">
        <v>2000</v>
      </c>
      <c r="F107" s="323" t="s">
        <v>138</v>
      </c>
      <c r="G107" s="323" t="s">
        <v>136</v>
      </c>
      <c r="H107" s="323" t="s">
        <v>132</v>
      </c>
      <c r="I107" s="162">
        <f>I108</f>
        <v>161100</v>
      </c>
      <c r="J107" s="162">
        <f>J108</f>
        <v>161100</v>
      </c>
      <c r="K107" s="162">
        <f>K108</f>
        <v>161100</v>
      </c>
    </row>
    <row r="108" spans="1:11" ht="67.5" customHeight="1" x14ac:dyDescent="0.2">
      <c r="A108" s="289" t="s">
        <v>2001</v>
      </c>
      <c r="B108" s="323" t="s">
        <v>169</v>
      </c>
      <c r="C108" s="323" t="s">
        <v>133</v>
      </c>
      <c r="D108" s="323" t="s">
        <v>131</v>
      </c>
      <c r="E108" s="324" t="s">
        <v>2002</v>
      </c>
      <c r="F108" s="323" t="s">
        <v>138</v>
      </c>
      <c r="G108" s="323" t="s">
        <v>136</v>
      </c>
      <c r="H108" s="323" t="s">
        <v>132</v>
      </c>
      <c r="I108" s="162">
        <v>161100</v>
      </c>
      <c r="J108" s="162">
        <v>161100</v>
      </c>
      <c r="K108" s="162">
        <v>161100</v>
      </c>
    </row>
    <row r="109" spans="1:11" ht="67.5" customHeight="1" x14ac:dyDescent="0.2">
      <c r="A109" s="289" t="s">
        <v>2003</v>
      </c>
      <c r="B109" s="323" t="s">
        <v>169</v>
      </c>
      <c r="C109" s="323" t="s">
        <v>133</v>
      </c>
      <c r="D109" s="323" t="s">
        <v>131</v>
      </c>
      <c r="E109" s="324" t="s">
        <v>2004</v>
      </c>
      <c r="F109" s="323" t="s">
        <v>138</v>
      </c>
      <c r="G109" s="323" t="s">
        <v>136</v>
      </c>
      <c r="H109" s="323" t="s">
        <v>132</v>
      </c>
      <c r="I109" s="162">
        <f>I110</f>
        <v>234000</v>
      </c>
      <c r="J109" s="162">
        <f>J110</f>
        <v>234000</v>
      </c>
      <c r="K109" s="162">
        <f>K110</f>
        <v>234000</v>
      </c>
    </row>
    <row r="110" spans="1:11" ht="67.5" customHeight="1" x14ac:dyDescent="0.2">
      <c r="A110" s="289" t="s">
        <v>2005</v>
      </c>
      <c r="B110" s="323" t="s">
        <v>169</v>
      </c>
      <c r="C110" s="323" t="s">
        <v>133</v>
      </c>
      <c r="D110" s="323" t="s">
        <v>131</v>
      </c>
      <c r="E110" s="324" t="s">
        <v>2006</v>
      </c>
      <c r="F110" s="323" t="s">
        <v>138</v>
      </c>
      <c r="G110" s="323" t="s">
        <v>136</v>
      </c>
      <c r="H110" s="323" t="s">
        <v>132</v>
      </c>
      <c r="I110" s="162">
        <v>234000</v>
      </c>
      <c r="J110" s="162">
        <v>234000</v>
      </c>
      <c r="K110" s="162">
        <v>234000</v>
      </c>
    </row>
    <row r="111" spans="1:11" ht="67.5" customHeight="1" x14ac:dyDescent="0.2">
      <c r="A111" s="289" t="s">
        <v>2007</v>
      </c>
      <c r="B111" s="323" t="s">
        <v>169</v>
      </c>
      <c r="C111" s="323" t="s">
        <v>133</v>
      </c>
      <c r="D111" s="323" t="s">
        <v>131</v>
      </c>
      <c r="E111" s="324" t="s">
        <v>1661</v>
      </c>
      <c r="F111" s="323" t="s">
        <v>134</v>
      </c>
      <c r="G111" s="323" t="s">
        <v>136</v>
      </c>
      <c r="H111" s="323" t="s">
        <v>132</v>
      </c>
      <c r="I111" s="162">
        <f>I112+I114</f>
        <v>699714</v>
      </c>
      <c r="J111" s="162">
        <f>J112+J114</f>
        <v>336400</v>
      </c>
      <c r="K111" s="162">
        <f>K112+K114</f>
        <v>191400</v>
      </c>
    </row>
    <row r="112" spans="1:11" ht="67.5" customHeight="1" x14ac:dyDescent="0.2">
      <c r="A112" s="289" t="s">
        <v>1186</v>
      </c>
      <c r="B112" s="323" t="s">
        <v>169</v>
      </c>
      <c r="C112" s="323" t="s">
        <v>133</v>
      </c>
      <c r="D112" s="323" t="s">
        <v>131</v>
      </c>
      <c r="E112" s="324" t="s">
        <v>1591</v>
      </c>
      <c r="F112" s="323" t="s">
        <v>134</v>
      </c>
      <c r="G112" s="323" t="s">
        <v>136</v>
      </c>
      <c r="H112" s="323" t="s">
        <v>132</v>
      </c>
      <c r="I112" s="163">
        <f>I113</f>
        <v>1100</v>
      </c>
      <c r="J112" s="163">
        <f>J113</f>
        <v>1100</v>
      </c>
      <c r="K112" s="163">
        <f>K113</f>
        <v>1100</v>
      </c>
    </row>
    <row r="113" spans="1:11" ht="67.5" customHeight="1" x14ac:dyDescent="0.2">
      <c r="A113" s="289" t="s">
        <v>356</v>
      </c>
      <c r="B113" s="323" t="s">
        <v>186</v>
      </c>
      <c r="C113" s="323" t="s">
        <v>133</v>
      </c>
      <c r="D113" s="323" t="s">
        <v>131</v>
      </c>
      <c r="E113" s="324" t="s">
        <v>1591</v>
      </c>
      <c r="F113" s="323" t="s">
        <v>243</v>
      </c>
      <c r="G113" s="323" t="s">
        <v>136</v>
      </c>
      <c r="H113" s="323" t="s">
        <v>132</v>
      </c>
      <c r="I113" s="163">
        <v>1100</v>
      </c>
      <c r="J113" s="163">
        <v>1100</v>
      </c>
      <c r="K113" s="163">
        <v>1100</v>
      </c>
    </row>
    <row r="114" spans="1:11" ht="67.5" customHeight="1" x14ac:dyDescent="0.2">
      <c r="A114" s="289" t="s">
        <v>1592</v>
      </c>
      <c r="B114" s="323" t="s">
        <v>169</v>
      </c>
      <c r="C114" s="323" t="s">
        <v>133</v>
      </c>
      <c r="D114" s="323" t="s">
        <v>131</v>
      </c>
      <c r="E114" s="324" t="s">
        <v>1593</v>
      </c>
      <c r="F114" s="323" t="s">
        <v>134</v>
      </c>
      <c r="G114" s="323" t="s">
        <v>136</v>
      </c>
      <c r="H114" s="323" t="s">
        <v>132</v>
      </c>
      <c r="I114" s="163">
        <f>I115+I116</f>
        <v>698614</v>
      </c>
      <c r="J114" s="163">
        <f>J115+J116</f>
        <v>335300</v>
      </c>
      <c r="K114" s="163">
        <f>K115+K116</f>
        <v>190300</v>
      </c>
    </row>
    <row r="115" spans="1:11" ht="67.5" customHeight="1" x14ac:dyDescent="0.2">
      <c r="A115" s="289" t="s">
        <v>1594</v>
      </c>
      <c r="B115" s="323" t="s">
        <v>169</v>
      </c>
      <c r="C115" s="323" t="s">
        <v>133</v>
      </c>
      <c r="D115" s="323" t="s">
        <v>131</v>
      </c>
      <c r="E115" s="324" t="s">
        <v>1595</v>
      </c>
      <c r="F115" s="323" t="s">
        <v>138</v>
      </c>
      <c r="G115" s="323" t="s">
        <v>136</v>
      </c>
      <c r="H115" s="323" t="s">
        <v>132</v>
      </c>
      <c r="I115" s="163">
        <v>696614</v>
      </c>
      <c r="J115" s="163">
        <v>333300</v>
      </c>
      <c r="K115" s="163">
        <v>188300</v>
      </c>
    </row>
    <row r="116" spans="1:11" ht="67.5" customHeight="1" x14ac:dyDescent="0.2">
      <c r="A116" s="289" t="s">
        <v>2008</v>
      </c>
      <c r="B116" s="323" t="s">
        <v>169</v>
      </c>
      <c r="C116" s="323" t="s">
        <v>133</v>
      </c>
      <c r="D116" s="323" t="s">
        <v>131</v>
      </c>
      <c r="E116" s="324" t="s">
        <v>2009</v>
      </c>
      <c r="F116" s="323" t="s">
        <v>138</v>
      </c>
      <c r="G116" s="323" t="s">
        <v>136</v>
      </c>
      <c r="H116" s="323" t="s">
        <v>132</v>
      </c>
      <c r="I116" s="163">
        <v>2000</v>
      </c>
      <c r="J116" s="163">
        <v>2000</v>
      </c>
      <c r="K116" s="163">
        <v>2000</v>
      </c>
    </row>
    <row r="117" spans="1:11" ht="67.5" customHeight="1" x14ac:dyDescent="0.2">
      <c r="A117" s="289" t="s">
        <v>2010</v>
      </c>
      <c r="B117" s="323" t="s">
        <v>169</v>
      </c>
      <c r="C117" s="323" t="s">
        <v>133</v>
      </c>
      <c r="D117" s="323" t="s">
        <v>131</v>
      </c>
      <c r="E117" s="324" t="s">
        <v>2011</v>
      </c>
      <c r="F117" s="323" t="s">
        <v>138</v>
      </c>
      <c r="G117" s="323" t="s">
        <v>136</v>
      </c>
      <c r="H117" s="323" t="s">
        <v>132</v>
      </c>
      <c r="I117" s="162">
        <f>I118</f>
        <v>659814</v>
      </c>
      <c r="J117" s="162">
        <f>J118</f>
        <v>659812</v>
      </c>
      <c r="K117" s="162">
        <f>K118</f>
        <v>659812</v>
      </c>
    </row>
    <row r="118" spans="1:11" ht="53.25" customHeight="1" x14ac:dyDescent="0.2">
      <c r="A118" s="289" t="s">
        <v>2012</v>
      </c>
      <c r="B118" s="325" t="s">
        <v>169</v>
      </c>
      <c r="C118" s="325" t="s">
        <v>133</v>
      </c>
      <c r="D118" s="325" t="s">
        <v>131</v>
      </c>
      <c r="E118" s="326" t="s">
        <v>2013</v>
      </c>
      <c r="F118" s="325" t="s">
        <v>138</v>
      </c>
      <c r="G118" s="325" t="s">
        <v>136</v>
      </c>
      <c r="H118" s="325" t="s">
        <v>132</v>
      </c>
      <c r="I118" s="163">
        <v>659814</v>
      </c>
      <c r="J118" s="163">
        <v>659812</v>
      </c>
      <c r="K118" s="163">
        <v>659812</v>
      </c>
    </row>
    <row r="119" spans="1:11" hidden="1" x14ac:dyDescent="0.2">
      <c r="A119" s="7" t="s">
        <v>357</v>
      </c>
      <c r="B119" s="171" t="s">
        <v>169</v>
      </c>
      <c r="C119" s="171" t="s">
        <v>133</v>
      </c>
      <c r="D119" s="171" t="s">
        <v>1260</v>
      </c>
      <c r="E119" s="173" t="s">
        <v>31</v>
      </c>
      <c r="F119" s="171" t="s">
        <v>134</v>
      </c>
      <c r="G119" s="171" t="s">
        <v>136</v>
      </c>
      <c r="H119" s="171" t="s">
        <v>589</v>
      </c>
      <c r="I119" s="163">
        <f>I120</f>
        <v>0</v>
      </c>
      <c r="J119" s="163">
        <f>J120</f>
        <v>0</v>
      </c>
      <c r="K119" s="163">
        <f>K120</f>
        <v>0</v>
      </c>
    </row>
    <row r="120" spans="1:11" hidden="1" x14ac:dyDescent="0.2">
      <c r="A120" s="7" t="s">
        <v>357</v>
      </c>
      <c r="B120" s="171" t="s">
        <v>169</v>
      </c>
      <c r="C120" s="171" t="s">
        <v>133</v>
      </c>
      <c r="D120" s="171" t="s">
        <v>1260</v>
      </c>
      <c r="E120" s="173" t="s">
        <v>1261</v>
      </c>
      <c r="F120" s="171" t="s">
        <v>243</v>
      </c>
      <c r="G120" s="171" t="s">
        <v>136</v>
      </c>
      <c r="H120" s="171" t="s">
        <v>589</v>
      </c>
      <c r="I120" s="163">
        <v>0</v>
      </c>
      <c r="J120" s="163">
        <v>0</v>
      </c>
      <c r="K120" s="290">
        <v>0</v>
      </c>
    </row>
    <row r="121" spans="1:11" hidden="1" x14ac:dyDescent="0.2">
      <c r="A121" s="7" t="s">
        <v>357</v>
      </c>
      <c r="B121" s="171" t="s">
        <v>220</v>
      </c>
      <c r="C121" s="171" t="s">
        <v>133</v>
      </c>
      <c r="D121" s="171" t="s">
        <v>1260</v>
      </c>
      <c r="E121" s="173" t="s">
        <v>1261</v>
      </c>
      <c r="F121" s="171" t="s">
        <v>243</v>
      </c>
      <c r="G121" s="171" t="s">
        <v>136</v>
      </c>
      <c r="H121" s="171" t="s">
        <v>589</v>
      </c>
      <c r="I121" s="163">
        <v>0</v>
      </c>
      <c r="J121" s="163">
        <v>0</v>
      </c>
      <c r="K121" s="162">
        <v>0</v>
      </c>
    </row>
    <row r="122" spans="1:11" x14ac:dyDescent="0.2">
      <c r="A122" s="7" t="s">
        <v>94</v>
      </c>
      <c r="B122" s="183" t="s">
        <v>221</v>
      </c>
      <c r="C122" s="183" t="s">
        <v>178</v>
      </c>
      <c r="D122" s="183" t="s">
        <v>134</v>
      </c>
      <c r="E122" s="184" t="s">
        <v>135</v>
      </c>
      <c r="F122" s="183" t="s">
        <v>134</v>
      </c>
      <c r="G122" s="183" t="s">
        <v>136</v>
      </c>
      <c r="H122" s="183" t="s">
        <v>169</v>
      </c>
      <c r="I122" s="163">
        <f>I123+I256+I251+I259+I266+I279</f>
        <v>1714206230</v>
      </c>
      <c r="J122" s="163">
        <f>J123+J256+J251</f>
        <v>1599167230</v>
      </c>
      <c r="K122" s="163">
        <f>K123+K256+K251</f>
        <v>1588704630</v>
      </c>
    </row>
    <row r="123" spans="1:11" ht="25.5" x14ac:dyDescent="0.2">
      <c r="A123" s="7" t="s">
        <v>149</v>
      </c>
      <c r="B123" s="183" t="s">
        <v>221</v>
      </c>
      <c r="C123" s="183" t="s">
        <v>178</v>
      </c>
      <c r="D123" s="183" t="s">
        <v>239</v>
      </c>
      <c r="E123" s="184" t="s">
        <v>135</v>
      </c>
      <c r="F123" s="183" t="s">
        <v>134</v>
      </c>
      <c r="G123" s="183" t="s">
        <v>136</v>
      </c>
      <c r="H123" s="183" t="s">
        <v>169</v>
      </c>
      <c r="I123" s="163">
        <f>I124+I129+I197+I238</f>
        <v>1711598230</v>
      </c>
      <c r="J123" s="163">
        <f>J124+J129+J197+J238</f>
        <v>1596559230</v>
      </c>
      <c r="K123" s="163">
        <f>K124+K129+K197+K238</f>
        <v>1586096630</v>
      </c>
    </row>
    <row r="124" spans="1:11" x14ac:dyDescent="0.2">
      <c r="A124" s="7" t="s">
        <v>1662</v>
      </c>
      <c r="B124" s="183" t="s">
        <v>221</v>
      </c>
      <c r="C124" s="183" t="s">
        <v>178</v>
      </c>
      <c r="D124" s="183" t="s">
        <v>239</v>
      </c>
      <c r="E124" s="184" t="s">
        <v>1661</v>
      </c>
      <c r="F124" s="183" t="s">
        <v>134</v>
      </c>
      <c r="G124" s="183" t="s">
        <v>136</v>
      </c>
      <c r="H124" s="183" t="s">
        <v>1420</v>
      </c>
      <c r="I124" s="163">
        <f>I125+I127</f>
        <v>591219500</v>
      </c>
      <c r="J124" s="163">
        <f>J125+J127</f>
        <v>479752900</v>
      </c>
      <c r="K124" s="163">
        <f>K125+K127</f>
        <v>479752900</v>
      </c>
    </row>
    <row r="125" spans="1:11" x14ac:dyDescent="0.2">
      <c r="A125" s="174" t="s">
        <v>590</v>
      </c>
      <c r="B125" s="183" t="s">
        <v>221</v>
      </c>
      <c r="C125" s="183" t="s">
        <v>178</v>
      </c>
      <c r="D125" s="183" t="s">
        <v>239</v>
      </c>
      <c r="E125" s="184" t="s">
        <v>1129</v>
      </c>
      <c r="F125" s="183" t="s">
        <v>243</v>
      </c>
      <c r="G125" s="183" t="s">
        <v>136</v>
      </c>
      <c r="H125" s="183" t="s">
        <v>1420</v>
      </c>
      <c r="I125" s="163">
        <f>I126</f>
        <v>557332900</v>
      </c>
      <c r="J125" s="163">
        <f>J126</f>
        <v>454846800</v>
      </c>
      <c r="K125" s="163">
        <f>K126</f>
        <v>445866300</v>
      </c>
    </row>
    <row r="126" spans="1:11" ht="25.5" x14ac:dyDescent="0.2">
      <c r="A126" s="174" t="s">
        <v>358</v>
      </c>
      <c r="B126" s="183" t="s">
        <v>221</v>
      </c>
      <c r="C126" s="183" t="s">
        <v>178</v>
      </c>
      <c r="D126" s="183" t="s">
        <v>239</v>
      </c>
      <c r="E126" s="184" t="s">
        <v>1129</v>
      </c>
      <c r="F126" s="183" t="s">
        <v>243</v>
      </c>
      <c r="G126" s="183" t="s">
        <v>136</v>
      </c>
      <c r="H126" s="183" t="s">
        <v>1420</v>
      </c>
      <c r="I126" s="163">
        <v>557332900</v>
      </c>
      <c r="J126" s="163">
        <v>454846800</v>
      </c>
      <c r="K126" s="290">
        <v>445866300</v>
      </c>
    </row>
    <row r="127" spans="1:11" ht="25.5" x14ac:dyDescent="0.2">
      <c r="A127" s="174" t="s">
        <v>1278</v>
      </c>
      <c r="B127" s="183" t="s">
        <v>221</v>
      </c>
      <c r="C127" s="183" t="s">
        <v>178</v>
      </c>
      <c r="D127" s="183" t="s">
        <v>239</v>
      </c>
      <c r="E127" s="184" t="s">
        <v>1279</v>
      </c>
      <c r="F127" s="183" t="s">
        <v>134</v>
      </c>
      <c r="G127" s="183" t="s">
        <v>136</v>
      </c>
      <c r="H127" s="183" t="s">
        <v>9</v>
      </c>
      <c r="I127" s="163">
        <f>I128</f>
        <v>33886600</v>
      </c>
      <c r="J127" s="163">
        <f>J128</f>
        <v>24906100</v>
      </c>
      <c r="K127" s="163">
        <f>K128</f>
        <v>33886600</v>
      </c>
    </row>
    <row r="128" spans="1:11" ht="25.5" x14ac:dyDescent="0.2">
      <c r="A128" s="174" t="s">
        <v>359</v>
      </c>
      <c r="B128" s="183" t="s">
        <v>221</v>
      </c>
      <c r="C128" s="183" t="s">
        <v>178</v>
      </c>
      <c r="D128" s="183" t="s">
        <v>239</v>
      </c>
      <c r="E128" s="184" t="s">
        <v>1279</v>
      </c>
      <c r="F128" s="183" t="s">
        <v>243</v>
      </c>
      <c r="G128" s="183" t="s">
        <v>136</v>
      </c>
      <c r="H128" s="183" t="s">
        <v>9</v>
      </c>
      <c r="I128" s="163">
        <v>33886600</v>
      </c>
      <c r="J128" s="163">
        <v>24906100</v>
      </c>
      <c r="K128" s="290">
        <v>33886600</v>
      </c>
    </row>
    <row r="129" spans="1:11" ht="25.5" x14ac:dyDescent="0.2">
      <c r="A129" s="276" t="s">
        <v>141</v>
      </c>
      <c r="B129" s="183" t="s">
        <v>221</v>
      </c>
      <c r="C129" s="183" t="s">
        <v>178</v>
      </c>
      <c r="D129" s="183" t="s">
        <v>239</v>
      </c>
      <c r="E129" s="184" t="s">
        <v>1130</v>
      </c>
      <c r="F129" s="183" t="s">
        <v>134</v>
      </c>
      <c r="G129" s="183" t="s">
        <v>136</v>
      </c>
      <c r="H129" s="183" t="s">
        <v>1420</v>
      </c>
      <c r="I129" s="163">
        <f>I130+I132+I134+I136+I138+I150</f>
        <v>91140900</v>
      </c>
      <c r="J129" s="163">
        <f>J130+J132+J134+J136+J138+J150</f>
        <v>95753900</v>
      </c>
      <c r="K129" s="163">
        <f>K130+K132+K134+K136+K138+K150</f>
        <v>81054500</v>
      </c>
    </row>
    <row r="130" spans="1:11" ht="111.75" customHeight="1" x14ac:dyDescent="0.2">
      <c r="A130" s="276" t="s">
        <v>2014</v>
      </c>
      <c r="B130" s="183" t="s">
        <v>221</v>
      </c>
      <c r="C130" s="183" t="s">
        <v>178</v>
      </c>
      <c r="D130" s="183" t="s">
        <v>239</v>
      </c>
      <c r="E130" s="184" t="s">
        <v>2015</v>
      </c>
      <c r="F130" s="183" t="s">
        <v>134</v>
      </c>
      <c r="G130" s="183" t="s">
        <v>136</v>
      </c>
      <c r="H130" s="183" t="s">
        <v>1420</v>
      </c>
      <c r="I130" s="163">
        <f>I131</f>
        <v>0</v>
      </c>
      <c r="J130" s="163">
        <f>J131</f>
        <v>0</v>
      </c>
      <c r="K130" s="163">
        <f>K131</f>
        <v>14352100</v>
      </c>
    </row>
    <row r="131" spans="1:11" ht="89.25" x14ac:dyDescent="0.2">
      <c r="A131" s="276" t="s">
        <v>1655</v>
      </c>
      <c r="B131" s="183" t="s">
        <v>221</v>
      </c>
      <c r="C131" s="183" t="s">
        <v>178</v>
      </c>
      <c r="D131" s="183" t="s">
        <v>239</v>
      </c>
      <c r="E131" s="184" t="s">
        <v>2016</v>
      </c>
      <c r="F131" s="183" t="s">
        <v>243</v>
      </c>
      <c r="G131" s="183" t="s">
        <v>136</v>
      </c>
      <c r="H131" s="183" t="s">
        <v>1420</v>
      </c>
      <c r="I131" s="163">
        <v>0</v>
      </c>
      <c r="J131" s="163">
        <v>0</v>
      </c>
      <c r="K131" s="163">
        <v>14352100</v>
      </c>
    </row>
    <row r="132" spans="1:11" ht="43.5" customHeight="1" x14ac:dyDescent="0.2">
      <c r="A132" s="276" t="s">
        <v>2017</v>
      </c>
      <c r="B132" s="183" t="s">
        <v>221</v>
      </c>
      <c r="C132" s="183" t="s">
        <v>178</v>
      </c>
      <c r="D132" s="183" t="s">
        <v>239</v>
      </c>
      <c r="E132" s="184" t="s">
        <v>2018</v>
      </c>
      <c r="F132" s="183" t="s">
        <v>134</v>
      </c>
      <c r="G132" s="183" t="s">
        <v>136</v>
      </c>
      <c r="H132" s="183" t="s">
        <v>1420</v>
      </c>
      <c r="I132" s="163">
        <f>I133</f>
        <v>0</v>
      </c>
      <c r="J132" s="163">
        <f>J133</f>
        <v>0</v>
      </c>
      <c r="K132" s="163">
        <f>K133</f>
        <v>5184100</v>
      </c>
    </row>
    <row r="133" spans="1:11" ht="63.75" x14ac:dyDescent="0.2">
      <c r="A133" s="276" t="s">
        <v>1656</v>
      </c>
      <c r="B133" s="183" t="s">
        <v>221</v>
      </c>
      <c r="C133" s="183" t="s">
        <v>178</v>
      </c>
      <c r="D133" s="183" t="s">
        <v>239</v>
      </c>
      <c r="E133" s="184" t="s">
        <v>2018</v>
      </c>
      <c r="F133" s="183" t="s">
        <v>243</v>
      </c>
      <c r="G133" s="183" t="s">
        <v>136</v>
      </c>
      <c r="H133" s="183" t="s">
        <v>1420</v>
      </c>
      <c r="I133" s="163">
        <v>0</v>
      </c>
      <c r="J133" s="163">
        <v>0</v>
      </c>
      <c r="K133" s="163">
        <v>5184100</v>
      </c>
    </row>
    <row r="134" spans="1:11" ht="38.25" x14ac:dyDescent="0.2">
      <c r="A134" s="276" t="s">
        <v>1705</v>
      </c>
      <c r="B134" s="183" t="s">
        <v>221</v>
      </c>
      <c r="C134" s="183" t="s">
        <v>178</v>
      </c>
      <c r="D134" s="183" t="s">
        <v>239</v>
      </c>
      <c r="E134" s="184" t="s">
        <v>1704</v>
      </c>
      <c r="F134" s="183" t="s">
        <v>134</v>
      </c>
      <c r="G134" s="183" t="s">
        <v>136</v>
      </c>
      <c r="H134" s="183" t="s">
        <v>1420</v>
      </c>
      <c r="I134" s="163">
        <f>I135</f>
        <v>1465700</v>
      </c>
      <c r="J134" s="163">
        <f>J135</f>
        <v>7634200</v>
      </c>
      <c r="K134" s="163">
        <f>K135</f>
        <v>381600</v>
      </c>
    </row>
    <row r="135" spans="1:11" ht="102" x14ac:dyDescent="0.2">
      <c r="A135" s="276" t="s">
        <v>1706</v>
      </c>
      <c r="B135" s="183" t="s">
        <v>221</v>
      </c>
      <c r="C135" s="183" t="s">
        <v>178</v>
      </c>
      <c r="D135" s="183" t="s">
        <v>239</v>
      </c>
      <c r="E135" s="184" t="s">
        <v>1704</v>
      </c>
      <c r="F135" s="183" t="s">
        <v>243</v>
      </c>
      <c r="G135" s="183" t="s">
        <v>136</v>
      </c>
      <c r="H135" s="183" t="s">
        <v>1420</v>
      </c>
      <c r="I135" s="163">
        <v>1465700</v>
      </c>
      <c r="J135" s="163">
        <v>7634200</v>
      </c>
      <c r="K135" s="163">
        <v>381600</v>
      </c>
    </row>
    <row r="136" spans="1:11" ht="42" customHeight="1" x14ac:dyDescent="0.2">
      <c r="A136" s="276" t="s">
        <v>1722</v>
      </c>
      <c r="B136" s="183" t="s">
        <v>221</v>
      </c>
      <c r="C136" s="183" t="s">
        <v>178</v>
      </c>
      <c r="D136" s="183" t="s">
        <v>239</v>
      </c>
      <c r="E136" s="184" t="s">
        <v>1721</v>
      </c>
      <c r="F136" s="183" t="s">
        <v>134</v>
      </c>
      <c r="G136" s="183" t="s">
        <v>136</v>
      </c>
      <c r="H136" s="183" t="s">
        <v>1420</v>
      </c>
      <c r="I136" s="163">
        <f>I137</f>
        <v>5792500</v>
      </c>
      <c r="J136" s="163">
        <f>J137</f>
        <v>2844700</v>
      </c>
      <c r="K136" s="163">
        <f>K137</f>
        <v>142200</v>
      </c>
    </row>
    <row r="137" spans="1:11" ht="38.25" x14ac:dyDescent="0.2">
      <c r="A137" s="276" t="s">
        <v>2019</v>
      </c>
      <c r="B137" s="183" t="s">
        <v>221</v>
      </c>
      <c r="C137" s="183" t="s">
        <v>178</v>
      </c>
      <c r="D137" s="183" t="s">
        <v>239</v>
      </c>
      <c r="E137" s="184" t="s">
        <v>1721</v>
      </c>
      <c r="F137" s="183" t="s">
        <v>243</v>
      </c>
      <c r="G137" s="183" t="s">
        <v>136</v>
      </c>
      <c r="H137" s="183" t="s">
        <v>1420</v>
      </c>
      <c r="I137" s="163">
        <v>5792500</v>
      </c>
      <c r="J137" s="163">
        <v>2844700</v>
      </c>
      <c r="K137" s="163">
        <v>142200</v>
      </c>
    </row>
    <row r="138" spans="1:11" ht="27" customHeight="1" x14ac:dyDescent="0.2">
      <c r="A138" s="276" t="s">
        <v>1951</v>
      </c>
      <c r="B138" s="183" t="s">
        <v>221</v>
      </c>
      <c r="C138" s="183" t="s">
        <v>178</v>
      </c>
      <c r="D138" s="183" t="s">
        <v>239</v>
      </c>
      <c r="E138" s="184" t="s">
        <v>1944</v>
      </c>
      <c r="F138" s="183" t="s">
        <v>134</v>
      </c>
      <c r="G138" s="183" t="s">
        <v>136</v>
      </c>
      <c r="H138" s="183" t="s">
        <v>1420</v>
      </c>
      <c r="I138" s="162">
        <f>I139</f>
        <v>35059600</v>
      </c>
      <c r="J138" s="162">
        <f>J139</f>
        <v>36007300</v>
      </c>
      <c r="K138" s="162">
        <f>K139</f>
        <v>11370600</v>
      </c>
    </row>
    <row r="139" spans="1:11" ht="51" x14ac:dyDescent="0.2">
      <c r="A139" s="276" t="s">
        <v>1946</v>
      </c>
      <c r="B139" s="183" t="s">
        <v>221</v>
      </c>
      <c r="C139" s="183" t="s">
        <v>178</v>
      </c>
      <c r="D139" s="183" t="s">
        <v>239</v>
      </c>
      <c r="E139" s="184" t="s">
        <v>1944</v>
      </c>
      <c r="F139" s="183" t="s">
        <v>243</v>
      </c>
      <c r="G139" s="183" t="s">
        <v>136</v>
      </c>
      <c r="H139" s="183" t="s">
        <v>1420</v>
      </c>
      <c r="I139" s="163">
        <v>35059600</v>
      </c>
      <c r="J139" s="163">
        <v>36007300</v>
      </c>
      <c r="K139" s="163">
        <v>11370600</v>
      </c>
    </row>
    <row r="140" spans="1:11" hidden="1" x14ac:dyDescent="0.2">
      <c r="A140" s="276" t="s">
        <v>1596</v>
      </c>
      <c r="B140" s="183" t="s">
        <v>221</v>
      </c>
      <c r="C140" s="183" t="s">
        <v>178</v>
      </c>
      <c r="D140" s="183" t="s">
        <v>239</v>
      </c>
      <c r="E140" s="184" t="s">
        <v>1245</v>
      </c>
      <c r="F140" s="183" t="s">
        <v>134</v>
      </c>
      <c r="G140" s="183" t="s">
        <v>136</v>
      </c>
      <c r="H140" s="183" t="s">
        <v>1420</v>
      </c>
      <c r="I140" s="163">
        <f>I141</f>
        <v>0</v>
      </c>
      <c r="J140" s="163">
        <f>J141</f>
        <v>0</v>
      </c>
      <c r="K140" s="163">
        <f>K141</f>
        <v>0</v>
      </c>
    </row>
    <row r="141" spans="1:11" ht="38.25" hidden="1" x14ac:dyDescent="0.2">
      <c r="A141" s="276" t="s">
        <v>1597</v>
      </c>
      <c r="B141" s="183" t="s">
        <v>221</v>
      </c>
      <c r="C141" s="183" t="s">
        <v>178</v>
      </c>
      <c r="D141" s="183" t="s">
        <v>239</v>
      </c>
      <c r="E141" s="184" t="s">
        <v>1245</v>
      </c>
      <c r="F141" s="183" t="s">
        <v>243</v>
      </c>
      <c r="G141" s="183" t="s">
        <v>136</v>
      </c>
      <c r="H141" s="183" t="s">
        <v>1420</v>
      </c>
      <c r="I141" s="163">
        <f>68300-68300</f>
        <v>0</v>
      </c>
      <c r="J141" s="163">
        <f>68300-68300</f>
        <v>0</v>
      </c>
      <c r="K141" s="290">
        <v>0</v>
      </c>
    </row>
    <row r="142" spans="1:11" ht="38.25" hidden="1" x14ac:dyDescent="0.2">
      <c r="A142" s="151" t="s">
        <v>1397</v>
      </c>
      <c r="B142" s="183" t="s">
        <v>221</v>
      </c>
      <c r="C142" s="183" t="s">
        <v>178</v>
      </c>
      <c r="D142" s="183" t="s">
        <v>239</v>
      </c>
      <c r="E142" s="184" t="s">
        <v>1398</v>
      </c>
      <c r="F142" s="183" t="s">
        <v>134</v>
      </c>
      <c r="G142" s="183" t="s">
        <v>136</v>
      </c>
      <c r="H142" s="183" t="s">
        <v>1420</v>
      </c>
      <c r="I142" s="163">
        <f>I143</f>
        <v>0</v>
      </c>
      <c r="J142" s="163">
        <f>J143</f>
        <v>0</v>
      </c>
      <c r="K142" s="163">
        <f>K143</f>
        <v>0</v>
      </c>
    </row>
    <row r="143" spans="1:11" ht="40.5" hidden="1" customHeight="1" x14ac:dyDescent="0.2">
      <c r="A143" s="276" t="s">
        <v>1395</v>
      </c>
      <c r="B143" s="183" t="s">
        <v>221</v>
      </c>
      <c r="C143" s="183" t="s">
        <v>178</v>
      </c>
      <c r="D143" s="183" t="s">
        <v>239</v>
      </c>
      <c r="E143" s="184" t="s">
        <v>1398</v>
      </c>
      <c r="F143" s="183" t="s">
        <v>243</v>
      </c>
      <c r="G143" s="183" t="s">
        <v>136</v>
      </c>
      <c r="H143" s="183" t="s">
        <v>1420</v>
      </c>
      <c r="I143" s="163">
        <v>0</v>
      </c>
      <c r="J143" s="163"/>
      <c r="K143" s="290"/>
    </row>
    <row r="144" spans="1:11" ht="38.25" hidden="1" x14ac:dyDescent="0.2">
      <c r="A144" s="52" t="s">
        <v>1388</v>
      </c>
      <c r="B144" s="183" t="s">
        <v>221</v>
      </c>
      <c r="C144" s="183" t="s">
        <v>178</v>
      </c>
      <c r="D144" s="183" t="s">
        <v>239</v>
      </c>
      <c r="E144" s="184" t="s">
        <v>1389</v>
      </c>
      <c r="F144" s="183" t="s">
        <v>134</v>
      </c>
      <c r="G144" s="183" t="s">
        <v>136</v>
      </c>
      <c r="H144" s="183" t="s">
        <v>1420</v>
      </c>
      <c r="I144" s="163">
        <f>I145</f>
        <v>0</v>
      </c>
      <c r="J144" s="163">
        <f>J145</f>
        <v>0</v>
      </c>
      <c r="K144" s="163">
        <f>K145</f>
        <v>0</v>
      </c>
    </row>
    <row r="145" spans="1:11" ht="83.25" hidden="1" customHeight="1" x14ac:dyDescent="0.2">
      <c r="A145" s="151" t="s">
        <v>1387</v>
      </c>
      <c r="B145" s="183" t="s">
        <v>221</v>
      </c>
      <c r="C145" s="183" t="s">
        <v>178</v>
      </c>
      <c r="D145" s="183" t="s">
        <v>239</v>
      </c>
      <c r="E145" s="184" t="s">
        <v>1389</v>
      </c>
      <c r="F145" s="183" t="s">
        <v>243</v>
      </c>
      <c r="G145" s="183" t="s">
        <v>136</v>
      </c>
      <c r="H145" s="183" t="s">
        <v>1420</v>
      </c>
      <c r="I145" s="163">
        <v>0</v>
      </c>
      <c r="J145" s="163"/>
      <c r="K145" s="290"/>
    </row>
    <row r="146" spans="1:11" hidden="1" x14ac:dyDescent="0.2">
      <c r="A146" s="276" t="s">
        <v>1246</v>
      </c>
      <c r="B146" s="183" t="s">
        <v>221</v>
      </c>
      <c r="C146" s="183" t="s">
        <v>178</v>
      </c>
      <c r="D146" s="183" t="s">
        <v>239</v>
      </c>
      <c r="E146" s="184" t="s">
        <v>1245</v>
      </c>
      <c r="F146" s="183" t="s">
        <v>134</v>
      </c>
      <c r="G146" s="183" t="s">
        <v>136</v>
      </c>
      <c r="H146" s="183" t="s">
        <v>1420</v>
      </c>
      <c r="I146" s="163">
        <f>I147</f>
        <v>0</v>
      </c>
      <c r="J146" s="163">
        <f>J147</f>
        <v>0</v>
      </c>
      <c r="K146" s="163">
        <f>K147</f>
        <v>0</v>
      </c>
    </row>
    <row r="147" spans="1:11" ht="51" hidden="1" x14ac:dyDescent="0.2">
      <c r="A147" s="276" t="s">
        <v>1244</v>
      </c>
      <c r="B147" s="183" t="s">
        <v>221</v>
      </c>
      <c r="C147" s="183" t="s">
        <v>178</v>
      </c>
      <c r="D147" s="183" t="s">
        <v>239</v>
      </c>
      <c r="E147" s="184" t="s">
        <v>1245</v>
      </c>
      <c r="F147" s="183" t="s">
        <v>243</v>
      </c>
      <c r="G147" s="183" t="s">
        <v>136</v>
      </c>
      <c r="H147" s="183" t="s">
        <v>1420</v>
      </c>
      <c r="I147" s="163">
        <v>0</v>
      </c>
      <c r="J147" s="163">
        <v>0</v>
      </c>
      <c r="K147" s="290">
        <v>0</v>
      </c>
    </row>
    <row r="148" spans="1:11" ht="51" hidden="1" x14ac:dyDescent="0.2">
      <c r="A148" s="52" t="s">
        <v>1286</v>
      </c>
      <c r="B148" s="183" t="s">
        <v>221</v>
      </c>
      <c r="C148" s="183" t="s">
        <v>178</v>
      </c>
      <c r="D148" s="183" t="s">
        <v>239</v>
      </c>
      <c r="E148" s="184" t="s">
        <v>1287</v>
      </c>
      <c r="F148" s="183" t="s">
        <v>134</v>
      </c>
      <c r="G148" s="183" t="s">
        <v>136</v>
      </c>
      <c r="H148" s="183" t="s">
        <v>9</v>
      </c>
      <c r="I148" s="163">
        <f>I149</f>
        <v>0</v>
      </c>
      <c r="J148" s="163">
        <f>J149</f>
        <v>0</v>
      </c>
      <c r="K148" s="163">
        <f>K149</f>
        <v>0</v>
      </c>
    </row>
    <row r="149" spans="1:11" ht="51" hidden="1" x14ac:dyDescent="0.2">
      <c r="A149" s="52" t="s">
        <v>1288</v>
      </c>
      <c r="B149" s="183" t="s">
        <v>221</v>
      </c>
      <c r="C149" s="183" t="s">
        <v>178</v>
      </c>
      <c r="D149" s="183" t="s">
        <v>239</v>
      </c>
      <c r="E149" s="184" t="s">
        <v>1287</v>
      </c>
      <c r="F149" s="183" t="s">
        <v>243</v>
      </c>
      <c r="G149" s="183" t="s">
        <v>136</v>
      </c>
      <c r="H149" s="183" t="s">
        <v>9</v>
      </c>
      <c r="I149" s="163"/>
      <c r="J149" s="163"/>
      <c r="K149" s="290"/>
    </row>
    <row r="150" spans="1:11" x14ac:dyDescent="0.2">
      <c r="A150" s="53" t="s">
        <v>63</v>
      </c>
      <c r="B150" s="183" t="s">
        <v>221</v>
      </c>
      <c r="C150" s="183" t="s">
        <v>178</v>
      </c>
      <c r="D150" s="183" t="s">
        <v>239</v>
      </c>
      <c r="E150" s="184">
        <v>29999</v>
      </c>
      <c r="F150" s="183" t="s">
        <v>134</v>
      </c>
      <c r="G150" s="183" t="s">
        <v>136</v>
      </c>
      <c r="H150" s="183" t="s">
        <v>1420</v>
      </c>
      <c r="I150" s="163">
        <f>I151</f>
        <v>48823100</v>
      </c>
      <c r="J150" s="163">
        <f>J151</f>
        <v>49267700</v>
      </c>
      <c r="K150" s="163">
        <f>K151</f>
        <v>49623900</v>
      </c>
    </row>
    <row r="151" spans="1:11" ht="21" customHeight="1" x14ac:dyDescent="0.2">
      <c r="A151" s="52" t="s">
        <v>64</v>
      </c>
      <c r="B151" s="183" t="s">
        <v>221</v>
      </c>
      <c r="C151" s="183" t="s">
        <v>178</v>
      </c>
      <c r="D151" s="183" t="s">
        <v>239</v>
      </c>
      <c r="E151" s="184" t="s">
        <v>1131</v>
      </c>
      <c r="F151" s="183" t="s">
        <v>243</v>
      </c>
      <c r="G151" s="183" t="s">
        <v>136</v>
      </c>
      <c r="H151" s="183" t="s">
        <v>1420</v>
      </c>
      <c r="I151" s="163">
        <f>SUM(I152:I196)</f>
        <v>48823100</v>
      </c>
      <c r="J151" s="163">
        <f>SUM(J152:J196)</f>
        <v>49267700</v>
      </c>
      <c r="K151" s="163">
        <f>SUM(K152:K196)</f>
        <v>49623900</v>
      </c>
    </row>
    <row r="152" spans="1:11" ht="63.75" hidden="1" x14ac:dyDescent="0.2">
      <c r="A152" s="151" t="s">
        <v>1293</v>
      </c>
      <c r="B152" s="183" t="s">
        <v>221</v>
      </c>
      <c r="C152" s="183" t="s">
        <v>178</v>
      </c>
      <c r="D152" s="183" t="s">
        <v>239</v>
      </c>
      <c r="E152" s="184" t="s">
        <v>1131</v>
      </c>
      <c r="F152" s="183" t="s">
        <v>243</v>
      </c>
      <c r="G152" s="183" t="s">
        <v>1295</v>
      </c>
      <c r="H152" s="183" t="s">
        <v>1420</v>
      </c>
      <c r="I152" s="163">
        <v>0</v>
      </c>
      <c r="J152" s="163"/>
      <c r="K152" s="290"/>
    </row>
    <row r="153" spans="1:11" ht="76.5" hidden="1" x14ac:dyDescent="0.2">
      <c r="A153" s="151" t="s">
        <v>1296</v>
      </c>
      <c r="B153" s="183" t="s">
        <v>221</v>
      </c>
      <c r="C153" s="183" t="s">
        <v>178</v>
      </c>
      <c r="D153" s="183" t="s">
        <v>239</v>
      </c>
      <c r="E153" s="184" t="s">
        <v>1131</v>
      </c>
      <c r="F153" s="183" t="s">
        <v>243</v>
      </c>
      <c r="G153" s="183" t="s">
        <v>1297</v>
      </c>
      <c r="H153" s="183" t="s">
        <v>1420</v>
      </c>
      <c r="I153" s="163">
        <v>0</v>
      </c>
      <c r="J153" s="163"/>
      <c r="K153" s="290"/>
    </row>
    <row r="154" spans="1:11" ht="68.25" hidden="1" customHeight="1" x14ac:dyDescent="0.2">
      <c r="A154" s="286" t="s">
        <v>1409</v>
      </c>
      <c r="B154" s="183" t="s">
        <v>221</v>
      </c>
      <c r="C154" s="183" t="s">
        <v>178</v>
      </c>
      <c r="D154" s="183" t="s">
        <v>239</v>
      </c>
      <c r="E154" s="184" t="s">
        <v>1131</v>
      </c>
      <c r="F154" s="183" t="s">
        <v>243</v>
      </c>
      <c r="G154" s="183" t="s">
        <v>1410</v>
      </c>
      <c r="H154" s="183" t="s">
        <v>1420</v>
      </c>
      <c r="I154" s="163">
        <v>0</v>
      </c>
      <c r="J154" s="163"/>
      <c r="K154" s="290"/>
    </row>
    <row r="155" spans="1:11" ht="76.5" hidden="1" x14ac:dyDescent="0.2">
      <c r="A155" s="151" t="s">
        <v>1249</v>
      </c>
      <c r="B155" s="183" t="s">
        <v>221</v>
      </c>
      <c r="C155" s="183" t="s">
        <v>178</v>
      </c>
      <c r="D155" s="183" t="s">
        <v>239</v>
      </c>
      <c r="E155" s="184" t="s">
        <v>1131</v>
      </c>
      <c r="F155" s="183" t="s">
        <v>243</v>
      </c>
      <c r="G155" s="183" t="s">
        <v>1248</v>
      </c>
      <c r="H155" s="183" t="s">
        <v>1420</v>
      </c>
      <c r="I155" s="163">
        <v>0</v>
      </c>
      <c r="J155" s="163"/>
      <c r="K155" s="290"/>
    </row>
    <row r="156" spans="1:11" ht="51" hidden="1" x14ac:dyDescent="0.2">
      <c r="A156" s="151" t="s">
        <v>1258</v>
      </c>
      <c r="B156" s="183" t="s">
        <v>221</v>
      </c>
      <c r="C156" s="183" t="s">
        <v>178</v>
      </c>
      <c r="D156" s="183" t="s">
        <v>239</v>
      </c>
      <c r="E156" s="184" t="s">
        <v>1131</v>
      </c>
      <c r="F156" s="183" t="s">
        <v>243</v>
      </c>
      <c r="G156" s="183" t="s">
        <v>1259</v>
      </c>
      <c r="H156" s="183" t="s">
        <v>9</v>
      </c>
      <c r="I156" s="163"/>
      <c r="J156" s="163"/>
      <c r="K156" s="290"/>
    </row>
    <row r="157" spans="1:11" ht="102" hidden="1" x14ac:dyDescent="0.2">
      <c r="A157" s="286" t="s">
        <v>1300</v>
      </c>
      <c r="B157" s="183" t="s">
        <v>221</v>
      </c>
      <c r="C157" s="183" t="s">
        <v>178</v>
      </c>
      <c r="D157" s="183" t="s">
        <v>239</v>
      </c>
      <c r="E157" s="184" t="s">
        <v>1131</v>
      </c>
      <c r="F157" s="183" t="s">
        <v>243</v>
      </c>
      <c r="G157" s="183" t="s">
        <v>1301</v>
      </c>
      <c r="H157" s="183" t="s">
        <v>9</v>
      </c>
      <c r="I157" s="163"/>
      <c r="J157" s="163"/>
      <c r="K157" s="290"/>
    </row>
    <row r="158" spans="1:11" ht="63.75" hidden="1" x14ac:dyDescent="0.2">
      <c r="A158" s="286" t="s">
        <v>1302</v>
      </c>
      <c r="B158" s="183" t="s">
        <v>221</v>
      </c>
      <c r="C158" s="183" t="s">
        <v>178</v>
      </c>
      <c r="D158" s="183" t="s">
        <v>239</v>
      </c>
      <c r="E158" s="184" t="s">
        <v>1131</v>
      </c>
      <c r="F158" s="183" t="s">
        <v>243</v>
      </c>
      <c r="G158" s="183" t="s">
        <v>1303</v>
      </c>
      <c r="H158" s="183" t="s">
        <v>9</v>
      </c>
      <c r="I158" s="163"/>
      <c r="J158" s="163"/>
      <c r="K158" s="290"/>
    </row>
    <row r="159" spans="1:11" ht="51" hidden="1" x14ac:dyDescent="0.2">
      <c r="A159" s="286" t="s">
        <v>1955</v>
      </c>
      <c r="B159" s="183" t="s">
        <v>221</v>
      </c>
      <c r="C159" s="183" t="s">
        <v>178</v>
      </c>
      <c r="D159" s="183" t="s">
        <v>239</v>
      </c>
      <c r="E159" s="184" t="s">
        <v>1131</v>
      </c>
      <c r="F159" s="183" t="s">
        <v>243</v>
      </c>
      <c r="G159" s="183" t="s">
        <v>1959</v>
      </c>
      <c r="H159" s="183" t="s">
        <v>1420</v>
      </c>
      <c r="I159" s="163"/>
      <c r="J159" s="163"/>
      <c r="K159" s="290"/>
    </row>
    <row r="160" spans="1:11" ht="51" hidden="1" x14ac:dyDescent="0.2">
      <c r="A160" s="286" t="s">
        <v>1797</v>
      </c>
      <c r="B160" s="183" t="s">
        <v>221</v>
      </c>
      <c r="C160" s="183" t="s">
        <v>178</v>
      </c>
      <c r="D160" s="183" t="s">
        <v>239</v>
      </c>
      <c r="E160" s="184" t="s">
        <v>1131</v>
      </c>
      <c r="F160" s="183" t="s">
        <v>243</v>
      </c>
      <c r="G160" s="183" t="s">
        <v>1764</v>
      </c>
      <c r="H160" s="183" t="s">
        <v>1420</v>
      </c>
      <c r="I160" s="163"/>
      <c r="J160" s="163"/>
      <c r="K160" s="290"/>
    </row>
    <row r="161" spans="1:11" ht="63.75" hidden="1" x14ac:dyDescent="0.2">
      <c r="A161" s="286" t="s">
        <v>1798</v>
      </c>
      <c r="B161" s="183" t="s">
        <v>221</v>
      </c>
      <c r="C161" s="183" t="s">
        <v>178</v>
      </c>
      <c r="D161" s="183" t="s">
        <v>239</v>
      </c>
      <c r="E161" s="184" t="s">
        <v>1131</v>
      </c>
      <c r="F161" s="183" t="s">
        <v>243</v>
      </c>
      <c r="G161" s="183" t="s">
        <v>1369</v>
      </c>
      <c r="H161" s="183" t="s">
        <v>1420</v>
      </c>
      <c r="I161" s="163"/>
      <c r="J161" s="163"/>
      <c r="K161" s="290"/>
    </row>
    <row r="162" spans="1:11" ht="63.75" hidden="1" x14ac:dyDescent="0.2">
      <c r="A162" s="238" t="s">
        <v>1799</v>
      </c>
      <c r="B162" s="183" t="s">
        <v>221</v>
      </c>
      <c r="C162" s="183" t="s">
        <v>178</v>
      </c>
      <c r="D162" s="183" t="s">
        <v>239</v>
      </c>
      <c r="E162" s="184" t="s">
        <v>1131</v>
      </c>
      <c r="F162" s="183" t="s">
        <v>243</v>
      </c>
      <c r="G162" s="183" t="s">
        <v>1370</v>
      </c>
      <c r="H162" s="183" t="s">
        <v>1420</v>
      </c>
      <c r="I162" s="163"/>
      <c r="J162" s="163">
        <v>0</v>
      </c>
      <c r="K162" s="290">
        <v>0</v>
      </c>
    </row>
    <row r="163" spans="1:11" ht="38.25" x14ac:dyDescent="0.2">
      <c r="A163" s="238" t="s">
        <v>1800</v>
      </c>
      <c r="B163" s="183" t="s">
        <v>221</v>
      </c>
      <c r="C163" s="183" t="s">
        <v>178</v>
      </c>
      <c r="D163" s="183" t="s">
        <v>239</v>
      </c>
      <c r="E163" s="184" t="s">
        <v>1131</v>
      </c>
      <c r="F163" s="183" t="s">
        <v>243</v>
      </c>
      <c r="G163" s="183" t="s">
        <v>1719</v>
      </c>
      <c r="H163" s="183" t="s">
        <v>1420</v>
      </c>
      <c r="I163" s="163">
        <v>358900</v>
      </c>
      <c r="J163" s="163">
        <v>358900</v>
      </c>
      <c r="K163" s="290">
        <v>358900</v>
      </c>
    </row>
    <row r="164" spans="1:11" ht="76.5" x14ac:dyDescent="0.2">
      <c r="A164" s="238" t="s">
        <v>1801</v>
      </c>
      <c r="B164" s="183" t="s">
        <v>221</v>
      </c>
      <c r="C164" s="183" t="s">
        <v>178</v>
      </c>
      <c r="D164" s="183" t="s">
        <v>239</v>
      </c>
      <c r="E164" s="184" t="s">
        <v>1131</v>
      </c>
      <c r="F164" s="183" t="s">
        <v>243</v>
      </c>
      <c r="G164" s="183" t="s">
        <v>1598</v>
      </c>
      <c r="H164" s="183" t="s">
        <v>1420</v>
      </c>
      <c r="I164" s="163">
        <v>900000</v>
      </c>
      <c r="J164" s="163">
        <v>0</v>
      </c>
      <c r="K164" s="290">
        <v>0</v>
      </c>
    </row>
    <row r="165" spans="1:11" ht="114.75" x14ac:dyDescent="0.2">
      <c r="A165" s="238" t="s">
        <v>1803</v>
      </c>
      <c r="B165" s="183" t="s">
        <v>221</v>
      </c>
      <c r="C165" s="183" t="s">
        <v>178</v>
      </c>
      <c r="D165" s="183" t="s">
        <v>239</v>
      </c>
      <c r="E165" s="184" t="s">
        <v>1131</v>
      </c>
      <c r="F165" s="183" t="s">
        <v>243</v>
      </c>
      <c r="G165" s="183" t="s">
        <v>1240</v>
      </c>
      <c r="H165" s="183" t="s">
        <v>1420</v>
      </c>
      <c r="I165" s="163">
        <v>347900</v>
      </c>
      <c r="J165" s="163">
        <v>347900</v>
      </c>
      <c r="K165" s="290">
        <v>347900</v>
      </c>
    </row>
    <row r="166" spans="1:11" ht="65.25" hidden="1" customHeight="1" x14ac:dyDescent="0.2">
      <c r="A166" s="238" t="s">
        <v>1276</v>
      </c>
      <c r="B166" s="183" t="s">
        <v>221</v>
      </c>
      <c r="C166" s="183" t="s">
        <v>178</v>
      </c>
      <c r="D166" s="183" t="s">
        <v>239</v>
      </c>
      <c r="E166" s="184" t="s">
        <v>1131</v>
      </c>
      <c r="F166" s="183" t="s">
        <v>243</v>
      </c>
      <c r="G166" s="183" t="s">
        <v>1277</v>
      </c>
      <c r="H166" s="183" t="s">
        <v>1420</v>
      </c>
      <c r="I166" s="163">
        <v>0</v>
      </c>
      <c r="J166" s="163"/>
      <c r="K166" s="290"/>
    </row>
    <row r="167" spans="1:11" ht="76.5" x14ac:dyDescent="0.2">
      <c r="A167" s="238" t="s">
        <v>1238</v>
      </c>
      <c r="B167" s="183" t="s">
        <v>221</v>
      </c>
      <c r="C167" s="183" t="s">
        <v>178</v>
      </c>
      <c r="D167" s="183" t="s">
        <v>239</v>
      </c>
      <c r="E167" s="184" t="s">
        <v>1131</v>
      </c>
      <c r="F167" s="183" t="s">
        <v>243</v>
      </c>
      <c r="G167" s="183" t="s">
        <v>1242</v>
      </c>
      <c r="H167" s="183" t="s">
        <v>1420</v>
      </c>
      <c r="I167" s="163">
        <v>4111000</v>
      </c>
      <c r="J167" s="163">
        <v>4111000</v>
      </c>
      <c r="K167" s="290">
        <v>4111000</v>
      </c>
    </row>
    <row r="168" spans="1:11" ht="102" x14ac:dyDescent="0.2">
      <c r="A168" s="238" t="s">
        <v>1239</v>
      </c>
      <c r="B168" s="183" t="s">
        <v>221</v>
      </c>
      <c r="C168" s="183" t="s">
        <v>178</v>
      </c>
      <c r="D168" s="183" t="s">
        <v>239</v>
      </c>
      <c r="E168" s="184" t="s">
        <v>1131</v>
      </c>
      <c r="F168" s="183" t="s">
        <v>243</v>
      </c>
      <c r="G168" s="183" t="s">
        <v>1243</v>
      </c>
      <c r="H168" s="183" t="s">
        <v>1420</v>
      </c>
      <c r="I168" s="163">
        <v>140000</v>
      </c>
      <c r="J168" s="163">
        <v>140000</v>
      </c>
      <c r="K168" s="290">
        <v>140000</v>
      </c>
    </row>
    <row r="169" spans="1:11" ht="63.75" hidden="1" x14ac:dyDescent="0.2">
      <c r="A169" s="185" t="s">
        <v>1304</v>
      </c>
      <c r="B169" s="183" t="s">
        <v>221</v>
      </c>
      <c r="C169" s="183" t="s">
        <v>178</v>
      </c>
      <c r="D169" s="183" t="s">
        <v>239</v>
      </c>
      <c r="E169" s="184" t="s">
        <v>1131</v>
      </c>
      <c r="F169" s="183" t="s">
        <v>243</v>
      </c>
      <c r="G169" s="183" t="s">
        <v>1305</v>
      </c>
      <c r="H169" s="183" t="s">
        <v>9</v>
      </c>
      <c r="I169" s="163"/>
      <c r="J169" s="163"/>
      <c r="K169" s="290"/>
    </row>
    <row r="170" spans="1:11" ht="71.25" hidden="1" customHeight="1" x14ac:dyDescent="0.2">
      <c r="A170" s="185" t="s">
        <v>1396</v>
      </c>
      <c r="B170" s="183" t="s">
        <v>221</v>
      </c>
      <c r="C170" s="183" t="s">
        <v>178</v>
      </c>
      <c r="D170" s="183" t="s">
        <v>239</v>
      </c>
      <c r="E170" s="184" t="s">
        <v>1131</v>
      </c>
      <c r="F170" s="183" t="s">
        <v>243</v>
      </c>
      <c r="G170" s="183" t="s">
        <v>1399</v>
      </c>
      <c r="H170" s="183" t="s">
        <v>1420</v>
      </c>
      <c r="I170" s="163">
        <v>0</v>
      </c>
      <c r="J170" s="163"/>
      <c r="K170" s="290"/>
    </row>
    <row r="171" spans="1:11" ht="76.5" hidden="1" x14ac:dyDescent="0.2">
      <c r="A171" s="286" t="s">
        <v>1801</v>
      </c>
      <c r="B171" s="183" t="s">
        <v>221</v>
      </c>
      <c r="C171" s="183" t="s">
        <v>178</v>
      </c>
      <c r="D171" s="183" t="s">
        <v>239</v>
      </c>
      <c r="E171" s="184" t="s">
        <v>1131</v>
      </c>
      <c r="F171" s="183" t="s">
        <v>243</v>
      </c>
      <c r="G171" s="183" t="s">
        <v>1598</v>
      </c>
      <c r="H171" s="183" t="s">
        <v>1420</v>
      </c>
      <c r="I171" s="290"/>
      <c r="J171" s="290">
        <v>0</v>
      </c>
      <c r="K171" s="290">
        <v>0</v>
      </c>
    </row>
    <row r="172" spans="1:11" ht="114.75" hidden="1" x14ac:dyDescent="0.2">
      <c r="A172" s="185" t="s">
        <v>1803</v>
      </c>
      <c r="B172" s="183" t="s">
        <v>221</v>
      </c>
      <c r="C172" s="183" t="s">
        <v>178</v>
      </c>
      <c r="D172" s="183" t="s">
        <v>239</v>
      </c>
      <c r="E172" s="184" t="s">
        <v>1131</v>
      </c>
      <c r="F172" s="183" t="s">
        <v>243</v>
      </c>
      <c r="G172" s="183" t="s">
        <v>1240</v>
      </c>
      <c r="H172" s="183" t="s">
        <v>1420</v>
      </c>
      <c r="I172" s="290"/>
      <c r="J172" s="290"/>
      <c r="K172" s="290"/>
    </row>
    <row r="173" spans="1:11" ht="38.25" hidden="1" x14ac:dyDescent="0.2">
      <c r="A173" s="185" t="s">
        <v>1804</v>
      </c>
      <c r="B173" s="183" t="s">
        <v>221</v>
      </c>
      <c r="C173" s="183" t="s">
        <v>178</v>
      </c>
      <c r="D173" s="183" t="s">
        <v>239</v>
      </c>
      <c r="E173" s="184" t="s">
        <v>1131</v>
      </c>
      <c r="F173" s="183" t="s">
        <v>243</v>
      </c>
      <c r="G173" s="183" t="s">
        <v>1277</v>
      </c>
      <c r="H173" s="183" t="s">
        <v>1420</v>
      </c>
      <c r="I173" s="290"/>
      <c r="J173" s="290"/>
      <c r="K173" s="290"/>
    </row>
    <row r="174" spans="1:11" ht="37.5" hidden="1" customHeight="1" x14ac:dyDescent="0.2">
      <c r="A174" s="185" t="s">
        <v>1805</v>
      </c>
      <c r="B174" s="183" t="s">
        <v>221</v>
      </c>
      <c r="C174" s="183" t="s">
        <v>178</v>
      </c>
      <c r="D174" s="183" t="s">
        <v>239</v>
      </c>
      <c r="E174" s="184" t="s">
        <v>1131</v>
      </c>
      <c r="F174" s="183" t="s">
        <v>243</v>
      </c>
      <c r="G174" s="183" t="s">
        <v>1242</v>
      </c>
      <c r="H174" s="183" t="s">
        <v>1420</v>
      </c>
      <c r="I174" s="290"/>
      <c r="J174" s="290"/>
      <c r="K174" s="290"/>
    </row>
    <row r="175" spans="1:11" ht="51" hidden="1" x14ac:dyDescent="0.2">
      <c r="A175" s="185" t="s">
        <v>1806</v>
      </c>
      <c r="B175" s="183" t="s">
        <v>221</v>
      </c>
      <c r="C175" s="183" t="s">
        <v>178</v>
      </c>
      <c r="D175" s="183" t="s">
        <v>239</v>
      </c>
      <c r="E175" s="184" t="s">
        <v>1131</v>
      </c>
      <c r="F175" s="183" t="s">
        <v>243</v>
      </c>
      <c r="G175" s="183" t="s">
        <v>1243</v>
      </c>
      <c r="H175" s="183" t="s">
        <v>1420</v>
      </c>
      <c r="I175" s="290"/>
      <c r="J175" s="290"/>
      <c r="K175" s="290"/>
    </row>
    <row r="176" spans="1:11" ht="38.25" hidden="1" x14ac:dyDescent="0.2">
      <c r="A176" s="185" t="s">
        <v>1905</v>
      </c>
      <c r="B176" s="183" t="s">
        <v>221</v>
      </c>
      <c r="C176" s="183" t="s">
        <v>178</v>
      </c>
      <c r="D176" s="183" t="s">
        <v>239</v>
      </c>
      <c r="E176" s="184" t="s">
        <v>1131</v>
      </c>
      <c r="F176" s="183" t="s">
        <v>243</v>
      </c>
      <c r="G176" s="183" t="s">
        <v>1906</v>
      </c>
      <c r="H176" s="183" t="s">
        <v>1420</v>
      </c>
      <c r="I176" s="290"/>
      <c r="J176" s="290"/>
      <c r="K176" s="290"/>
    </row>
    <row r="177" spans="1:11" ht="51" hidden="1" x14ac:dyDescent="0.2">
      <c r="A177" s="185" t="s">
        <v>1863</v>
      </c>
      <c r="B177" s="183" t="s">
        <v>221</v>
      </c>
      <c r="C177" s="183" t="s">
        <v>178</v>
      </c>
      <c r="D177" s="183" t="s">
        <v>239</v>
      </c>
      <c r="E177" s="184" t="s">
        <v>1131</v>
      </c>
      <c r="F177" s="183" t="s">
        <v>243</v>
      </c>
      <c r="G177" s="183" t="s">
        <v>1864</v>
      </c>
      <c r="H177" s="183" t="s">
        <v>1420</v>
      </c>
      <c r="I177" s="290"/>
      <c r="J177" s="290"/>
      <c r="K177" s="290"/>
    </row>
    <row r="178" spans="1:11" ht="38.25" hidden="1" x14ac:dyDescent="0.2">
      <c r="A178" s="185" t="s">
        <v>1953</v>
      </c>
      <c r="B178" s="183" t="s">
        <v>221</v>
      </c>
      <c r="C178" s="183" t="s">
        <v>178</v>
      </c>
      <c r="D178" s="183" t="s">
        <v>239</v>
      </c>
      <c r="E178" s="184" t="s">
        <v>1131</v>
      </c>
      <c r="F178" s="183" t="s">
        <v>243</v>
      </c>
      <c r="G178" s="183" t="s">
        <v>1952</v>
      </c>
      <c r="H178" s="183" t="s">
        <v>1420</v>
      </c>
      <c r="I178" s="290"/>
      <c r="J178" s="290"/>
      <c r="K178" s="290"/>
    </row>
    <row r="179" spans="1:11" ht="66.75" customHeight="1" x14ac:dyDescent="0.2">
      <c r="A179" s="185" t="s">
        <v>1810</v>
      </c>
      <c r="B179" s="183" t="s">
        <v>221</v>
      </c>
      <c r="C179" s="183" t="s">
        <v>178</v>
      </c>
      <c r="D179" s="183" t="s">
        <v>239</v>
      </c>
      <c r="E179" s="184" t="s">
        <v>1131</v>
      </c>
      <c r="F179" s="183" t="s">
        <v>243</v>
      </c>
      <c r="G179" s="183" t="s">
        <v>304</v>
      </c>
      <c r="H179" s="183" t="s">
        <v>1420</v>
      </c>
      <c r="I179" s="290">
        <v>994500</v>
      </c>
      <c r="J179" s="290">
        <v>1031600</v>
      </c>
      <c r="K179" s="290">
        <v>1031600</v>
      </c>
    </row>
    <row r="180" spans="1:11" ht="43.5" hidden="1" customHeight="1" x14ac:dyDescent="0.2">
      <c r="A180" s="185" t="s">
        <v>1811</v>
      </c>
      <c r="B180" s="183" t="s">
        <v>221</v>
      </c>
      <c r="C180" s="183" t="s">
        <v>178</v>
      </c>
      <c r="D180" s="183" t="s">
        <v>239</v>
      </c>
      <c r="E180" s="184" t="s">
        <v>1131</v>
      </c>
      <c r="F180" s="183" t="s">
        <v>243</v>
      </c>
      <c r="G180" s="183" t="s">
        <v>1723</v>
      </c>
      <c r="H180" s="183" t="s">
        <v>1420</v>
      </c>
      <c r="I180" s="290"/>
      <c r="J180" s="290"/>
      <c r="K180" s="290"/>
    </row>
    <row r="181" spans="1:11" ht="43.5" hidden="1" customHeight="1" x14ac:dyDescent="0.2">
      <c r="A181" s="185" t="s">
        <v>1814</v>
      </c>
      <c r="B181" s="183" t="s">
        <v>221</v>
      </c>
      <c r="C181" s="183" t="s">
        <v>178</v>
      </c>
      <c r="D181" s="183" t="s">
        <v>239</v>
      </c>
      <c r="E181" s="184" t="s">
        <v>1131</v>
      </c>
      <c r="F181" s="183" t="s">
        <v>243</v>
      </c>
      <c r="G181" s="183" t="s">
        <v>1865</v>
      </c>
      <c r="H181" s="183" t="s">
        <v>1420</v>
      </c>
      <c r="I181" s="290"/>
      <c r="J181" s="290"/>
      <c r="K181" s="290"/>
    </row>
    <row r="182" spans="1:11" ht="43.5" hidden="1" customHeight="1" x14ac:dyDescent="0.2">
      <c r="A182" s="185" t="s">
        <v>1857</v>
      </c>
      <c r="B182" s="183" t="s">
        <v>221</v>
      </c>
      <c r="C182" s="183" t="s">
        <v>178</v>
      </c>
      <c r="D182" s="183" t="s">
        <v>239</v>
      </c>
      <c r="E182" s="184" t="s">
        <v>1131</v>
      </c>
      <c r="F182" s="183" t="s">
        <v>243</v>
      </c>
      <c r="G182" s="183" t="s">
        <v>1871</v>
      </c>
      <c r="H182" s="183" t="s">
        <v>1420</v>
      </c>
      <c r="I182" s="290"/>
      <c r="J182" s="290"/>
      <c r="K182" s="290"/>
    </row>
    <row r="183" spans="1:11" ht="38.25" x14ac:dyDescent="0.2">
      <c r="A183" s="185" t="s">
        <v>1815</v>
      </c>
      <c r="B183" s="183" t="s">
        <v>221</v>
      </c>
      <c r="C183" s="183" t="s">
        <v>178</v>
      </c>
      <c r="D183" s="183" t="s">
        <v>239</v>
      </c>
      <c r="E183" s="184" t="s">
        <v>1131</v>
      </c>
      <c r="F183" s="183" t="s">
        <v>243</v>
      </c>
      <c r="G183" s="183" t="s">
        <v>1599</v>
      </c>
      <c r="H183" s="183" t="s">
        <v>1420</v>
      </c>
      <c r="I183" s="290">
        <v>351400</v>
      </c>
      <c r="J183" s="290">
        <v>351400</v>
      </c>
      <c r="K183" s="290">
        <v>351400</v>
      </c>
    </row>
    <row r="184" spans="1:11" ht="38.25" x14ac:dyDescent="0.2">
      <c r="A184" s="185" t="s">
        <v>1818</v>
      </c>
      <c r="B184" s="183" t="s">
        <v>221</v>
      </c>
      <c r="C184" s="183" t="s">
        <v>178</v>
      </c>
      <c r="D184" s="183" t="s">
        <v>239</v>
      </c>
      <c r="E184" s="184" t="s">
        <v>1131</v>
      </c>
      <c r="F184" s="183" t="s">
        <v>243</v>
      </c>
      <c r="G184" s="183" t="s">
        <v>1703</v>
      </c>
      <c r="H184" s="183" t="s">
        <v>1420</v>
      </c>
      <c r="I184" s="290">
        <v>8562200</v>
      </c>
      <c r="J184" s="290">
        <v>8904700</v>
      </c>
      <c r="K184" s="290">
        <v>9260900</v>
      </c>
    </row>
    <row r="185" spans="1:11" ht="38.25" x14ac:dyDescent="0.2">
      <c r="A185" s="185" t="s">
        <v>1819</v>
      </c>
      <c r="B185" s="183" t="s">
        <v>221</v>
      </c>
      <c r="C185" s="183" t="s">
        <v>178</v>
      </c>
      <c r="D185" s="183" t="s">
        <v>239</v>
      </c>
      <c r="E185" s="184" t="s">
        <v>1131</v>
      </c>
      <c r="F185" s="183" t="s">
        <v>243</v>
      </c>
      <c r="G185" s="183" t="s">
        <v>1247</v>
      </c>
      <c r="H185" s="183" t="s">
        <v>1420</v>
      </c>
      <c r="I185" s="290">
        <v>26207500</v>
      </c>
      <c r="J185" s="290">
        <v>26207500</v>
      </c>
      <c r="K185" s="290">
        <v>26207500</v>
      </c>
    </row>
    <row r="186" spans="1:11" ht="38.25" x14ac:dyDescent="0.2">
      <c r="A186" s="185" t="s">
        <v>1822</v>
      </c>
      <c r="B186" s="183" t="s">
        <v>221</v>
      </c>
      <c r="C186" s="183" t="s">
        <v>178</v>
      </c>
      <c r="D186" s="183" t="s">
        <v>239</v>
      </c>
      <c r="E186" s="184" t="s">
        <v>1131</v>
      </c>
      <c r="F186" s="183" t="s">
        <v>243</v>
      </c>
      <c r="G186" s="183" t="s">
        <v>1275</v>
      </c>
      <c r="H186" s="183" t="s">
        <v>1420</v>
      </c>
      <c r="I186" s="290">
        <v>6755000</v>
      </c>
      <c r="J186" s="290">
        <v>7720000</v>
      </c>
      <c r="K186" s="290">
        <v>7720000</v>
      </c>
    </row>
    <row r="187" spans="1:11" ht="38.25" x14ac:dyDescent="0.2">
      <c r="A187" s="185" t="s">
        <v>1821</v>
      </c>
      <c r="B187" s="183" t="s">
        <v>221</v>
      </c>
      <c r="C187" s="183" t="s">
        <v>178</v>
      </c>
      <c r="D187" s="183" t="s">
        <v>239</v>
      </c>
      <c r="E187" s="184" t="s">
        <v>1131</v>
      </c>
      <c r="F187" s="183" t="s">
        <v>243</v>
      </c>
      <c r="G187" s="183" t="s">
        <v>303</v>
      </c>
      <c r="H187" s="183" t="s">
        <v>1420</v>
      </c>
      <c r="I187" s="290">
        <v>94700</v>
      </c>
      <c r="J187" s="290">
        <v>94700</v>
      </c>
      <c r="K187" s="290">
        <v>94700</v>
      </c>
    </row>
    <row r="188" spans="1:11" ht="63.75" hidden="1" x14ac:dyDescent="0.2">
      <c r="A188" s="185" t="s">
        <v>1274</v>
      </c>
      <c r="B188" s="183" t="s">
        <v>221</v>
      </c>
      <c r="C188" s="183" t="s">
        <v>178</v>
      </c>
      <c r="D188" s="183" t="s">
        <v>239</v>
      </c>
      <c r="E188" s="184" t="s">
        <v>1131</v>
      </c>
      <c r="F188" s="183" t="s">
        <v>243</v>
      </c>
      <c r="G188" s="183" t="s">
        <v>1275</v>
      </c>
      <c r="H188" s="183" t="s">
        <v>1420</v>
      </c>
      <c r="I188" s="290"/>
      <c r="J188" s="290"/>
      <c r="K188" s="290"/>
    </row>
    <row r="189" spans="1:11" ht="178.5" hidden="1" x14ac:dyDescent="0.2">
      <c r="A189" s="185" t="s">
        <v>1289</v>
      </c>
      <c r="B189" s="183" t="s">
        <v>221</v>
      </c>
      <c r="C189" s="183" t="s">
        <v>178</v>
      </c>
      <c r="D189" s="183" t="s">
        <v>239</v>
      </c>
      <c r="E189" s="184" t="s">
        <v>1131</v>
      </c>
      <c r="F189" s="183" t="s">
        <v>243</v>
      </c>
      <c r="G189" s="183" t="s">
        <v>1290</v>
      </c>
      <c r="H189" s="183" t="s">
        <v>1420</v>
      </c>
      <c r="I189" s="290"/>
      <c r="J189" s="290"/>
      <c r="K189" s="290"/>
    </row>
    <row r="190" spans="1:11" ht="153" hidden="1" x14ac:dyDescent="0.2">
      <c r="A190" s="185" t="s">
        <v>1415</v>
      </c>
      <c r="B190" s="187" t="s">
        <v>221</v>
      </c>
      <c r="C190" s="187" t="s">
        <v>178</v>
      </c>
      <c r="D190" s="187" t="s">
        <v>239</v>
      </c>
      <c r="E190" s="187">
        <v>29999</v>
      </c>
      <c r="F190" s="187" t="s">
        <v>243</v>
      </c>
      <c r="G190" s="187">
        <v>7580</v>
      </c>
      <c r="H190" s="363">
        <v>150</v>
      </c>
      <c r="I190" s="290"/>
      <c r="J190" s="290"/>
      <c r="K190" s="290"/>
    </row>
    <row r="191" spans="1:11" ht="38.25" hidden="1" x14ac:dyDescent="0.2">
      <c r="A191" s="185" t="s">
        <v>1942</v>
      </c>
      <c r="B191" s="183" t="s">
        <v>221</v>
      </c>
      <c r="C191" s="183" t="s">
        <v>178</v>
      </c>
      <c r="D191" s="183" t="s">
        <v>239</v>
      </c>
      <c r="E191" s="184" t="s">
        <v>1131</v>
      </c>
      <c r="F191" s="183" t="s">
        <v>243</v>
      </c>
      <c r="G191" s="183" t="s">
        <v>1309</v>
      </c>
      <c r="H191" s="183" t="s">
        <v>1420</v>
      </c>
      <c r="I191" s="290"/>
      <c r="J191" s="290"/>
      <c r="K191" s="290"/>
    </row>
    <row r="192" spans="1:11" ht="76.5" hidden="1" x14ac:dyDescent="0.2">
      <c r="A192" s="286" t="s">
        <v>1307</v>
      </c>
      <c r="B192" s="183" t="s">
        <v>221</v>
      </c>
      <c r="C192" s="183" t="s">
        <v>178</v>
      </c>
      <c r="D192" s="183" t="s">
        <v>239</v>
      </c>
      <c r="E192" s="184" t="s">
        <v>1131</v>
      </c>
      <c r="F192" s="183" t="s">
        <v>243</v>
      </c>
      <c r="G192" s="183" t="s">
        <v>1306</v>
      </c>
      <c r="H192" s="183" t="s">
        <v>9</v>
      </c>
      <c r="I192" s="290">
        <f>294000-294000</f>
        <v>0</v>
      </c>
      <c r="J192" s="290"/>
      <c r="K192" s="290"/>
    </row>
    <row r="193" spans="1:11" ht="114.75" hidden="1" x14ac:dyDescent="0.2">
      <c r="A193" s="286" t="s">
        <v>1823</v>
      </c>
      <c r="B193" s="183" t="s">
        <v>221</v>
      </c>
      <c r="C193" s="183" t="s">
        <v>178</v>
      </c>
      <c r="D193" s="183" t="s">
        <v>239</v>
      </c>
      <c r="E193" s="184" t="s">
        <v>1131</v>
      </c>
      <c r="F193" s="183" t="s">
        <v>243</v>
      </c>
      <c r="G193" s="183" t="s">
        <v>1290</v>
      </c>
      <c r="H193" s="183" t="s">
        <v>1420</v>
      </c>
      <c r="I193" s="290"/>
      <c r="J193" s="290"/>
      <c r="K193" s="290"/>
    </row>
    <row r="194" spans="1:11" ht="63.75" hidden="1" x14ac:dyDescent="0.2">
      <c r="A194" s="185" t="s">
        <v>1825</v>
      </c>
      <c r="B194" s="183" t="s">
        <v>221</v>
      </c>
      <c r="C194" s="183" t="s">
        <v>178</v>
      </c>
      <c r="D194" s="183" t="s">
        <v>239</v>
      </c>
      <c r="E194" s="184" t="s">
        <v>1131</v>
      </c>
      <c r="F194" s="183" t="s">
        <v>243</v>
      </c>
      <c r="G194" s="183" t="s">
        <v>1298</v>
      </c>
      <c r="H194" s="183" t="s">
        <v>1420</v>
      </c>
      <c r="I194" s="290"/>
      <c r="J194" s="290"/>
      <c r="K194" s="290" t="s">
        <v>1943</v>
      </c>
    </row>
    <row r="195" spans="1:11" ht="89.25" hidden="1" x14ac:dyDescent="0.2">
      <c r="A195" s="185" t="s">
        <v>1826</v>
      </c>
      <c r="B195" s="183" t="s">
        <v>221</v>
      </c>
      <c r="C195" s="183" t="s">
        <v>178</v>
      </c>
      <c r="D195" s="183" t="s">
        <v>239</v>
      </c>
      <c r="E195" s="184" t="s">
        <v>1131</v>
      </c>
      <c r="F195" s="183" t="s">
        <v>243</v>
      </c>
      <c r="G195" s="183" t="s">
        <v>1299</v>
      </c>
      <c r="H195" s="183" t="s">
        <v>1420</v>
      </c>
      <c r="I195" s="290"/>
      <c r="J195" s="290"/>
      <c r="K195" s="290"/>
    </row>
    <row r="196" spans="1:11" ht="51" hidden="1" x14ac:dyDescent="0.2">
      <c r="A196" s="185" t="s">
        <v>1948</v>
      </c>
      <c r="B196" s="183" t="s">
        <v>221</v>
      </c>
      <c r="C196" s="183" t="s">
        <v>178</v>
      </c>
      <c r="D196" s="183" t="s">
        <v>239</v>
      </c>
      <c r="E196" s="184" t="s">
        <v>1131</v>
      </c>
      <c r="F196" s="183" t="s">
        <v>243</v>
      </c>
      <c r="G196" s="183" t="s">
        <v>1294</v>
      </c>
      <c r="H196" s="183" t="s">
        <v>1420</v>
      </c>
      <c r="I196" s="290"/>
      <c r="J196" s="290"/>
      <c r="K196" s="290"/>
    </row>
    <row r="197" spans="1:11" ht="31.5" customHeight="1" x14ac:dyDescent="0.2">
      <c r="A197" s="238" t="s">
        <v>1600</v>
      </c>
      <c r="B197" s="183" t="s">
        <v>221</v>
      </c>
      <c r="C197" s="183" t="s">
        <v>178</v>
      </c>
      <c r="D197" s="183" t="s">
        <v>239</v>
      </c>
      <c r="E197" s="184" t="s">
        <v>1132</v>
      </c>
      <c r="F197" s="183" t="s">
        <v>134</v>
      </c>
      <c r="G197" s="183" t="s">
        <v>136</v>
      </c>
      <c r="H197" s="183" t="s">
        <v>1420</v>
      </c>
      <c r="I197" s="162">
        <f>I198+I224+I232+I234+I228+I226+I230</f>
        <v>1026919200</v>
      </c>
      <c r="J197" s="162">
        <f>J198+J224+J232+J234+J228+J226+J230</f>
        <v>1018733800</v>
      </c>
      <c r="K197" s="162">
        <f>K198+K224+K232+K234+K228+K226+K230</f>
        <v>1022970600</v>
      </c>
    </row>
    <row r="198" spans="1:11" ht="36" customHeight="1" x14ac:dyDescent="0.2">
      <c r="A198" s="51" t="s">
        <v>6</v>
      </c>
      <c r="B198" s="183" t="s">
        <v>221</v>
      </c>
      <c r="C198" s="183" t="s">
        <v>178</v>
      </c>
      <c r="D198" s="183" t="s">
        <v>239</v>
      </c>
      <c r="E198" s="184" t="s">
        <v>1134</v>
      </c>
      <c r="F198" s="183" t="s">
        <v>134</v>
      </c>
      <c r="G198" s="183" t="s">
        <v>136</v>
      </c>
      <c r="H198" s="183" t="s">
        <v>1420</v>
      </c>
      <c r="I198" s="290">
        <f>I199</f>
        <v>1021948500</v>
      </c>
      <c r="J198" s="290">
        <f>J199</f>
        <v>1013463900</v>
      </c>
      <c r="K198" s="290">
        <f>K199</f>
        <v>1022970600</v>
      </c>
    </row>
    <row r="199" spans="1:11" ht="25.5" x14ac:dyDescent="0.2">
      <c r="A199" s="51" t="s">
        <v>7</v>
      </c>
      <c r="B199" s="183" t="s">
        <v>221</v>
      </c>
      <c r="C199" s="183" t="s">
        <v>178</v>
      </c>
      <c r="D199" s="183" t="s">
        <v>239</v>
      </c>
      <c r="E199" s="184" t="s">
        <v>1134</v>
      </c>
      <c r="F199" s="183" t="s">
        <v>243</v>
      </c>
      <c r="G199" s="183" t="s">
        <v>136</v>
      </c>
      <c r="H199" s="183" t="s">
        <v>1420</v>
      </c>
      <c r="I199" s="290">
        <f>SUM(I200:I223)</f>
        <v>1021948500</v>
      </c>
      <c r="J199" s="290">
        <f>SUM(J200:J223)</f>
        <v>1013463900</v>
      </c>
      <c r="K199" s="290">
        <f>SUM(K200:K223)</f>
        <v>1022970600</v>
      </c>
    </row>
    <row r="200" spans="1:11" ht="76.5" x14ac:dyDescent="0.2">
      <c r="A200" s="185" t="s">
        <v>1827</v>
      </c>
      <c r="B200" s="183" t="s">
        <v>221</v>
      </c>
      <c r="C200" s="183" t="s">
        <v>178</v>
      </c>
      <c r="D200" s="183" t="s">
        <v>239</v>
      </c>
      <c r="E200" s="186" t="s">
        <v>1134</v>
      </c>
      <c r="F200" s="183" t="s">
        <v>243</v>
      </c>
      <c r="G200" s="183" t="s">
        <v>1601</v>
      </c>
      <c r="H200" s="183" t="s">
        <v>1420</v>
      </c>
      <c r="I200" s="290">
        <v>906300</v>
      </c>
      <c r="J200" s="290">
        <v>906300</v>
      </c>
      <c r="K200" s="290">
        <v>906300</v>
      </c>
    </row>
    <row r="201" spans="1:11" ht="63.75" x14ac:dyDescent="0.2">
      <c r="A201" s="185" t="s">
        <v>1828</v>
      </c>
      <c r="B201" s="183" t="s">
        <v>221</v>
      </c>
      <c r="C201" s="183" t="s">
        <v>178</v>
      </c>
      <c r="D201" s="183" t="s">
        <v>239</v>
      </c>
      <c r="E201" s="186" t="s">
        <v>1134</v>
      </c>
      <c r="F201" s="183" t="s">
        <v>243</v>
      </c>
      <c r="G201" s="183">
        <v>2438</v>
      </c>
      <c r="H201" s="183">
        <v>150</v>
      </c>
      <c r="I201" s="290">
        <v>8700</v>
      </c>
      <c r="J201" s="290">
        <v>12300</v>
      </c>
      <c r="K201" s="290">
        <v>17000</v>
      </c>
    </row>
    <row r="202" spans="1:11" ht="63.75" hidden="1" x14ac:dyDescent="0.2">
      <c r="A202" s="185" t="s">
        <v>1829</v>
      </c>
      <c r="B202" s="183" t="s">
        <v>221</v>
      </c>
      <c r="C202" s="183" t="s">
        <v>178</v>
      </c>
      <c r="D202" s="183" t="s">
        <v>239</v>
      </c>
      <c r="E202" s="186" t="s">
        <v>1134</v>
      </c>
      <c r="F202" s="183" t="s">
        <v>243</v>
      </c>
      <c r="G202" s="183" t="s">
        <v>1763</v>
      </c>
      <c r="H202" s="183" t="s">
        <v>1420</v>
      </c>
      <c r="I202" s="290">
        <f>6021800-6021800</f>
        <v>0</v>
      </c>
      <c r="J202" s="290"/>
      <c r="K202" s="290"/>
    </row>
    <row r="203" spans="1:11" ht="153" x14ac:dyDescent="0.2">
      <c r="A203" s="185" t="s">
        <v>1830</v>
      </c>
      <c r="B203" s="183" t="s">
        <v>221</v>
      </c>
      <c r="C203" s="183" t="s">
        <v>178</v>
      </c>
      <c r="D203" s="183" t="s">
        <v>239</v>
      </c>
      <c r="E203" s="186" t="s">
        <v>1134</v>
      </c>
      <c r="F203" s="183" t="s">
        <v>243</v>
      </c>
      <c r="G203" s="183" t="s">
        <v>690</v>
      </c>
      <c r="H203" s="183" t="s">
        <v>1420</v>
      </c>
      <c r="I203" s="290">
        <v>90281800</v>
      </c>
      <c r="J203" s="290">
        <v>90281800</v>
      </c>
      <c r="K203" s="290">
        <v>90281800</v>
      </c>
    </row>
    <row r="204" spans="1:11" ht="153" x14ac:dyDescent="0.2">
      <c r="A204" s="185" t="s">
        <v>1831</v>
      </c>
      <c r="B204" s="183" t="s">
        <v>221</v>
      </c>
      <c r="C204" s="183" t="s">
        <v>178</v>
      </c>
      <c r="D204" s="183" t="s">
        <v>239</v>
      </c>
      <c r="E204" s="186" t="s">
        <v>1134</v>
      </c>
      <c r="F204" s="183" t="s">
        <v>243</v>
      </c>
      <c r="G204" s="183" t="s">
        <v>692</v>
      </c>
      <c r="H204" s="183" t="s">
        <v>1420</v>
      </c>
      <c r="I204" s="290">
        <v>91381800</v>
      </c>
      <c r="J204" s="290">
        <v>91381800</v>
      </c>
      <c r="K204" s="290">
        <v>91381800</v>
      </c>
    </row>
    <row r="205" spans="1:11" ht="51" x14ac:dyDescent="0.2">
      <c r="A205" s="185" t="s">
        <v>1832</v>
      </c>
      <c r="B205" s="183" t="s">
        <v>221</v>
      </c>
      <c r="C205" s="183" t="s">
        <v>178</v>
      </c>
      <c r="D205" s="183" t="s">
        <v>239</v>
      </c>
      <c r="E205" s="186" t="s">
        <v>1134</v>
      </c>
      <c r="F205" s="183" t="s">
        <v>243</v>
      </c>
      <c r="G205" s="183" t="s">
        <v>591</v>
      </c>
      <c r="H205" s="183" t="s">
        <v>1420</v>
      </c>
      <c r="I205" s="290">
        <v>80900</v>
      </c>
      <c r="J205" s="290">
        <v>80900</v>
      </c>
      <c r="K205" s="290">
        <v>80900</v>
      </c>
    </row>
    <row r="206" spans="1:11" ht="63.75" x14ac:dyDescent="0.2">
      <c r="A206" s="185" t="s">
        <v>1957</v>
      </c>
      <c r="B206" s="183" t="s">
        <v>221</v>
      </c>
      <c r="C206" s="183" t="s">
        <v>178</v>
      </c>
      <c r="D206" s="183" t="s">
        <v>239</v>
      </c>
      <c r="E206" s="186" t="s">
        <v>1134</v>
      </c>
      <c r="F206" s="183" t="s">
        <v>243</v>
      </c>
      <c r="G206" s="183" t="s">
        <v>1958</v>
      </c>
      <c r="H206" s="183" t="s">
        <v>1420</v>
      </c>
      <c r="I206" s="290">
        <v>2047000</v>
      </c>
      <c r="J206" s="290">
        <v>1887000</v>
      </c>
      <c r="K206" s="290">
        <v>1887000</v>
      </c>
    </row>
    <row r="207" spans="1:11" ht="63.75" x14ac:dyDescent="0.2">
      <c r="A207" s="185" t="s">
        <v>1833</v>
      </c>
      <c r="B207" s="183" t="s">
        <v>221</v>
      </c>
      <c r="C207" s="183" t="s">
        <v>178</v>
      </c>
      <c r="D207" s="183" t="s">
        <v>239</v>
      </c>
      <c r="E207" s="186" t="s">
        <v>1134</v>
      </c>
      <c r="F207" s="183" t="s">
        <v>243</v>
      </c>
      <c r="G207" s="183" t="s">
        <v>316</v>
      </c>
      <c r="H207" s="183" t="s">
        <v>1420</v>
      </c>
      <c r="I207" s="162">
        <v>826100</v>
      </c>
      <c r="J207" s="290">
        <v>826100</v>
      </c>
      <c r="K207" s="290">
        <v>826100</v>
      </c>
    </row>
    <row r="208" spans="1:11" ht="51" x14ac:dyDescent="0.2">
      <c r="A208" s="185" t="s">
        <v>1835</v>
      </c>
      <c r="B208" s="183" t="s">
        <v>221</v>
      </c>
      <c r="C208" s="183" t="s">
        <v>178</v>
      </c>
      <c r="D208" s="183" t="s">
        <v>239</v>
      </c>
      <c r="E208" s="186" t="s">
        <v>1134</v>
      </c>
      <c r="F208" s="183" t="s">
        <v>243</v>
      </c>
      <c r="G208" s="183" t="s">
        <v>312</v>
      </c>
      <c r="H208" s="183" t="s">
        <v>1420</v>
      </c>
      <c r="I208" s="290">
        <v>265800</v>
      </c>
      <c r="J208" s="290">
        <v>265800</v>
      </c>
      <c r="K208" s="290">
        <v>265800</v>
      </c>
    </row>
    <row r="209" spans="1:11" ht="38.25" x14ac:dyDescent="0.2">
      <c r="A209" s="185" t="s">
        <v>1836</v>
      </c>
      <c r="B209" s="187" t="s">
        <v>221</v>
      </c>
      <c r="C209" s="187" t="s">
        <v>178</v>
      </c>
      <c r="D209" s="187" t="s">
        <v>239</v>
      </c>
      <c r="E209" s="187" t="s">
        <v>1134</v>
      </c>
      <c r="F209" s="187" t="s">
        <v>243</v>
      </c>
      <c r="G209" s="187" t="s">
        <v>315</v>
      </c>
      <c r="H209" s="363" t="s">
        <v>1420</v>
      </c>
      <c r="I209" s="162">
        <v>1739200</v>
      </c>
      <c r="J209" s="290">
        <v>1739400</v>
      </c>
      <c r="K209" s="290">
        <v>1741600</v>
      </c>
    </row>
    <row r="210" spans="1:11" ht="55.5" customHeight="1" x14ac:dyDescent="0.2">
      <c r="A210" s="185" t="s">
        <v>1837</v>
      </c>
      <c r="B210" s="187" t="s">
        <v>221</v>
      </c>
      <c r="C210" s="187" t="s">
        <v>178</v>
      </c>
      <c r="D210" s="187" t="s">
        <v>239</v>
      </c>
      <c r="E210" s="187" t="s">
        <v>1134</v>
      </c>
      <c r="F210" s="187" t="s">
        <v>243</v>
      </c>
      <c r="G210" s="187" t="s">
        <v>314</v>
      </c>
      <c r="H210" s="363">
        <v>150</v>
      </c>
      <c r="I210" s="162">
        <v>1151500</v>
      </c>
      <c r="J210" s="290">
        <v>1151500</v>
      </c>
      <c r="K210" s="290">
        <v>1151500</v>
      </c>
    </row>
    <row r="211" spans="1:11" ht="51" x14ac:dyDescent="0.2">
      <c r="A211" s="185" t="s">
        <v>1838</v>
      </c>
      <c r="B211" s="187" t="s">
        <v>221</v>
      </c>
      <c r="C211" s="187" t="s">
        <v>178</v>
      </c>
      <c r="D211" s="187" t="s">
        <v>239</v>
      </c>
      <c r="E211" s="187" t="s">
        <v>1134</v>
      </c>
      <c r="F211" s="187" t="s">
        <v>243</v>
      </c>
      <c r="G211" s="187" t="s">
        <v>310</v>
      </c>
      <c r="H211" s="363">
        <v>150</v>
      </c>
      <c r="I211" s="290">
        <v>89100</v>
      </c>
      <c r="J211" s="290">
        <v>89100</v>
      </c>
      <c r="K211" s="290">
        <v>89100</v>
      </c>
    </row>
    <row r="212" spans="1:11" ht="51" x14ac:dyDescent="0.2">
      <c r="A212" s="185" t="s">
        <v>1839</v>
      </c>
      <c r="B212" s="187" t="s">
        <v>221</v>
      </c>
      <c r="C212" s="187" t="s">
        <v>178</v>
      </c>
      <c r="D212" s="187" t="s">
        <v>239</v>
      </c>
      <c r="E212" s="187" t="s">
        <v>1134</v>
      </c>
      <c r="F212" s="187" t="s">
        <v>243</v>
      </c>
      <c r="G212" s="187" t="s">
        <v>309</v>
      </c>
      <c r="H212" s="363">
        <v>150</v>
      </c>
      <c r="I212" s="290">
        <v>6045800</v>
      </c>
      <c r="J212" s="290">
        <v>6045800</v>
      </c>
      <c r="K212" s="290">
        <v>6045800</v>
      </c>
    </row>
    <row r="213" spans="1:11" ht="102" x14ac:dyDescent="0.2">
      <c r="A213" s="185" t="s">
        <v>1840</v>
      </c>
      <c r="B213" s="187" t="s">
        <v>221</v>
      </c>
      <c r="C213" s="187" t="s">
        <v>178</v>
      </c>
      <c r="D213" s="187" t="s">
        <v>239</v>
      </c>
      <c r="E213" s="187" t="s">
        <v>1134</v>
      </c>
      <c r="F213" s="187" t="s">
        <v>243</v>
      </c>
      <c r="G213" s="187" t="s">
        <v>305</v>
      </c>
      <c r="H213" s="363">
        <v>150</v>
      </c>
      <c r="I213" s="290">
        <v>800300</v>
      </c>
      <c r="J213" s="290">
        <v>800300</v>
      </c>
      <c r="K213" s="290">
        <v>800300</v>
      </c>
    </row>
    <row r="214" spans="1:11" ht="63.75" x14ac:dyDescent="0.2">
      <c r="A214" s="185" t="s">
        <v>2020</v>
      </c>
      <c r="B214" s="187">
        <v>890</v>
      </c>
      <c r="C214" s="187">
        <v>2</v>
      </c>
      <c r="D214" s="187" t="s">
        <v>239</v>
      </c>
      <c r="E214" s="187">
        <v>30024</v>
      </c>
      <c r="F214" s="187" t="s">
        <v>243</v>
      </c>
      <c r="G214" s="187" t="s">
        <v>2021</v>
      </c>
      <c r="H214" s="363" t="s">
        <v>1420</v>
      </c>
      <c r="I214" s="290">
        <v>2956600</v>
      </c>
      <c r="J214" s="290">
        <v>2956600</v>
      </c>
      <c r="K214" s="290">
        <v>2956600</v>
      </c>
    </row>
    <row r="215" spans="1:11" ht="114.75" x14ac:dyDescent="0.2">
      <c r="A215" s="185" t="s">
        <v>1841</v>
      </c>
      <c r="B215" s="187" t="s">
        <v>221</v>
      </c>
      <c r="C215" s="187" t="s">
        <v>178</v>
      </c>
      <c r="D215" s="187" t="s">
        <v>239</v>
      </c>
      <c r="E215" s="187" t="s">
        <v>1134</v>
      </c>
      <c r="F215" s="187" t="s">
        <v>243</v>
      </c>
      <c r="G215" s="187" t="s">
        <v>306</v>
      </c>
      <c r="H215" s="363">
        <v>150</v>
      </c>
      <c r="I215" s="290">
        <v>377883700</v>
      </c>
      <c r="J215" s="290">
        <v>377883700</v>
      </c>
      <c r="K215" s="290">
        <v>377883700</v>
      </c>
    </row>
    <row r="216" spans="1:11" ht="76.5" x14ac:dyDescent="0.2">
      <c r="A216" s="185" t="s">
        <v>1842</v>
      </c>
      <c r="B216" s="187" t="s">
        <v>221</v>
      </c>
      <c r="C216" s="187" t="s">
        <v>178</v>
      </c>
      <c r="D216" s="187" t="s">
        <v>239</v>
      </c>
      <c r="E216" s="187" t="s">
        <v>1134</v>
      </c>
      <c r="F216" s="187" t="s">
        <v>243</v>
      </c>
      <c r="G216" s="187" t="s">
        <v>307</v>
      </c>
      <c r="H216" s="363">
        <v>150</v>
      </c>
      <c r="I216" s="290">
        <v>23806300</v>
      </c>
      <c r="J216" s="290">
        <v>19648700</v>
      </c>
      <c r="K216" s="290">
        <v>26810300</v>
      </c>
    </row>
    <row r="217" spans="1:11" ht="51" x14ac:dyDescent="0.2">
      <c r="A217" s="185" t="s">
        <v>1843</v>
      </c>
      <c r="B217" s="187" t="s">
        <v>221</v>
      </c>
      <c r="C217" s="187" t="s">
        <v>178</v>
      </c>
      <c r="D217" s="187" t="s">
        <v>239</v>
      </c>
      <c r="E217" s="187" t="s">
        <v>1134</v>
      </c>
      <c r="F217" s="187" t="s">
        <v>243</v>
      </c>
      <c r="G217" s="187" t="s">
        <v>592</v>
      </c>
      <c r="H217" s="363">
        <v>150</v>
      </c>
      <c r="I217" s="290">
        <v>197202600</v>
      </c>
      <c r="J217" s="290">
        <v>205090700</v>
      </c>
      <c r="K217" s="290">
        <v>205090700</v>
      </c>
    </row>
    <row r="218" spans="1:11" ht="76.5" x14ac:dyDescent="0.2">
      <c r="A218" s="185" t="s">
        <v>1844</v>
      </c>
      <c r="B218" s="187" t="s">
        <v>221</v>
      </c>
      <c r="C218" s="187" t="s">
        <v>178</v>
      </c>
      <c r="D218" s="187" t="s">
        <v>239</v>
      </c>
      <c r="E218" s="187" t="s">
        <v>1134</v>
      </c>
      <c r="F218" s="187" t="s">
        <v>243</v>
      </c>
      <c r="G218" s="187" t="s">
        <v>313</v>
      </c>
      <c r="H218" s="363">
        <v>150</v>
      </c>
      <c r="I218" s="162">
        <v>17100500</v>
      </c>
      <c r="J218" s="162">
        <v>17100500</v>
      </c>
      <c r="K218" s="290">
        <v>17100500</v>
      </c>
    </row>
    <row r="219" spans="1:11" ht="63.75" x14ac:dyDescent="0.2">
      <c r="A219" s="185" t="s">
        <v>1845</v>
      </c>
      <c r="B219" s="187" t="s">
        <v>221</v>
      </c>
      <c r="C219" s="187" t="s">
        <v>178</v>
      </c>
      <c r="D219" s="187" t="s">
        <v>239</v>
      </c>
      <c r="E219" s="187" t="s">
        <v>1134</v>
      </c>
      <c r="F219" s="187" t="s">
        <v>243</v>
      </c>
      <c r="G219" s="187">
        <v>7587</v>
      </c>
      <c r="H219" s="363">
        <v>150</v>
      </c>
      <c r="I219" s="162">
        <v>5157500</v>
      </c>
      <c r="J219" s="290">
        <v>1654600</v>
      </c>
      <c r="K219" s="290">
        <v>3992800</v>
      </c>
    </row>
    <row r="220" spans="1:11" ht="165.75" x14ac:dyDescent="0.2">
      <c r="A220" s="185" t="s">
        <v>1846</v>
      </c>
      <c r="B220" s="187" t="s">
        <v>221</v>
      </c>
      <c r="C220" s="187" t="s">
        <v>178</v>
      </c>
      <c r="D220" s="187" t="s">
        <v>239</v>
      </c>
      <c r="E220" s="187" t="s">
        <v>1134</v>
      </c>
      <c r="F220" s="187" t="s">
        <v>243</v>
      </c>
      <c r="G220" s="187" t="s">
        <v>308</v>
      </c>
      <c r="H220" s="363">
        <v>150</v>
      </c>
      <c r="I220" s="290">
        <v>146440200</v>
      </c>
      <c r="J220" s="290">
        <v>146440300</v>
      </c>
      <c r="K220" s="290">
        <v>146440300</v>
      </c>
    </row>
    <row r="221" spans="1:11" ht="51" x14ac:dyDescent="0.2">
      <c r="A221" s="185" t="s">
        <v>1847</v>
      </c>
      <c r="B221" s="187" t="s">
        <v>221</v>
      </c>
      <c r="C221" s="187" t="s">
        <v>178</v>
      </c>
      <c r="D221" s="187" t="s">
        <v>239</v>
      </c>
      <c r="E221" s="187" t="s">
        <v>1134</v>
      </c>
      <c r="F221" s="187" t="s">
        <v>243</v>
      </c>
      <c r="G221" s="187" t="s">
        <v>317</v>
      </c>
      <c r="H221" s="363">
        <v>150</v>
      </c>
      <c r="I221" s="290">
        <v>42780600</v>
      </c>
      <c r="J221" s="290">
        <v>34224500</v>
      </c>
      <c r="K221" s="290">
        <v>34224500</v>
      </c>
    </row>
    <row r="222" spans="1:11" ht="51" x14ac:dyDescent="0.2">
      <c r="A222" s="185" t="s">
        <v>1848</v>
      </c>
      <c r="B222" s="187" t="s">
        <v>221</v>
      </c>
      <c r="C222" s="187" t="s">
        <v>178</v>
      </c>
      <c r="D222" s="187" t="s">
        <v>239</v>
      </c>
      <c r="E222" s="187" t="s">
        <v>1134</v>
      </c>
      <c r="F222" s="187" t="s">
        <v>243</v>
      </c>
      <c r="G222" s="187" t="s">
        <v>311</v>
      </c>
      <c r="H222" s="363">
        <v>150</v>
      </c>
      <c r="I222" s="290">
        <v>1621700</v>
      </c>
      <c r="J222" s="290">
        <v>1621700</v>
      </c>
      <c r="K222" s="290">
        <v>1621700</v>
      </c>
    </row>
    <row r="223" spans="1:11" ht="38.25" x14ac:dyDescent="0.2">
      <c r="A223" s="185" t="s">
        <v>1849</v>
      </c>
      <c r="B223" s="187">
        <v>890</v>
      </c>
      <c r="C223" s="184">
        <v>2</v>
      </c>
      <c r="D223" s="184" t="s">
        <v>239</v>
      </c>
      <c r="E223" s="184">
        <v>30024</v>
      </c>
      <c r="F223" s="184" t="s">
        <v>243</v>
      </c>
      <c r="G223" s="184" t="s">
        <v>1355</v>
      </c>
      <c r="H223" s="183" t="s">
        <v>1420</v>
      </c>
      <c r="I223" s="290">
        <v>11374500</v>
      </c>
      <c r="J223" s="290">
        <v>11374500</v>
      </c>
      <c r="K223" s="290">
        <v>11374500</v>
      </c>
    </row>
    <row r="224" spans="1:11" ht="51" hidden="1" x14ac:dyDescent="0.2">
      <c r="A224" s="185" t="s">
        <v>1602</v>
      </c>
      <c r="B224" s="184" t="s">
        <v>221</v>
      </c>
      <c r="C224" s="184" t="s">
        <v>178</v>
      </c>
      <c r="D224" s="184" t="s">
        <v>239</v>
      </c>
      <c r="E224" s="184" t="s">
        <v>1135</v>
      </c>
      <c r="F224" s="184" t="s">
        <v>134</v>
      </c>
      <c r="G224" s="184" t="s">
        <v>136</v>
      </c>
      <c r="H224" s="183" t="s">
        <v>1420</v>
      </c>
      <c r="I224" s="162">
        <f>I225</f>
        <v>0</v>
      </c>
      <c r="J224" s="162">
        <f>J225</f>
        <v>0</v>
      </c>
      <c r="K224" s="162">
        <f>K225</f>
        <v>0</v>
      </c>
    </row>
    <row r="225" spans="1:11" ht="102" hidden="1" x14ac:dyDescent="0.2">
      <c r="A225" s="185" t="s">
        <v>1603</v>
      </c>
      <c r="B225" s="184" t="s">
        <v>221</v>
      </c>
      <c r="C225" s="184" t="s">
        <v>178</v>
      </c>
      <c r="D225" s="184" t="s">
        <v>239</v>
      </c>
      <c r="E225" s="184" t="s">
        <v>1135</v>
      </c>
      <c r="F225" s="184" t="s">
        <v>243</v>
      </c>
      <c r="G225" s="184" t="s">
        <v>136</v>
      </c>
      <c r="H225" s="183" t="s">
        <v>1420</v>
      </c>
      <c r="I225" s="290"/>
      <c r="J225" s="290"/>
      <c r="K225" s="290"/>
    </row>
    <row r="226" spans="1:11" ht="51" hidden="1" x14ac:dyDescent="0.2">
      <c r="A226" s="7" t="s">
        <v>1356</v>
      </c>
      <c r="B226" s="184" t="s">
        <v>169</v>
      </c>
      <c r="C226" s="184" t="s">
        <v>178</v>
      </c>
      <c r="D226" s="184" t="s">
        <v>239</v>
      </c>
      <c r="E226" s="184" t="s">
        <v>1357</v>
      </c>
      <c r="F226" s="184" t="s">
        <v>134</v>
      </c>
      <c r="G226" s="184" t="s">
        <v>136</v>
      </c>
      <c r="H226" s="183" t="s">
        <v>1420</v>
      </c>
      <c r="I226" s="162">
        <f>I227</f>
        <v>0</v>
      </c>
      <c r="J226" s="162">
        <f>J227</f>
        <v>0</v>
      </c>
      <c r="K226" s="162">
        <f>K227</f>
        <v>0</v>
      </c>
    </row>
    <row r="227" spans="1:11" ht="102" hidden="1" x14ac:dyDescent="0.2">
      <c r="A227" s="7" t="s">
        <v>1421</v>
      </c>
      <c r="B227" s="184" t="s">
        <v>221</v>
      </c>
      <c r="C227" s="184" t="s">
        <v>178</v>
      </c>
      <c r="D227" s="184" t="s">
        <v>239</v>
      </c>
      <c r="E227" s="184" t="s">
        <v>1357</v>
      </c>
      <c r="F227" s="184" t="s">
        <v>243</v>
      </c>
      <c r="G227" s="184" t="s">
        <v>136</v>
      </c>
      <c r="H227" s="183" t="s">
        <v>1420</v>
      </c>
      <c r="I227" s="290">
        <v>0</v>
      </c>
      <c r="J227" s="290">
        <v>0</v>
      </c>
      <c r="K227" s="290">
        <v>0</v>
      </c>
    </row>
    <row r="228" spans="1:11" ht="25.5" x14ac:dyDescent="0.2">
      <c r="A228" s="7" t="s">
        <v>1604</v>
      </c>
      <c r="B228" s="183" t="s">
        <v>221</v>
      </c>
      <c r="C228" s="183" t="s">
        <v>178</v>
      </c>
      <c r="D228" s="183" t="s">
        <v>239</v>
      </c>
      <c r="E228" s="184" t="s">
        <v>1133</v>
      </c>
      <c r="F228" s="183" t="s">
        <v>134</v>
      </c>
      <c r="G228" s="183" t="s">
        <v>136</v>
      </c>
      <c r="H228" s="183" t="s">
        <v>1420</v>
      </c>
      <c r="I228" s="162">
        <f>I229</f>
        <v>4948600</v>
      </c>
      <c r="J228" s="162">
        <f>J229</f>
        <v>5097000</v>
      </c>
      <c r="K228" s="162">
        <f>K229</f>
        <v>0</v>
      </c>
    </row>
    <row r="229" spans="1:11" ht="38.25" x14ac:dyDescent="0.2">
      <c r="A229" s="7" t="s">
        <v>1605</v>
      </c>
      <c r="B229" s="183" t="s">
        <v>221</v>
      </c>
      <c r="C229" s="183" t="s">
        <v>178</v>
      </c>
      <c r="D229" s="183" t="s">
        <v>239</v>
      </c>
      <c r="E229" s="184" t="s">
        <v>1133</v>
      </c>
      <c r="F229" s="183" t="s">
        <v>243</v>
      </c>
      <c r="G229" s="183" t="s">
        <v>136</v>
      </c>
      <c r="H229" s="183" t="s">
        <v>1420</v>
      </c>
      <c r="I229" s="290">
        <v>4948600</v>
      </c>
      <c r="J229" s="290">
        <v>5097000</v>
      </c>
      <c r="K229" s="290"/>
    </row>
    <row r="230" spans="1:11" ht="38.25" x14ac:dyDescent="0.2">
      <c r="A230" s="7" t="s">
        <v>1358</v>
      </c>
      <c r="B230" s="183" t="s">
        <v>169</v>
      </c>
      <c r="C230" s="183" t="s">
        <v>178</v>
      </c>
      <c r="D230" s="183" t="s">
        <v>239</v>
      </c>
      <c r="E230" s="184" t="s">
        <v>1359</v>
      </c>
      <c r="F230" s="183" t="s">
        <v>134</v>
      </c>
      <c r="G230" s="183" t="s">
        <v>136</v>
      </c>
      <c r="H230" s="183" t="s">
        <v>1420</v>
      </c>
      <c r="I230" s="290">
        <f>I231</f>
        <v>22100</v>
      </c>
      <c r="J230" s="290">
        <f>J231</f>
        <v>172900</v>
      </c>
      <c r="K230" s="290">
        <f>K231</f>
        <v>0</v>
      </c>
    </row>
    <row r="231" spans="1:11" ht="51" x14ac:dyDescent="0.2">
      <c r="A231" s="7" t="s">
        <v>1606</v>
      </c>
      <c r="B231" s="183" t="s">
        <v>221</v>
      </c>
      <c r="C231" s="183" t="s">
        <v>178</v>
      </c>
      <c r="D231" s="183" t="s">
        <v>239</v>
      </c>
      <c r="E231" s="184" t="s">
        <v>1359</v>
      </c>
      <c r="F231" s="183" t="s">
        <v>243</v>
      </c>
      <c r="G231" s="183" t="s">
        <v>136</v>
      </c>
      <c r="H231" s="183" t="s">
        <v>1420</v>
      </c>
      <c r="I231" s="290">
        <v>22100</v>
      </c>
      <c r="J231" s="290">
        <v>172900</v>
      </c>
      <c r="K231" s="290"/>
    </row>
    <row r="232" spans="1:11" ht="36.75" hidden="1" customHeight="1" x14ac:dyDescent="0.2">
      <c r="A232" s="322" t="s">
        <v>1761</v>
      </c>
      <c r="B232" s="184" t="s">
        <v>169</v>
      </c>
      <c r="C232" s="184" t="s">
        <v>178</v>
      </c>
      <c r="D232" s="184" t="s">
        <v>239</v>
      </c>
      <c r="E232" s="184" t="s">
        <v>1762</v>
      </c>
      <c r="F232" s="184" t="s">
        <v>134</v>
      </c>
      <c r="G232" s="184" t="s">
        <v>136</v>
      </c>
      <c r="H232" s="183" t="s">
        <v>1420</v>
      </c>
      <c r="I232" s="162">
        <f>I233</f>
        <v>0</v>
      </c>
      <c r="J232" s="162">
        <f>J233</f>
        <v>0</v>
      </c>
      <c r="K232" s="162">
        <f>K233</f>
        <v>0</v>
      </c>
    </row>
    <row r="233" spans="1:11" ht="25.5" hidden="1" x14ac:dyDescent="0.2">
      <c r="A233" s="7" t="s">
        <v>1866</v>
      </c>
      <c r="B233" s="184" t="s">
        <v>221</v>
      </c>
      <c r="C233" s="184" t="s">
        <v>178</v>
      </c>
      <c r="D233" s="184" t="s">
        <v>239</v>
      </c>
      <c r="E233" s="184" t="s">
        <v>1762</v>
      </c>
      <c r="F233" s="184" t="s">
        <v>243</v>
      </c>
      <c r="G233" s="184" t="s">
        <v>136</v>
      </c>
      <c r="H233" s="183" t="s">
        <v>1420</v>
      </c>
      <c r="I233" s="290">
        <f>674000-86000-588000</f>
        <v>0</v>
      </c>
      <c r="J233" s="290">
        <v>0</v>
      </c>
      <c r="K233" s="290">
        <v>0</v>
      </c>
    </row>
    <row r="234" spans="1:11" hidden="1" x14ac:dyDescent="0.2">
      <c r="A234" s="7" t="s">
        <v>687</v>
      </c>
      <c r="B234" s="184" t="s">
        <v>221</v>
      </c>
      <c r="C234" s="184" t="s">
        <v>178</v>
      </c>
      <c r="D234" s="184" t="s">
        <v>239</v>
      </c>
      <c r="E234" s="184" t="s">
        <v>1136</v>
      </c>
      <c r="F234" s="184" t="s">
        <v>134</v>
      </c>
      <c r="G234" s="184" t="s">
        <v>136</v>
      </c>
      <c r="H234" s="183" t="s">
        <v>9</v>
      </c>
      <c r="I234" s="162">
        <f>I235</f>
        <v>0</v>
      </c>
      <c r="J234" s="162">
        <f>J235</f>
        <v>0</v>
      </c>
      <c r="K234" s="162">
        <f>K235</f>
        <v>0</v>
      </c>
    </row>
    <row r="235" spans="1:11" hidden="1" x14ac:dyDescent="0.2">
      <c r="A235" s="7" t="s">
        <v>688</v>
      </c>
      <c r="B235" s="184" t="s">
        <v>221</v>
      </c>
      <c r="C235" s="184" t="s">
        <v>178</v>
      </c>
      <c r="D235" s="184" t="s">
        <v>239</v>
      </c>
      <c r="E235" s="184" t="s">
        <v>1136</v>
      </c>
      <c r="F235" s="184" t="s">
        <v>243</v>
      </c>
      <c r="G235" s="184" t="s">
        <v>136</v>
      </c>
      <c r="H235" s="183" t="s">
        <v>9</v>
      </c>
      <c r="I235" s="162">
        <f>SUM(I236:I237)</f>
        <v>0</v>
      </c>
      <c r="J235" s="162">
        <f>SUM(J236:J237)</f>
        <v>0</v>
      </c>
      <c r="K235" s="162">
        <f>SUM(K236:K237)</f>
        <v>0</v>
      </c>
    </row>
    <row r="236" spans="1:11" ht="153" hidden="1" x14ac:dyDescent="0.2">
      <c r="A236" s="185" t="s">
        <v>689</v>
      </c>
      <c r="B236" s="184" t="s">
        <v>221</v>
      </c>
      <c r="C236" s="184" t="s">
        <v>178</v>
      </c>
      <c r="D236" s="184" t="s">
        <v>239</v>
      </c>
      <c r="E236" s="184" t="s">
        <v>1136</v>
      </c>
      <c r="F236" s="184" t="s">
        <v>243</v>
      </c>
      <c r="G236" s="184" t="s">
        <v>690</v>
      </c>
      <c r="H236" s="183" t="s">
        <v>9</v>
      </c>
      <c r="I236" s="162">
        <v>0</v>
      </c>
      <c r="J236" s="162">
        <v>0</v>
      </c>
      <c r="K236" s="290">
        <v>0</v>
      </c>
    </row>
    <row r="237" spans="1:11" ht="153" hidden="1" x14ac:dyDescent="0.2">
      <c r="A237" s="185" t="s">
        <v>691</v>
      </c>
      <c r="B237" s="184" t="s">
        <v>221</v>
      </c>
      <c r="C237" s="184" t="s">
        <v>178</v>
      </c>
      <c r="D237" s="184" t="s">
        <v>239</v>
      </c>
      <c r="E237" s="184" t="s">
        <v>1136</v>
      </c>
      <c r="F237" s="184" t="s">
        <v>243</v>
      </c>
      <c r="G237" s="184" t="s">
        <v>692</v>
      </c>
      <c r="H237" s="183" t="s">
        <v>9</v>
      </c>
      <c r="I237" s="162">
        <v>0</v>
      </c>
      <c r="J237" s="290">
        <v>0</v>
      </c>
      <c r="K237" s="290">
        <v>0</v>
      </c>
    </row>
    <row r="238" spans="1:11" x14ac:dyDescent="0.2">
      <c r="A238" s="7" t="s">
        <v>72</v>
      </c>
      <c r="B238" s="187" t="s">
        <v>221</v>
      </c>
      <c r="C238" s="187" t="s">
        <v>178</v>
      </c>
      <c r="D238" s="187" t="s">
        <v>239</v>
      </c>
      <c r="E238" s="187" t="s">
        <v>1137</v>
      </c>
      <c r="F238" s="187" t="s">
        <v>134</v>
      </c>
      <c r="G238" s="187" t="s">
        <v>136</v>
      </c>
      <c r="H238" s="363">
        <v>150</v>
      </c>
      <c r="I238" s="162">
        <f>I239+I245+I241+I243</f>
        <v>2318630</v>
      </c>
      <c r="J238" s="162">
        <f>J239+J245+J241</f>
        <v>2318630</v>
      </c>
      <c r="K238" s="162">
        <f>K239+K245+K241</f>
        <v>2318630</v>
      </c>
    </row>
    <row r="239" spans="1:11" ht="51" x14ac:dyDescent="0.2">
      <c r="A239" s="7" t="s">
        <v>1254</v>
      </c>
      <c r="B239" s="184">
        <v>890</v>
      </c>
      <c r="C239" s="184">
        <v>2</v>
      </c>
      <c r="D239" s="184" t="s">
        <v>239</v>
      </c>
      <c r="E239" s="184">
        <v>40014</v>
      </c>
      <c r="F239" s="184" t="s">
        <v>134</v>
      </c>
      <c r="G239" s="184" t="s">
        <v>136</v>
      </c>
      <c r="H239" s="183" t="s">
        <v>1420</v>
      </c>
      <c r="I239" s="162">
        <f>I240</f>
        <v>2318630</v>
      </c>
      <c r="J239" s="162">
        <f>J240</f>
        <v>2318630</v>
      </c>
      <c r="K239" s="162">
        <f>K240</f>
        <v>2318630</v>
      </c>
    </row>
    <row r="240" spans="1:11" ht="51" x14ac:dyDescent="0.2">
      <c r="A240" s="7" t="s">
        <v>234</v>
      </c>
      <c r="B240" s="187" t="s">
        <v>221</v>
      </c>
      <c r="C240" s="187" t="s">
        <v>178</v>
      </c>
      <c r="D240" s="187" t="s">
        <v>239</v>
      </c>
      <c r="E240" s="187" t="s">
        <v>1138</v>
      </c>
      <c r="F240" s="187" t="s">
        <v>243</v>
      </c>
      <c r="G240" s="187" t="s">
        <v>136</v>
      </c>
      <c r="H240" s="363">
        <v>150</v>
      </c>
      <c r="I240" s="162">
        <v>2318630</v>
      </c>
      <c r="J240" s="290">
        <v>2318630</v>
      </c>
      <c r="K240" s="290">
        <v>2318630</v>
      </c>
    </row>
    <row r="241" spans="1:11" ht="48" hidden="1" customHeight="1" x14ac:dyDescent="0.2">
      <c r="A241" s="7" t="s">
        <v>1757</v>
      </c>
      <c r="B241" s="184">
        <v>890</v>
      </c>
      <c r="C241" s="184" t="s">
        <v>178</v>
      </c>
      <c r="D241" s="184" t="s">
        <v>239</v>
      </c>
      <c r="E241" s="184" t="s">
        <v>1758</v>
      </c>
      <c r="F241" s="184" t="s">
        <v>134</v>
      </c>
      <c r="G241" s="184" t="s">
        <v>136</v>
      </c>
      <c r="H241" s="183">
        <v>150</v>
      </c>
      <c r="I241" s="162">
        <f>I242</f>
        <v>0</v>
      </c>
      <c r="J241" s="290"/>
      <c r="K241" s="290"/>
    </row>
    <row r="242" spans="1:11" ht="54.75" hidden="1" customHeight="1" x14ac:dyDescent="0.2">
      <c r="A242" s="7" t="s">
        <v>1759</v>
      </c>
      <c r="B242" s="184" t="s">
        <v>221</v>
      </c>
      <c r="C242" s="184" t="s">
        <v>178</v>
      </c>
      <c r="D242" s="184" t="s">
        <v>239</v>
      </c>
      <c r="E242" s="184" t="s">
        <v>1758</v>
      </c>
      <c r="F242" s="184" t="s">
        <v>243</v>
      </c>
      <c r="G242" s="184" t="s">
        <v>136</v>
      </c>
      <c r="H242" s="183" t="s">
        <v>1420</v>
      </c>
      <c r="I242" s="162"/>
      <c r="J242" s="290"/>
      <c r="K242" s="290"/>
    </row>
    <row r="243" spans="1:11" ht="33" hidden="1" customHeight="1" x14ac:dyDescent="0.2">
      <c r="A243" s="7" t="s">
        <v>1861</v>
      </c>
      <c r="B243" s="184" t="s">
        <v>221</v>
      </c>
      <c r="C243" s="184" t="s">
        <v>178</v>
      </c>
      <c r="D243" s="184" t="s">
        <v>239</v>
      </c>
      <c r="E243" s="184" t="s">
        <v>1860</v>
      </c>
      <c r="F243" s="184" t="s">
        <v>134</v>
      </c>
      <c r="G243" s="184" t="s">
        <v>136</v>
      </c>
      <c r="H243" s="183" t="s">
        <v>1420</v>
      </c>
      <c r="I243" s="162">
        <f>I244</f>
        <v>0</v>
      </c>
      <c r="J243" s="290"/>
      <c r="K243" s="290"/>
    </row>
    <row r="244" spans="1:11" ht="42" hidden="1" customHeight="1" x14ac:dyDescent="0.2">
      <c r="A244" s="7" t="s">
        <v>1859</v>
      </c>
      <c r="B244" s="184" t="s">
        <v>221</v>
      </c>
      <c r="C244" s="184" t="s">
        <v>178</v>
      </c>
      <c r="D244" s="184" t="s">
        <v>239</v>
      </c>
      <c r="E244" s="184" t="s">
        <v>1860</v>
      </c>
      <c r="F244" s="184" t="s">
        <v>243</v>
      </c>
      <c r="G244" s="184" t="s">
        <v>136</v>
      </c>
      <c r="H244" s="183" t="s">
        <v>1420</v>
      </c>
      <c r="I244" s="162"/>
      <c r="J244" s="290"/>
      <c r="K244" s="290"/>
    </row>
    <row r="245" spans="1:11" hidden="1" x14ac:dyDescent="0.2">
      <c r="A245" s="7" t="s">
        <v>1255</v>
      </c>
      <c r="B245" s="184" t="s">
        <v>221</v>
      </c>
      <c r="C245" s="184" t="s">
        <v>178</v>
      </c>
      <c r="D245" s="184" t="s">
        <v>239</v>
      </c>
      <c r="E245" s="184" t="s">
        <v>1256</v>
      </c>
      <c r="F245" s="184" t="s">
        <v>134</v>
      </c>
      <c r="G245" s="184" t="s">
        <v>136</v>
      </c>
      <c r="H245" s="183" t="s">
        <v>1420</v>
      </c>
      <c r="I245" s="162">
        <f>I246+I250</f>
        <v>0</v>
      </c>
      <c r="J245" s="162">
        <f>J246+J250</f>
        <v>0</v>
      </c>
      <c r="K245" s="162">
        <f>K246+K250</f>
        <v>0</v>
      </c>
    </row>
    <row r="246" spans="1:11" ht="25.5" hidden="1" x14ac:dyDescent="0.2">
      <c r="A246" s="7" t="s">
        <v>1257</v>
      </c>
      <c r="B246" s="184" t="s">
        <v>221</v>
      </c>
      <c r="C246" s="184" t="s">
        <v>178</v>
      </c>
      <c r="D246" s="184" t="s">
        <v>239</v>
      </c>
      <c r="E246" s="184" t="s">
        <v>1256</v>
      </c>
      <c r="F246" s="184" t="s">
        <v>243</v>
      </c>
      <c r="G246" s="184" t="s">
        <v>136</v>
      </c>
      <c r="H246" s="183" t="s">
        <v>1420</v>
      </c>
      <c r="I246" s="162">
        <f>I249+I247+I248</f>
        <v>0</v>
      </c>
      <c r="J246" s="290">
        <v>0</v>
      </c>
      <c r="K246" s="290">
        <v>0</v>
      </c>
    </row>
    <row r="247" spans="1:11" ht="63.75" hidden="1" x14ac:dyDescent="0.2">
      <c r="A247" s="7" t="s">
        <v>1870</v>
      </c>
      <c r="B247" s="184" t="s">
        <v>221</v>
      </c>
      <c r="C247" s="184" t="s">
        <v>178</v>
      </c>
      <c r="D247" s="184" t="s">
        <v>239</v>
      </c>
      <c r="E247" s="184" t="s">
        <v>1256</v>
      </c>
      <c r="F247" s="184" t="s">
        <v>243</v>
      </c>
      <c r="G247" s="184" t="s">
        <v>1872</v>
      </c>
      <c r="H247" s="183" t="s">
        <v>1420</v>
      </c>
      <c r="I247" s="162"/>
      <c r="J247" s="290"/>
      <c r="K247" s="290"/>
    </row>
    <row r="248" spans="1:11" ht="165.75" hidden="1" x14ac:dyDescent="0.2">
      <c r="A248" s="7" t="s">
        <v>1950</v>
      </c>
      <c r="B248" s="184" t="s">
        <v>221</v>
      </c>
      <c r="C248" s="184" t="s">
        <v>178</v>
      </c>
      <c r="D248" s="184" t="s">
        <v>239</v>
      </c>
      <c r="E248" s="184" t="s">
        <v>1256</v>
      </c>
      <c r="F248" s="184" t="s">
        <v>243</v>
      </c>
      <c r="G248" s="184" t="s">
        <v>1954</v>
      </c>
      <c r="H248" s="183" t="s">
        <v>1420</v>
      </c>
      <c r="I248" s="162"/>
      <c r="J248" s="290"/>
      <c r="K248" s="290"/>
    </row>
    <row r="249" spans="1:11" ht="63.75" hidden="1" x14ac:dyDescent="0.2">
      <c r="A249" s="7" t="s">
        <v>1851</v>
      </c>
      <c r="B249" s="184" t="s">
        <v>221</v>
      </c>
      <c r="C249" s="184" t="s">
        <v>178</v>
      </c>
      <c r="D249" s="184" t="s">
        <v>239</v>
      </c>
      <c r="E249" s="184" t="s">
        <v>1256</v>
      </c>
      <c r="F249" s="184" t="s">
        <v>243</v>
      </c>
      <c r="G249" s="184" t="s">
        <v>1718</v>
      </c>
      <c r="H249" s="183" t="s">
        <v>1420</v>
      </c>
      <c r="I249" s="162"/>
      <c r="J249" s="290"/>
      <c r="K249" s="290"/>
    </row>
    <row r="250" spans="1:11" ht="38.25" hidden="1" x14ac:dyDescent="0.2">
      <c r="A250" s="7" t="s">
        <v>1853</v>
      </c>
      <c r="B250" s="184" t="s">
        <v>221</v>
      </c>
      <c r="C250" s="184" t="s">
        <v>178</v>
      </c>
      <c r="D250" s="184" t="s">
        <v>239</v>
      </c>
      <c r="E250" s="184" t="s">
        <v>1256</v>
      </c>
      <c r="F250" s="184" t="s">
        <v>243</v>
      </c>
      <c r="G250" s="184" t="s">
        <v>1308</v>
      </c>
      <c r="H250" s="183" t="s">
        <v>1420</v>
      </c>
      <c r="I250" s="162"/>
      <c r="J250" s="290"/>
      <c r="K250" s="290"/>
    </row>
    <row r="251" spans="1:11" x14ac:dyDescent="0.2">
      <c r="A251" s="7" t="s">
        <v>1280</v>
      </c>
      <c r="B251" s="184" t="s">
        <v>169</v>
      </c>
      <c r="C251" s="184" t="s">
        <v>178</v>
      </c>
      <c r="D251" s="184" t="s">
        <v>253</v>
      </c>
      <c r="E251" s="184" t="s">
        <v>135</v>
      </c>
      <c r="F251" s="184" t="s">
        <v>134</v>
      </c>
      <c r="G251" s="184" t="s">
        <v>136</v>
      </c>
      <c r="H251" s="183" t="s">
        <v>169</v>
      </c>
      <c r="I251" s="162">
        <f t="shared" ref="I251:K252" si="6">I252</f>
        <v>2608000</v>
      </c>
      <c r="J251" s="162">
        <f t="shared" si="6"/>
        <v>2608000</v>
      </c>
      <c r="K251" s="162">
        <f t="shared" si="6"/>
        <v>2608000</v>
      </c>
    </row>
    <row r="252" spans="1:11" ht="25.5" x14ac:dyDescent="0.2">
      <c r="A252" s="7" t="s">
        <v>1281</v>
      </c>
      <c r="B252" s="184" t="s">
        <v>169</v>
      </c>
      <c r="C252" s="184" t="s">
        <v>178</v>
      </c>
      <c r="D252" s="184" t="s">
        <v>253</v>
      </c>
      <c r="E252" s="184" t="s">
        <v>31</v>
      </c>
      <c r="F252" s="184" t="s">
        <v>243</v>
      </c>
      <c r="G252" s="184" t="s">
        <v>136</v>
      </c>
      <c r="H252" s="183" t="s">
        <v>1420</v>
      </c>
      <c r="I252" s="162">
        <f t="shared" si="6"/>
        <v>2608000</v>
      </c>
      <c r="J252" s="162">
        <f t="shared" si="6"/>
        <v>2608000</v>
      </c>
      <c r="K252" s="162">
        <f t="shared" si="6"/>
        <v>2608000</v>
      </c>
    </row>
    <row r="253" spans="1:11" ht="25.5" x14ac:dyDescent="0.2">
      <c r="A253" s="7" t="s">
        <v>1282</v>
      </c>
      <c r="B253" s="184" t="s">
        <v>169</v>
      </c>
      <c r="C253" s="184" t="s">
        <v>178</v>
      </c>
      <c r="D253" s="184" t="s">
        <v>253</v>
      </c>
      <c r="E253" s="184" t="s">
        <v>1283</v>
      </c>
      <c r="F253" s="184" t="s">
        <v>243</v>
      </c>
      <c r="G253" s="184" t="s">
        <v>136</v>
      </c>
      <c r="H253" s="183" t="s">
        <v>1420</v>
      </c>
      <c r="I253" s="162">
        <f>I254+I255</f>
        <v>2608000</v>
      </c>
      <c r="J253" s="162">
        <f>J254+J255</f>
        <v>2608000</v>
      </c>
      <c r="K253" s="162">
        <f>K254+K255</f>
        <v>2608000</v>
      </c>
    </row>
    <row r="254" spans="1:11" ht="51" hidden="1" x14ac:dyDescent="0.2">
      <c r="A254" s="7" t="s">
        <v>1768</v>
      </c>
      <c r="B254" s="184" t="s">
        <v>5</v>
      </c>
      <c r="C254" s="184" t="s">
        <v>178</v>
      </c>
      <c r="D254" s="184" t="s">
        <v>253</v>
      </c>
      <c r="E254" s="184" t="s">
        <v>1283</v>
      </c>
      <c r="F254" s="184" t="s">
        <v>243</v>
      </c>
      <c r="G254" s="184" t="s">
        <v>593</v>
      </c>
      <c r="H254" s="183" t="s">
        <v>1420</v>
      </c>
      <c r="I254" s="162">
        <v>0</v>
      </c>
      <c r="J254" s="290"/>
      <c r="K254" s="290">
        <v>0</v>
      </c>
    </row>
    <row r="255" spans="1:11" ht="51" x14ac:dyDescent="0.2">
      <c r="A255" s="7" t="s">
        <v>1768</v>
      </c>
      <c r="B255" s="184" t="s">
        <v>220</v>
      </c>
      <c r="C255" s="184" t="s">
        <v>178</v>
      </c>
      <c r="D255" s="184" t="s">
        <v>253</v>
      </c>
      <c r="E255" s="184" t="s">
        <v>1283</v>
      </c>
      <c r="F255" s="184" t="s">
        <v>243</v>
      </c>
      <c r="G255" s="184" t="s">
        <v>593</v>
      </c>
      <c r="H255" s="183" t="s">
        <v>1420</v>
      </c>
      <c r="I255" s="162">
        <v>2608000</v>
      </c>
      <c r="J255" s="290">
        <v>2608000</v>
      </c>
      <c r="K255" s="290">
        <v>2608000</v>
      </c>
    </row>
    <row r="256" spans="1:11" ht="25.5" hidden="1" x14ac:dyDescent="0.2">
      <c r="A256" s="426" t="s">
        <v>346</v>
      </c>
      <c r="B256" s="184" t="s">
        <v>169</v>
      </c>
      <c r="C256" s="184" t="s">
        <v>178</v>
      </c>
      <c r="D256" s="184" t="s">
        <v>24</v>
      </c>
      <c r="E256" s="184" t="s">
        <v>31</v>
      </c>
      <c r="F256" s="184" t="s">
        <v>243</v>
      </c>
      <c r="G256" s="184" t="s">
        <v>136</v>
      </c>
      <c r="H256" s="183" t="s">
        <v>589</v>
      </c>
      <c r="I256" s="162">
        <f>I257</f>
        <v>0</v>
      </c>
      <c r="J256" s="162">
        <f>J257</f>
        <v>0</v>
      </c>
      <c r="K256" s="162">
        <f>K257</f>
        <v>0</v>
      </c>
    </row>
    <row r="257" spans="1:13" ht="25.5" hidden="1" x14ac:dyDescent="0.2">
      <c r="A257" s="426" t="s">
        <v>346</v>
      </c>
      <c r="B257" s="184" t="s">
        <v>169</v>
      </c>
      <c r="C257" s="184" t="s">
        <v>178</v>
      </c>
      <c r="D257" s="184" t="s">
        <v>24</v>
      </c>
      <c r="E257" s="184" t="s">
        <v>208</v>
      </c>
      <c r="F257" s="184" t="s">
        <v>243</v>
      </c>
      <c r="G257" s="184" t="s">
        <v>136</v>
      </c>
      <c r="H257" s="183" t="s">
        <v>589</v>
      </c>
      <c r="I257" s="162">
        <f>SUM(I258:I258)</f>
        <v>0</v>
      </c>
      <c r="J257" s="162">
        <f>SUM(J258:J258)</f>
        <v>0</v>
      </c>
      <c r="K257" s="162">
        <f>SUM(K258:K258)</f>
        <v>0</v>
      </c>
    </row>
    <row r="258" spans="1:13" ht="51" hidden="1" x14ac:dyDescent="0.2">
      <c r="A258" s="7" t="s">
        <v>348</v>
      </c>
      <c r="B258" s="184" t="s">
        <v>220</v>
      </c>
      <c r="C258" s="187" t="s">
        <v>178</v>
      </c>
      <c r="D258" s="187" t="s">
        <v>24</v>
      </c>
      <c r="E258" s="187" t="s">
        <v>208</v>
      </c>
      <c r="F258" s="187" t="s">
        <v>243</v>
      </c>
      <c r="G258" s="187" t="s">
        <v>593</v>
      </c>
      <c r="H258" s="363" t="s">
        <v>589</v>
      </c>
      <c r="I258" s="290"/>
      <c r="J258" s="290">
        <v>0</v>
      </c>
      <c r="K258" s="290">
        <v>0</v>
      </c>
    </row>
    <row r="259" spans="1:13" ht="38.25" hidden="1" x14ac:dyDescent="0.2">
      <c r="A259" s="7" t="s">
        <v>1262</v>
      </c>
      <c r="B259" s="184" t="s">
        <v>169</v>
      </c>
      <c r="C259" s="187" t="s">
        <v>178</v>
      </c>
      <c r="D259" s="187" t="s">
        <v>1263</v>
      </c>
      <c r="E259" s="184" t="s">
        <v>135</v>
      </c>
      <c r="F259" s="187" t="s">
        <v>243</v>
      </c>
      <c r="G259" s="187" t="s">
        <v>136</v>
      </c>
      <c r="H259" s="363">
        <v>150</v>
      </c>
      <c r="I259" s="162">
        <f>I260</f>
        <v>0</v>
      </c>
      <c r="J259" s="162">
        <f>J260</f>
        <v>0</v>
      </c>
      <c r="K259" s="162">
        <f>K260</f>
        <v>0</v>
      </c>
    </row>
    <row r="260" spans="1:13" ht="38.25" hidden="1" x14ac:dyDescent="0.2">
      <c r="A260" s="7" t="s">
        <v>1195</v>
      </c>
      <c r="B260" s="184" t="s">
        <v>221</v>
      </c>
      <c r="C260" s="187">
        <v>2</v>
      </c>
      <c r="D260" s="187">
        <v>18</v>
      </c>
      <c r="E260" s="184" t="s">
        <v>135</v>
      </c>
      <c r="F260" s="184" t="s">
        <v>243</v>
      </c>
      <c r="G260" s="184" t="s">
        <v>136</v>
      </c>
      <c r="H260" s="363">
        <v>150</v>
      </c>
      <c r="I260" s="162">
        <f>I261+I262</f>
        <v>0</v>
      </c>
      <c r="J260" s="162">
        <f>J261</f>
        <v>0</v>
      </c>
      <c r="K260" s="162">
        <f>K261</f>
        <v>0</v>
      </c>
    </row>
    <row r="261" spans="1:13" ht="60.75" hidden="1" customHeight="1" x14ac:dyDescent="0.2">
      <c r="A261" s="7" t="s">
        <v>1368</v>
      </c>
      <c r="B261" s="184" t="s">
        <v>221</v>
      </c>
      <c r="C261" s="187" t="s">
        <v>178</v>
      </c>
      <c r="D261" s="187" t="s">
        <v>1263</v>
      </c>
      <c r="E261" s="187">
        <v>35118</v>
      </c>
      <c r="F261" s="187" t="s">
        <v>243</v>
      </c>
      <c r="G261" s="184" t="s">
        <v>136</v>
      </c>
      <c r="H261" s="363">
        <v>151</v>
      </c>
      <c r="I261" s="6">
        <v>0</v>
      </c>
      <c r="J261" s="6">
        <v>0</v>
      </c>
      <c r="K261" s="290">
        <v>0</v>
      </c>
    </row>
    <row r="262" spans="1:13" ht="47.25" hidden="1" customHeight="1" x14ac:dyDescent="0.2">
      <c r="A262" s="7" t="s">
        <v>1195</v>
      </c>
      <c r="B262" s="184" t="s">
        <v>221</v>
      </c>
      <c r="C262" s="187">
        <v>2</v>
      </c>
      <c r="D262" s="187">
        <v>18</v>
      </c>
      <c r="E262" s="187">
        <v>60010</v>
      </c>
      <c r="F262" s="184" t="s">
        <v>243</v>
      </c>
      <c r="G262" s="184" t="s">
        <v>136</v>
      </c>
      <c r="H262" s="363">
        <v>150</v>
      </c>
      <c r="I262" s="290">
        <f>SUM(I263:I265)</f>
        <v>0</v>
      </c>
      <c r="J262" s="6"/>
      <c r="K262" s="290"/>
    </row>
    <row r="263" spans="1:13" ht="51" hidden="1" x14ac:dyDescent="0.2">
      <c r="A263" s="7" t="s">
        <v>1196</v>
      </c>
      <c r="B263" s="184" t="s">
        <v>221</v>
      </c>
      <c r="C263" s="187">
        <v>2</v>
      </c>
      <c r="D263" s="187">
        <v>18</v>
      </c>
      <c r="E263" s="187">
        <v>60010</v>
      </c>
      <c r="F263" s="184" t="s">
        <v>243</v>
      </c>
      <c r="G263" s="184" t="s">
        <v>1242</v>
      </c>
      <c r="H263" s="363">
        <v>150</v>
      </c>
      <c r="I263" s="361"/>
      <c r="J263" s="6"/>
      <c r="K263" s="290"/>
    </row>
    <row r="264" spans="1:13" ht="63.75" hidden="1" x14ac:dyDescent="0.2">
      <c r="A264" s="7" t="s">
        <v>1360</v>
      </c>
      <c r="B264" s="184" t="s">
        <v>221</v>
      </c>
      <c r="C264" s="187">
        <v>2</v>
      </c>
      <c r="D264" s="187">
        <v>18</v>
      </c>
      <c r="E264" s="187">
        <v>60010</v>
      </c>
      <c r="F264" s="184" t="s">
        <v>243</v>
      </c>
      <c r="G264" s="184" t="s">
        <v>1703</v>
      </c>
      <c r="H264" s="363">
        <v>150</v>
      </c>
      <c r="I264" s="361"/>
      <c r="J264" s="6"/>
      <c r="K264" s="290"/>
    </row>
    <row r="265" spans="1:13" ht="63.75" hidden="1" x14ac:dyDescent="0.2">
      <c r="A265" s="7" t="s">
        <v>1854</v>
      </c>
      <c r="B265" s="184" t="s">
        <v>221</v>
      </c>
      <c r="C265" s="187">
        <v>2</v>
      </c>
      <c r="D265" s="187">
        <v>18</v>
      </c>
      <c r="E265" s="187">
        <v>60010</v>
      </c>
      <c r="F265" s="184" t="s">
        <v>243</v>
      </c>
      <c r="G265" s="184" t="s">
        <v>312</v>
      </c>
      <c r="H265" s="363">
        <v>150</v>
      </c>
      <c r="I265" s="361"/>
      <c r="J265" s="6"/>
      <c r="K265" s="290"/>
    </row>
    <row r="266" spans="1:13" ht="25.5" hidden="1" x14ac:dyDescent="0.2">
      <c r="A266" s="7" t="s">
        <v>1264</v>
      </c>
      <c r="B266" s="184" t="s">
        <v>221</v>
      </c>
      <c r="C266" s="187">
        <v>2</v>
      </c>
      <c r="D266" s="187">
        <v>18</v>
      </c>
      <c r="E266" s="184" t="s">
        <v>135</v>
      </c>
      <c r="F266" s="184" t="s">
        <v>134</v>
      </c>
      <c r="G266" s="184" t="s">
        <v>136</v>
      </c>
      <c r="H266" s="183" t="s">
        <v>1420</v>
      </c>
      <c r="I266" s="162">
        <f>I267</f>
        <v>0</v>
      </c>
      <c r="J266" s="162">
        <f>J267</f>
        <v>0</v>
      </c>
      <c r="K266" s="162">
        <f>K267</f>
        <v>0</v>
      </c>
    </row>
    <row r="267" spans="1:13" ht="25.5" hidden="1" x14ac:dyDescent="0.2">
      <c r="A267" s="7" t="s">
        <v>1265</v>
      </c>
      <c r="B267" s="184" t="s">
        <v>169</v>
      </c>
      <c r="C267" s="187">
        <v>2</v>
      </c>
      <c r="D267" s="187">
        <v>18</v>
      </c>
      <c r="E267" s="184" t="s">
        <v>31</v>
      </c>
      <c r="F267" s="184" t="s">
        <v>243</v>
      </c>
      <c r="G267" s="184" t="s">
        <v>136</v>
      </c>
      <c r="H267" s="183" t="s">
        <v>1420</v>
      </c>
      <c r="I267" s="162">
        <f>I268+I269+I271</f>
        <v>0</v>
      </c>
      <c r="J267" s="162">
        <f>J268+J269+J270+J271</f>
        <v>0</v>
      </c>
      <c r="K267" s="162">
        <f>K268+K269+K270+K271</f>
        <v>0</v>
      </c>
    </row>
    <row r="268" spans="1:13" ht="25.5" hidden="1" x14ac:dyDescent="0.2">
      <c r="A268" s="7" t="s">
        <v>482</v>
      </c>
      <c r="B268" s="184" t="s">
        <v>169</v>
      </c>
      <c r="C268" s="187">
        <v>2</v>
      </c>
      <c r="D268" s="187">
        <v>18</v>
      </c>
      <c r="E268" s="184" t="s">
        <v>228</v>
      </c>
      <c r="F268" s="184" t="s">
        <v>243</v>
      </c>
      <c r="G268" s="184" t="s">
        <v>136</v>
      </c>
      <c r="H268" s="183" t="s">
        <v>1420</v>
      </c>
      <c r="I268" s="290">
        <f>I269+I270</f>
        <v>0</v>
      </c>
      <c r="J268" s="6">
        <v>0</v>
      </c>
      <c r="K268" s="290">
        <v>0</v>
      </c>
    </row>
    <row r="269" spans="1:13" ht="25.5" hidden="1" x14ac:dyDescent="0.2">
      <c r="A269" s="7" t="s">
        <v>482</v>
      </c>
      <c r="B269" s="184" t="s">
        <v>5</v>
      </c>
      <c r="C269" s="187">
        <v>2</v>
      </c>
      <c r="D269" s="187">
        <v>18</v>
      </c>
      <c r="E269" s="184" t="s">
        <v>228</v>
      </c>
      <c r="F269" s="184" t="s">
        <v>243</v>
      </c>
      <c r="G269" s="184" t="s">
        <v>1291</v>
      </c>
      <c r="H269" s="183">
        <v>180</v>
      </c>
      <c r="I269" s="290">
        <v>0</v>
      </c>
      <c r="J269" s="6">
        <v>0</v>
      </c>
      <c r="K269" s="290">
        <v>0</v>
      </c>
    </row>
    <row r="270" spans="1:13" ht="25.5" hidden="1" x14ac:dyDescent="0.2">
      <c r="A270" s="7" t="s">
        <v>482</v>
      </c>
      <c r="B270" s="184" t="s">
        <v>246</v>
      </c>
      <c r="C270" s="187">
        <v>2</v>
      </c>
      <c r="D270" s="187">
        <v>18</v>
      </c>
      <c r="E270" s="184" t="s">
        <v>228</v>
      </c>
      <c r="F270" s="184" t="s">
        <v>243</v>
      </c>
      <c r="G270" s="184" t="s">
        <v>1372</v>
      </c>
      <c r="H270" s="363">
        <v>150</v>
      </c>
      <c r="I270" s="290"/>
      <c r="J270" s="6">
        <v>0</v>
      </c>
      <c r="K270" s="290">
        <v>0</v>
      </c>
    </row>
    <row r="271" spans="1:13" ht="25.5" hidden="1" x14ac:dyDescent="0.2">
      <c r="A271" s="52" t="s">
        <v>1126</v>
      </c>
      <c r="B271" s="184" t="s">
        <v>169</v>
      </c>
      <c r="C271" s="187">
        <v>2</v>
      </c>
      <c r="D271" s="187">
        <v>18</v>
      </c>
      <c r="E271" s="184" t="s">
        <v>208</v>
      </c>
      <c r="F271" s="184" t="s">
        <v>243</v>
      </c>
      <c r="G271" s="184" t="s">
        <v>136</v>
      </c>
      <c r="H271" s="363">
        <v>150</v>
      </c>
      <c r="I271" s="162">
        <f>I272+I275+I273+I276+I277+I278+I274</f>
        <v>0</v>
      </c>
      <c r="J271" s="162">
        <f>J272+J275+J273</f>
        <v>0</v>
      </c>
      <c r="K271" s="162">
        <f>K272+K275+K273</f>
        <v>0</v>
      </c>
      <c r="M271" s="125"/>
    </row>
    <row r="272" spans="1:13" ht="37.5" hidden="1" customHeight="1" x14ac:dyDescent="0.2">
      <c r="A272" s="52" t="s">
        <v>1771</v>
      </c>
      <c r="B272" s="184" t="s">
        <v>5</v>
      </c>
      <c r="C272" s="187">
        <v>2</v>
      </c>
      <c r="D272" s="187">
        <v>18</v>
      </c>
      <c r="E272" s="184" t="s">
        <v>208</v>
      </c>
      <c r="F272" s="184" t="s">
        <v>243</v>
      </c>
      <c r="G272" s="184" t="s">
        <v>1292</v>
      </c>
      <c r="H272" s="363">
        <v>150</v>
      </c>
      <c r="I272" s="290"/>
      <c r="J272" s="6">
        <v>0</v>
      </c>
      <c r="K272" s="290">
        <v>0</v>
      </c>
      <c r="M272" s="125"/>
    </row>
    <row r="273" spans="1:11" ht="25.5" hidden="1" x14ac:dyDescent="0.2">
      <c r="A273" s="52" t="s">
        <v>1126</v>
      </c>
      <c r="B273" s="184" t="s">
        <v>5</v>
      </c>
      <c r="C273" s="187">
        <v>2</v>
      </c>
      <c r="D273" s="187">
        <v>18</v>
      </c>
      <c r="E273" s="184" t="s">
        <v>208</v>
      </c>
      <c r="F273" s="184" t="s">
        <v>243</v>
      </c>
      <c r="G273" s="184" t="s">
        <v>1372</v>
      </c>
      <c r="H273" s="363">
        <v>150</v>
      </c>
      <c r="I273" s="290">
        <v>0</v>
      </c>
      <c r="J273" s="6">
        <v>0</v>
      </c>
      <c r="K273" s="290">
        <v>0</v>
      </c>
    </row>
    <row r="274" spans="1:11" ht="43.5" hidden="1" customHeight="1" x14ac:dyDescent="0.2">
      <c r="A274" s="52" t="s">
        <v>1772</v>
      </c>
      <c r="B274" s="184" t="s">
        <v>5</v>
      </c>
      <c r="C274" s="187">
        <v>2</v>
      </c>
      <c r="D274" s="187">
        <v>18</v>
      </c>
      <c r="E274" s="184" t="s">
        <v>208</v>
      </c>
      <c r="F274" s="184" t="s">
        <v>243</v>
      </c>
      <c r="G274" s="184" t="s">
        <v>1408</v>
      </c>
      <c r="H274" s="363">
        <v>150</v>
      </c>
      <c r="I274" s="290"/>
      <c r="J274" s="6"/>
      <c r="K274" s="290"/>
    </row>
    <row r="275" spans="1:11" ht="25.5" hidden="1" x14ac:dyDescent="0.2">
      <c r="A275" s="52" t="s">
        <v>1126</v>
      </c>
      <c r="B275" s="184" t="s">
        <v>5</v>
      </c>
      <c r="C275" s="187">
        <v>2</v>
      </c>
      <c r="D275" s="187">
        <v>18</v>
      </c>
      <c r="E275" s="184" t="s">
        <v>208</v>
      </c>
      <c r="F275" s="184" t="s">
        <v>243</v>
      </c>
      <c r="G275" s="184" t="s">
        <v>1371</v>
      </c>
      <c r="H275" s="363">
        <v>150</v>
      </c>
      <c r="I275" s="6">
        <v>0</v>
      </c>
      <c r="J275" s="6">
        <v>0</v>
      </c>
      <c r="K275" s="290">
        <v>0</v>
      </c>
    </row>
    <row r="276" spans="1:11" ht="25.5" hidden="1" x14ac:dyDescent="0.2">
      <c r="A276" s="52" t="s">
        <v>1126</v>
      </c>
      <c r="B276" s="184" t="s">
        <v>214</v>
      </c>
      <c r="C276" s="187">
        <v>2</v>
      </c>
      <c r="D276" s="187">
        <v>18</v>
      </c>
      <c r="E276" s="184" t="s">
        <v>208</v>
      </c>
      <c r="F276" s="184" t="s">
        <v>243</v>
      </c>
      <c r="G276" s="184" t="s">
        <v>1372</v>
      </c>
      <c r="H276" s="363">
        <v>150</v>
      </c>
      <c r="I276" s="290"/>
      <c r="J276" s="6"/>
      <c r="K276" s="290"/>
    </row>
    <row r="277" spans="1:11" ht="25.5" hidden="1" x14ac:dyDescent="0.2">
      <c r="A277" s="52" t="s">
        <v>1126</v>
      </c>
      <c r="B277" s="184" t="s">
        <v>214</v>
      </c>
      <c r="C277" s="187">
        <v>2</v>
      </c>
      <c r="D277" s="187">
        <v>18</v>
      </c>
      <c r="E277" s="184" t="s">
        <v>208</v>
      </c>
      <c r="F277" s="184" t="s">
        <v>243</v>
      </c>
      <c r="G277" s="184" t="s">
        <v>1907</v>
      </c>
      <c r="H277" s="363">
        <v>150</v>
      </c>
      <c r="I277" s="290"/>
      <c r="J277" s="6"/>
      <c r="K277" s="290"/>
    </row>
    <row r="278" spans="1:11" ht="25.5" hidden="1" x14ac:dyDescent="0.2">
      <c r="A278" s="52" t="s">
        <v>1126</v>
      </c>
      <c r="B278" s="184" t="s">
        <v>1009</v>
      </c>
      <c r="C278" s="187">
        <v>2</v>
      </c>
      <c r="D278" s="187">
        <v>18</v>
      </c>
      <c r="E278" s="184" t="s">
        <v>208</v>
      </c>
      <c r="F278" s="184" t="s">
        <v>243</v>
      </c>
      <c r="G278" s="184" t="s">
        <v>1292</v>
      </c>
      <c r="H278" s="363">
        <v>150</v>
      </c>
      <c r="I278" s="290"/>
      <c r="J278" s="6"/>
      <c r="K278" s="290"/>
    </row>
    <row r="279" spans="1:11" ht="25.5" hidden="1" x14ac:dyDescent="0.2">
      <c r="A279" s="427" t="s">
        <v>1250</v>
      </c>
      <c r="B279" s="184" t="s">
        <v>169</v>
      </c>
      <c r="C279" s="184">
        <v>2</v>
      </c>
      <c r="D279" s="184">
        <v>19</v>
      </c>
      <c r="E279" s="184" t="s">
        <v>135</v>
      </c>
      <c r="F279" s="184" t="s">
        <v>134</v>
      </c>
      <c r="G279" s="184" t="s">
        <v>136</v>
      </c>
      <c r="H279" s="183" t="s">
        <v>169</v>
      </c>
      <c r="I279" s="162">
        <f>I280</f>
        <v>0</v>
      </c>
      <c r="J279" s="162">
        <f>J280</f>
        <v>0</v>
      </c>
      <c r="K279" s="162">
        <f>K280</f>
        <v>0</v>
      </c>
    </row>
    <row r="280" spans="1:11" ht="38.25" hidden="1" x14ac:dyDescent="0.2">
      <c r="A280" s="7" t="s">
        <v>1251</v>
      </c>
      <c r="B280" s="184" t="s">
        <v>221</v>
      </c>
      <c r="C280" s="184" t="s">
        <v>178</v>
      </c>
      <c r="D280" s="184" t="s">
        <v>1252</v>
      </c>
      <c r="E280" s="184" t="s">
        <v>135</v>
      </c>
      <c r="F280" s="184" t="s">
        <v>243</v>
      </c>
      <c r="G280" s="184" t="s">
        <v>136</v>
      </c>
      <c r="H280" s="183" t="s">
        <v>1420</v>
      </c>
      <c r="I280" s="162">
        <f>I282+I283+I284+I281</f>
        <v>0</v>
      </c>
      <c r="J280" s="162">
        <f>J284</f>
        <v>0</v>
      </c>
      <c r="K280" s="162">
        <f>K284</f>
        <v>0</v>
      </c>
    </row>
    <row r="281" spans="1:11" ht="54.75" hidden="1" customHeight="1" x14ac:dyDescent="0.2">
      <c r="A281" s="7" t="s">
        <v>1375</v>
      </c>
      <c r="B281" s="184" t="s">
        <v>221</v>
      </c>
      <c r="C281" s="184" t="s">
        <v>178</v>
      </c>
      <c r="D281" s="184" t="s">
        <v>1252</v>
      </c>
      <c r="E281" s="184" t="s">
        <v>1378</v>
      </c>
      <c r="F281" s="184" t="s">
        <v>243</v>
      </c>
      <c r="G281" s="184" t="s">
        <v>136</v>
      </c>
      <c r="H281" s="183" t="s">
        <v>9</v>
      </c>
      <c r="I281" s="162">
        <v>0</v>
      </c>
      <c r="J281" s="162"/>
      <c r="K281" s="162"/>
    </row>
    <row r="282" spans="1:11" ht="38.25" hidden="1" x14ac:dyDescent="0.2">
      <c r="A282" s="7" t="s">
        <v>1366</v>
      </c>
      <c r="B282" s="184" t="s">
        <v>221</v>
      </c>
      <c r="C282" s="184" t="s">
        <v>178</v>
      </c>
      <c r="D282" s="184" t="s">
        <v>1252</v>
      </c>
      <c r="E282" s="184" t="s">
        <v>1133</v>
      </c>
      <c r="F282" s="184" t="s">
        <v>243</v>
      </c>
      <c r="G282" s="184" t="s">
        <v>136</v>
      </c>
      <c r="H282" s="183" t="s">
        <v>9</v>
      </c>
      <c r="I282" s="162">
        <v>0</v>
      </c>
      <c r="J282" s="162"/>
      <c r="K282" s="162"/>
    </row>
    <row r="283" spans="1:11" ht="37.5" hidden="1" customHeight="1" x14ac:dyDescent="0.2">
      <c r="A283" s="7" t="s">
        <v>1367</v>
      </c>
      <c r="B283" s="184" t="s">
        <v>221</v>
      </c>
      <c r="C283" s="184" t="s">
        <v>178</v>
      </c>
      <c r="D283" s="184" t="s">
        <v>1252</v>
      </c>
      <c r="E283" s="184" t="s">
        <v>1241</v>
      </c>
      <c r="F283" s="184" t="s">
        <v>243</v>
      </c>
      <c r="G283" s="184" t="s">
        <v>136</v>
      </c>
      <c r="H283" s="183" t="s">
        <v>9</v>
      </c>
      <c r="I283" s="162">
        <v>0</v>
      </c>
      <c r="J283" s="162"/>
      <c r="K283" s="162"/>
    </row>
    <row r="284" spans="1:11" ht="38.25" hidden="1" x14ac:dyDescent="0.2">
      <c r="A284" s="7" t="s">
        <v>1199</v>
      </c>
      <c r="B284" s="184" t="s">
        <v>221</v>
      </c>
      <c r="C284" s="184" t="s">
        <v>178</v>
      </c>
      <c r="D284" s="184" t="s">
        <v>1252</v>
      </c>
      <c r="E284" s="184" t="s">
        <v>1253</v>
      </c>
      <c r="F284" s="184" t="s">
        <v>243</v>
      </c>
      <c r="G284" s="184" t="s">
        <v>136</v>
      </c>
      <c r="H284" s="183" t="s">
        <v>1420</v>
      </c>
      <c r="I284" s="290"/>
      <c r="J284" s="6">
        <v>0</v>
      </c>
      <c r="K284" s="290">
        <v>0</v>
      </c>
    </row>
    <row r="285" spans="1:11" x14ac:dyDescent="0.2">
      <c r="A285" s="428" t="s">
        <v>27</v>
      </c>
      <c r="B285" s="429" t="s">
        <v>169</v>
      </c>
      <c r="C285" s="429" t="s">
        <v>25</v>
      </c>
      <c r="D285" s="429" t="s">
        <v>26</v>
      </c>
      <c r="E285" s="429" t="s">
        <v>135</v>
      </c>
      <c r="F285" s="429" t="s">
        <v>134</v>
      </c>
      <c r="G285" s="429" t="s">
        <v>136</v>
      </c>
      <c r="H285" s="430" t="s">
        <v>169</v>
      </c>
      <c r="I285" s="290">
        <f>I9+I122</f>
        <v>2315923420</v>
      </c>
      <c r="J285" s="290">
        <f>J9+J122</f>
        <v>2225637720</v>
      </c>
      <c r="K285" s="290">
        <f>K9+K122</f>
        <v>2275006420</v>
      </c>
    </row>
  </sheetData>
  <autoFilter ref="A7:M285"/>
  <mergeCells count="8">
    <mergeCell ref="A1:K1"/>
    <mergeCell ref="K5:K7"/>
    <mergeCell ref="A3:K3"/>
    <mergeCell ref="A2:K2"/>
    <mergeCell ref="I5:I7"/>
    <mergeCell ref="A5:A7"/>
    <mergeCell ref="B5:H6"/>
    <mergeCell ref="J5:J7"/>
  </mergeCells>
  <pageMargins left="0.15748031496062992" right="0.15748031496062992" top="0.19685039370078741" bottom="0.19685039370078741" header="0.15748031496062992" footer="0.19685039370078741"/>
  <pageSetup paperSize="9" scale="68"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00B0F0"/>
    <pageSetUpPr fitToPage="1"/>
  </sheetPr>
  <dimension ref="A1:H1415"/>
  <sheetViews>
    <sheetView topLeftCell="A3" workbookViewId="0">
      <selection activeCell="A304" sqref="A304"/>
    </sheetView>
  </sheetViews>
  <sheetFormatPr defaultRowHeight="12.75" x14ac:dyDescent="0.2"/>
  <cols>
    <col min="1" max="1" width="55" style="53" customWidth="1"/>
    <col min="2" max="3" width="7" style="144" customWidth="1"/>
    <col min="4" max="4" width="13.85546875" style="144" customWidth="1"/>
    <col min="5" max="5" width="11" style="145" customWidth="1"/>
    <col min="6" max="6" width="19" style="355" customWidth="1"/>
    <col min="7" max="7" width="25.85546875" style="3" customWidth="1"/>
    <col min="8" max="8" width="13.5703125" style="3" bestFit="1" customWidth="1"/>
    <col min="9" max="9" width="51.5703125" style="3" customWidth="1"/>
    <col min="10" max="16384" width="9.140625" style="3"/>
  </cols>
  <sheetData>
    <row r="1" spans="1:8" ht="44.25" hidden="1" customHeight="1" x14ac:dyDescent="0.2">
      <c r="A1" s="444" t="str">
        <f>"Приложение №"&amp;Н2вед&amp;"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c r="C1" s="444"/>
      <c r="D1" s="444"/>
      <c r="E1" s="444"/>
      <c r="F1" s="444"/>
    </row>
    <row r="2" spans="1:8" ht="53.25" customHeight="1" x14ac:dyDescent="0.2">
      <c r="A2" s="444" t="str">
        <f>"Приложение "&amp;Н1вед&amp;" к решению
Богучанского районного Совета депутатов
от "&amp;Р1дата&amp;" года №"&amp;Р1номер</f>
        <v>Приложение 5 к решению
Богучанского районного Совета депутатов
от  04.12.2020 года №5/1-16</v>
      </c>
      <c r="B2" s="444"/>
      <c r="C2" s="444"/>
      <c r="D2" s="444"/>
      <c r="E2" s="444"/>
      <c r="F2" s="460"/>
    </row>
    <row r="3" spans="1:8" ht="39.75" customHeight="1" x14ac:dyDescent="0.2">
      <c r="A3" s="470" t="str">
        <f>"Ведомственная структура расходов районного бюджета на "&amp;год&amp;" год"</f>
        <v>Ведомственная структура расходов районного бюджета на 2021 год</v>
      </c>
      <c r="B3" s="470"/>
      <c r="C3" s="470"/>
      <c r="D3" s="470"/>
      <c r="E3" s="470"/>
      <c r="F3" s="471"/>
    </row>
    <row r="4" spans="1:8" x14ac:dyDescent="0.2">
      <c r="F4" s="354" t="s">
        <v>73</v>
      </c>
    </row>
    <row r="5" spans="1:8" x14ac:dyDescent="0.2">
      <c r="A5" s="472" t="s">
        <v>1518</v>
      </c>
      <c r="B5" s="474" t="s">
        <v>184</v>
      </c>
      <c r="C5" s="475"/>
      <c r="D5" s="475"/>
      <c r="E5" s="476"/>
      <c r="F5" s="477" t="s">
        <v>1417</v>
      </c>
    </row>
    <row r="6" spans="1:8" ht="51" x14ac:dyDescent="0.2">
      <c r="A6" s="473"/>
      <c r="B6" s="310" t="s">
        <v>1515</v>
      </c>
      <c r="C6" s="310" t="s">
        <v>1514</v>
      </c>
      <c r="D6" s="310" t="s">
        <v>1516</v>
      </c>
      <c r="E6" s="310" t="s">
        <v>1517</v>
      </c>
      <c r="F6" s="478"/>
    </row>
    <row r="7" spans="1:8" s="11" customFormat="1" x14ac:dyDescent="0.2">
      <c r="A7" s="292" t="s">
        <v>74</v>
      </c>
      <c r="B7" s="293" t="s">
        <v>1314</v>
      </c>
      <c r="C7" s="293" t="s">
        <v>1314</v>
      </c>
      <c r="D7" s="293" t="s">
        <v>1314</v>
      </c>
      <c r="E7" s="293" t="s">
        <v>1314</v>
      </c>
      <c r="F7" s="294">
        <v>2325163267</v>
      </c>
      <c r="H7" s="95"/>
    </row>
    <row r="8" spans="1:8" x14ac:dyDescent="0.2">
      <c r="A8" s="292" t="s">
        <v>360</v>
      </c>
      <c r="B8" s="293" t="s">
        <v>185</v>
      </c>
      <c r="C8" s="293" t="s">
        <v>1314</v>
      </c>
      <c r="D8" s="293" t="s">
        <v>1314</v>
      </c>
      <c r="E8" s="293" t="s">
        <v>1314</v>
      </c>
      <c r="F8" s="294">
        <v>7075198</v>
      </c>
      <c r="G8" s="143" t="str">
        <f>CONCATENATE(C8,D8,E8)</f>
        <v/>
      </c>
    </row>
    <row r="9" spans="1:8" x14ac:dyDescent="0.2">
      <c r="A9" s="292" t="s">
        <v>250</v>
      </c>
      <c r="B9" s="293" t="s">
        <v>185</v>
      </c>
      <c r="C9" s="293" t="s">
        <v>1212</v>
      </c>
      <c r="D9" s="293" t="s">
        <v>1314</v>
      </c>
      <c r="E9" s="293" t="s">
        <v>1314</v>
      </c>
      <c r="F9" s="294">
        <v>7075198</v>
      </c>
      <c r="G9" s="143" t="str">
        <f t="shared" ref="G9:G72" si="0">CONCATENATE(C9,D9,E9)</f>
        <v>0100</v>
      </c>
      <c r="H9" s="143"/>
    </row>
    <row r="10" spans="1:8" ht="38.25" x14ac:dyDescent="0.2">
      <c r="A10" s="292" t="s">
        <v>71</v>
      </c>
      <c r="B10" s="293" t="s">
        <v>185</v>
      </c>
      <c r="C10" s="293" t="s">
        <v>366</v>
      </c>
      <c r="D10" s="293" t="s">
        <v>1314</v>
      </c>
      <c r="E10" s="293" t="s">
        <v>1314</v>
      </c>
      <c r="F10" s="294">
        <v>7075198</v>
      </c>
      <c r="G10" s="143" t="str">
        <f t="shared" si="0"/>
        <v>0103</v>
      </c>
    </row>
    <row r="11" spans="1:8" ht="25.5" x14ac:dyDescent="0.2">
      <c r="A11" s="292" t="s">
        <v>646</v>
      </c>
      <c r="B11" s="293" t="s">
        <v>185</v>
      </c>
      <c r="C11" s="293" t="s">
        <v>366</v>
      </c>
      <c r="D11" s="293" t="s">
        <v>1067</v>
      </c>
      <c r="E11" s="293" t="s">
        <v>1314</v>
      </c>
      <c r="F11" s="294">
        <v>7075198</v>
      </c>
      <c r="G11" s="143" t="str">
        <f t="shared" si="0"/>
        <v>01038000000000</v>
      </c>
    </row>
    <row r="12" spans="1:8" ht="38.25" x14ac:dyDescent="0.2">
      <c r="A12" s="292" t="s">
        <v>647</v>
      </c>
      <c r="B12" s="293" t="s">
        <v>185</v>
      </c>
      <c r="C12" s="293" t="s">
        <v>366</v>
      </c>
      <c r="D12" s="293" t="s">
        <v>1069</v>
      </c>
      <c r="E12" s="293" t="s">
        <v>1314</v>
      </c>
      <c r="F12" s="294">
        <v>3241980</v>
      </c>
      <c r="G12" s="143" t="str">
        <f t="shared" si="0"/>
        <v>01038020000000</v>
      </c>
    </row>
    <row r="13" spans="1:8" ht="38.25" x14ac:dyDescent="0.2">
      <c r="A13" s="292" t="s">
        <v>367</v>
      </c>
      <c r="B13" s="293" t="s">
        <v>185</v>
      </c>
      <c r="C13" s="293" t="s">
        <v>366</v>
      </c>
      <c r="D13" s="293" t="s">
        <v>695</v>
      </c>
      <c r="E13" s="293" t="s">
        <v>1314</v>
      </c>
      <c r="F13" s="294">
        <v>3189980</v>
      </c>
      <c r="G13" s="143" t="str">
        <f t="shared" si="0"/>
        <v>01038020060000</v>
      </c>
    </row>
    <row r="14" spans="1:8" ht="51" x14ac:dyDescent="0.2">
      <c r="A14" s="292" t="s">
        <v>1501</v>
      </c>
      <c r="B14" s="293" t="s">
        <v>185</v>
      </c>
      <c r="C14" s="293" t="s">
        <v>366</v>
      </c>
      <c r="D14" s="293" t="s">
        <v>695</v>
      </c>
      <c r="E14" s="293" t="s">
        <v>290</v>
      </c>
      <c r="F14" s="294">
        <v>2538930</v>
      </c>
      <c r="G14" s="143" t="str">
        <f t="shared" si="0"/>
        <v>01038020060000100</v>
      </c>
    </row>
    <row r="15" spans="1:8" ht="25.5" x14ac:dyDescent="0.2">
      <c r="A15" s="292" t="s">
        <v>1345</v>
      </c>
      <c r="B15" s="293" t="s">
        <v>185</v>
      </c>
      <c r="C15" s="293" t="s">
        <v>366</v>
      </c>
      <c r="D15" s="293" t="s">
        <v>695</v>
      </c>
      <c r="E15" s="293" t="s">
        <v>30</v>
      </c>
      <c r="F15" s="294">
        <v>2538930</v>
      </c>
      <c r="G15" s="143" t="str">
        <f t="shared" si="0"/>
        <v>01038020060000120</v>
      </c>
    </row>
    <row r="16" spans="1:8" ht="25.5" x14ac:dyDescent="0.2">
      <c r="A16" s="292" t="s">
        <v>1010</v>
      </c>
      <c r="B16" s="293" t="s">
        <v>185</v>
      </c>
      <c r="C16" s="293" t="s">
        <v>366</v>
      </c>
      <c r="D16" s="293" t="s">
        <v>695</v>
      </c>
      <c r="E16" s="293" t="s">
        <v>363</v>
      </c>
      <c r="F16" s="294">
        <v>1929670</v>
      </c>
      <c r="G16" s="143" t="str">
        <f t="shared" si="0"/>
        <v>01038020060000121</v>
      </c>
    </row>
    <row r="17" spans="1:7" ht="38.25" x14ac:dyDescent="0.2">
      <c r="A17" s="292" t="s">
        <v>364</v>
      </c>
      <c r="B17" s="293" t="s">
        <v>185</v>
      </c>
      <c r="C17" s="293" t="s">
        <v>366</v>
      </c>
      <c r="D17" s="293" t="s">
        <v>695</v>
      </c>
      <c r="E17" s="293" t="s">
        <v>365</v>
      </c>
      <c r="F17" s="294">
        <v>26500</v>
      </c>
      <c r="G17" s="143" t="str">
        <f t="shared" si="0"/>
        <v>01038020060000122</v>
      </c>
    </row>
    <row r="18" spans="1:7" ht="38.25" x14ac:dyDescent="0.2">
      <c r="A18" s="292" t="s">
        <v>1115</v>
      </c>
      <c r="B18" s="293" t="s">
        <v>185</v>
      </c>
      <c r="C18" s="293" t="s">
        <v>366</v>
      </c>
      <c r="D18" s="293" t="s">
        <v>695</v>
      </c>
      <c r="E18" s="293" t="s">
        <v>1116</v>
      </c>
      <c r="F18" s="294">
        <v>582760</v>
      </c>
      <c r="G18" s="143" t="str">
        <f t="shared" si="0"/>
        <v>01038020060000129</v>
      </c>
    </row>
    <row r="19" spans="1:7" ht="25.5" x14ac:dyDescent="0.2">
      <c r="A19" s="292" t="s">
        <v>1502</v>
      </c>
      <c r="B19" s="293" t="s">
        <v>185</v>
      </c>
      <c r="C19" s="293" t="s">
        <v>366</v>
      </c>
      <c r="D19" s="293" t="s">
        <v>695</v>
      </c>
      <c r="E19" s="293" t="s">
        <v>1503</v>
      </c>
      <c r="F19" s="294">
        <v>651050</v>
      </c>
      <c r="G19" s="143" t="str">
        <f t="shared" si="0"/>
        <v>01038020060000200</v>
      </c>
    </row>
    <row r="20" spans="1:7" ht="25.5" x14ac:dyDescent="0.2">
      <c r="A20" s="292" t="s">
        <v>1338</v>
      </c>
      <c r="B20" s="293" t="s">
        <v>185</v>
      </c>
      <c r="C20" s="293" t="s">
        <v>366</v>
      </c>
      <c r="D20" s="293" t="s">
        <v>695</v>
      </c>
      <c r="E20" s="293" t="s">
        <v>1339</v>
      </c>
      <c r="F20" s="294">
        <v>651050</v>
      </c>
      <c r="G20" s="143" t="str">
        <f t="shared" si="0"/>
        <v>01038020060000240</v>
      </c>
    </row>
    <row r="21" spans="1:7" x14ac:dyDescent="0.2">
      <c r="A21" s="292" t="s">
        <v>1379</v>
      </c>
      <c r="B21" s="293" t="s">
        <v>185</v>
      </c>
      <c r="C21" s="293" t="s">
        <v>366</v>
      </c>
      <c r="D21" s="293" t="s">
        <v>695</v>
      </c>
      <c r="E21" s="293" t="s">
        <v>368</v>
      </c>
      <c r="F21" s="294">
        <v>651050</v>
      </c>
      <c r="G21" s="143" t="str">
        <f t="shared" si="0"/>
        <v>01038020060000244</v>
      </c>
    </row>
    <row r="22" spans="1:7" ht="51" x14ac:dyDescent="0.2">
      <c r="A22" s="292" t="s">
        <v>605</v>
      </c>
      <c r="B22" s="293" t="s">
        <v>185</v>
      </c>
      <c r="C22" s="293" t="s">
        <v>366</v>
      </c>
      <c r="D22" s="293" t="s">
        <v>696</v>
      </c>
      <c r="E22" s="293" t="s">
        <v>1314</v>
      </c>
      <c r="F22" s="294">
        <v>52000</v>
      </c>
      <c r="G22" s="143" t="str">
        <f t="shared" si="0"/>
        <v>01038020067000</v>
      </c>
    </row>
    <row r="23" spans="1:7" ht="51" x14ac:dyDescent="0.2">
      <c r="A23" s="292" t="s">
        <v>1501</v>
      </c>
      <c r="B23" s="293" t="s">
        <v>185</v>
      </c>
      <c r="C23" s="293" t="s">
        <v>366</v>
      </c>
      <c r="D23" s="293" t="s">
        <v>696</v>
      </c>
      <c r="E23" s="293" t="s">
        <v>290</v>
      </c>
      <c r="F23" s="294">
        <v>52000</v>
      </c>
      <c r="G23" s="143" t="str">
        <f t="shared" si="0"/>
        <v>01038020067000100</v>
      </c>
    </row>
    <row r="24" spans="1:7" ht="25.5" x14ac:dyDescent="0.2">
      <c r="A24" s="292" t="s">
        <v>1345</v>
      </c>
      <c r="B24" s="293" t="s">
        <v>185</v>
      </c>
      <c r="C24" s="293" t="s">
        <v>366</v>
      </c>
      <c r="D24" s="293" t="s">
        <v>696</v>
      </c>
      <c r="E24" s="293" t="s">
        <v>30</v>
      </c>
      <c r="F24" s="294">
        <v>52000</v>
      </c>
      <c r="G24" s="143" t="str">
        <f t="shared" si="0"/>
        <v>01038020067000120</v>
      </c>
    </row>
    <row r="25" spans="1:7" ht="38.25" x14ac:dyDescent="0.2">
      <c r="A25" s="292" t="s">
        <v>364</v>
      </c>
      <c r="B25" s="293" t="s">
        <v>185</v>
      </c>
      <c r="C25" s="293" t="s">
        <v>366</v>
      </c>
      <c r="D25" s="293" t="s">
        <v>696</v>
      </c>
      <c r="E25" s="293" t="s">
        <v>365</v>
      </c>
      <c r="F25" s="294">
        <v>52000</v>
      </c>
      <c r="G25" s="143" t="str">
        <f t="shared" si="0"/>
        <v>01038020067000122</v>
      </c>
    </row>
    <row r="26" spans="1:7" ht="51" x14ac:dyDescent="0.2">
      <c r="A26" s="292" t="s">
        <v>369</v>
      </c>
      <c r="B26" s="293" t="s">
        <v>185</v>
      </c>
      <c r="C26" s="293" t="s">
        <v>366</v>
      </c>
      <c r="D26" s="293" t="s">
        <v>1070</v>
      </c>
      <c r="E26" s="293" t="s">
        <v>1314</v>
      </c>
      <c r="F26" s="294">
        <v>3833218</v>
      </c>
      <c r="G26" s="143" t="str">
        <f t="shared" si="0"/>
        <v>01038030000000</v>
      </c>
    </row>
    <row r="27" spans="1:7" ht="51" x14ac:dyDescent="0.2">
      <c r="A27" s="292" t="s">
        <v>369</v>
      </c>
      <c r="B27" s="293" t="s">
        <v>185</v>
      </c>
      <c r="C27" s="293" t="s">
        <v>366</v>
      </c>
      <c r="D27" s="293" t="s">
        <v>697</v>
      </c>
      <c r="E27" s="293" t="s">
        <v>1314</v>
      </c>
      <c r="F27" s="294">
        <v>3781218</v>
      </c>
      <c r="G27" s="143" t="str">
        <f t="shared" si="0"/>
        <v>01038030060000</v>
      </c>
    </row>
    <row r="28" spans="1:7" ht="51" x14ac:dyDescent="0.2">
      <c r="A28" s="292" t="s">
        <v>1501</v>
      </c>
      <c r="B28" s="293" t="s">
        <v>185</v>
      </c>
      <c r="C28" s="293" t="s">
        <v>366</v>
      </c>
      <c r="D28" s="293" t="s">
        <v>697</v>
      </c>
      <c r="E28" s="293" t="s">
        <v>290</v>
      </c>
      <c r="F28" s="294">
        <v>3781218</v>
      </c>
      <c r="G28" s="143" t="str">
        <f t="shared" si="0"/>
        <v>01038030060000100</v>
      </c>
    </row>
    <row r="29" spans="1:7" ht="25.5" x14ac:dyDescent="0.2">
      <c r="A29" s="292" t="s">
        <v>1345</v>
      </c>
      <c r="B29" s="293" t="s">
        <v>185</v>
      </c>
      <c r="C29" s="293" t="s">
        <v>366</v>
      </c>
      <c r="D29" s="293" t="s">
        <v>697</v>
      </c>
      <c r="E29" s="293" t="s">
        <v>30</v>
      </c>
      <c r="F29" s="294">
        <v>3781218</v>
      </c>
      <c r="G29" s="143" t="str">
        <f t="shared" si="0"/>
        <v>01038030060000120</v>
      </c>
    </row>
    <row r="30" spans="1:7" ht="25.5" x14ac:dyDescent="0.2">
      <c r="A30" s="292" t="s">
        <v>1010</v>
      </c>
      <c r="B30" s="293" t="s">
        <v>185</v>
      </c>
      <c r="C30" s="293" t="s">
        <v>366</v>
      </c>
      <c r="D30" s="293" t="s">
        <v>697</v>
      </c>
      <c r="E30" s="293" t="s">
        <v>363</v>
      </c>
      <c r="F30" s="294">
        <v>2694963</v>
      </c>
      <c r="G30" s="143" t="str">
        <f t="shared" si="0"/>
        <v>01038030060000121</v>
      </c>
    </row>
    <row r="31" spans="1:7" ht="38.25" x14ac:dyDescent="0.2">
      <c r="A31" s="292" t="s">
        <v>364</v>
      </c>
      <c r="B31" s="293" t="s">
        <v>185</v>
      </c>
      <c r="C31" s="293" t="s">
        <v>366</v>
      </c>
      <c r="D31" s="293" t="s">
        <v>697</v>
      </c>
      <c r="E31" s="293" t="s">
        <v>365</v>
      </c>
      <c r="F31" s="294">
        <v>58300</v>
      </c>
      <c r="G31" s="143" t="str">
        <f t="shared" si="0"/>
        <v>01038030060000122</v>
      </c>
    </row>
    <row r="32" spans="1:7" ht="51" x14ac:dyDescent="0.2">
      <c r="A32" s="292" t="s">
        <v>1213</v>
      </c>
      <c r="B32" s="293" t="s">
        <v>185</v>
      </c>
      <c r="C32" s="293" t="s">
        <v>366</v>
      </c>
      <c r="D32" s="293" t="s">
        <v>697</v>
      </c>
      <c r="E32" s="293" t="s">
        <v>537</v>
      </c>
      <c r="F32" s="294">
        <v>264000</v>
      </c>
      <c r="G32" s="143" t="str">
        <f t="shared" si="0"/>
        <v>01038030060000123</v>
      </c>
    </row>
    <row r="33" spans="1:7" ht="38.25" x14ac:dyDescent="0.2">
      <c r="A33" s="292" t="s">
        <v>1115</v>
      </c>
      <c r="B33" s="293" t="s">
        <v>185</v>
      </c>
      <c r="C33" s="293" t="s">
        <v>366</v>
      </c>
      <c r="D33" s="293" t="s">
        <v>697</v>
      </c>
      <c r="E33" s="293" t="s">
        <v>1116</v>
      </c>
      <c r="F33" s="294">
        <v>763955</v>
      </c>
      <c r="G33" s="143" t="str">
        <f t="shared" si="0"/>
        <v>01038030060000129</v>
      </c>
    </row>
    <row r="34" spans="1:7" ht="51" x14ac:dyDescent="0.2">
      <c r="A34" s="292" t="s">
        <v>1214</v>
      </c>
      <c r="B34" s="293" t="s">
        <v>185</v>
      </c>
      <c r="C34" s="293" t="s">
        <v>366</v>
      </c>
      <c r="D34" s="293" t="s">
        <v>698</v>
      </c>
      <c r="E34" s="293" t="s">
        <v>1314</v>
      </c>
      <c r="F34" s="294">
        <v>52000</v>
      </c>
      <c r="G34" s="143" t="str">
        <f t="shared" si="0"/>
        <v>01038030067000</v>
      </c>
    </row>
    <row r="35" spans="1:7" ht="51" x14ac:dyDescent="0.2">
      <c r="A35" s="292" t="s">
        <v>1501</v>
      </c>
      <c r="B35" s="293" t="s">
        <v>185</v>
      </c>
      <c r="C35" s="293" t="s">
        <v>366</v>
      </c>
      <c r="D35" s="293" t="s">
        <v>698</v>
      </c>
      <c r="E35" s="293" t="s">
        <v>290</v>
      </c>
      <c r="F35" s="294">
        <v>52000</v>
      </c>
      <c r="G35" s="143" t="str">
        <f t="shared" si="0"/>
        <v>01038030067000100</v>
      </c>
    </row>
    <row r="36" spans="1:7" ht="25.5" x14ac:dyDescent="0.2">
      <c r="A36" s="292" t="s">
        <v>1345</v>
      </c>
      <c r="B36" s="293" t="s">
        <v>185</v>
      </c>
      <c r="C36" s="293" t="s">
        <v>366</v>
      </c>
      <c r="D36" s="293" t="s">
        <v>698</v>
      </c>
      <c r="E36" s="293" t="s">
        <v>30</v>
      </c>
      <c r="F36" s="294">
        <v>52000</v>
      </c>
      <c r="G36" s="143" t="str">
        <f t="shared" si="0"/>
        <v>01038030067000120</v>
      </c>
    </row>
    <row r="37" spans="1:7" ht="38.25" x14ac:dyDescent="0.2">
      <c r="A37" s="292" t="s">
        <v>364</v>
      </c>
      <c r="B37" s="293" t="s">
        <v>185</v>
      </c>
      <c r="C37" s="293" t="s">
        <v>366</v>
      </c>
      <c r="D37" s="293" t="s">
        <v>698</v>
      </c>
      <c r="E37" s="293" t="s">
        <v>365</v>
      </c>
      <c r="F37" s="294">
        <v>52000</v>
      </c>
      <c r="G37" s="143" t="str">
        <f t="shared" si="0"/>
        <v>01038030067000122</v>
      </c>
    </row>
    <row r="38" spans="1:7" x14ac:dyDescent="0.2">
      <c r="A38" s="292" t="s">
        <v>187</v>
      </c>
      <c r="B38" s="293" t="s">
        <v>186</v>
      </c>
      <c r="C38" s="293" t="s">
        <v>1314</v>
      </c>
      <c r="D38" s="293" t="s">
        <v>1314</v>
      </c>
      <c r="E38" s="293" t="s">
        <v>1314</v>
      </c>
      <c r="F38" s="294">
        <v>2195181</v>
      </c>
      <c r="G38" s="143" t="str">
        <f t="shared" si="0"/>
        <v/>
      </c>
    </row>
    <row r="39" spans="1:7" x14ac:dyDescent="0.2">
      <c r="A39" s="292" t="s">
        <v>250</v>
      </c>
      <c r="B39" s="293" t="s">
        <v>186</v>
      </c>
      <c r="C39" s="293" t="s">
        <v>1212</v>
      </c>
      <c r="D39" s="293" t="s">
        <v>1314</v>
      </c>
      <c r="E39" s="293" t="s">
        <v>1314</v>
      </c>
      <c r="F39" s="294">
        <v>2195181</v>
      </c>
      <c r="G39" s="143" t="str">
        <f t="shared" si="0"/>
        <v>0100</v>
      </c>
    </row>
    <row r="40" spans="1:7" ht="38.25" x14ac:dyDescent="0.2">
      <c r="A40" s="292" t="s">
        <v>232</v>
      </c>
      <c r="B40" s="293" t="s">
        <v>186</v>
      </c>
      <c r="C40" s="293" t="s">
        <v>370</v>
      </c>
      <c r="D40" s="293" t="s">
        <v>1314</v>
      </c>
      <c r="E40" s="293" t="s">
        <v>1314</v>
      </c>
      <c r="F40" s="294">
        <v>2195181</v>
      </c>
      <c r="G40" s="143" t="str">
        <f t="shared" si="0"/>
        <v>0106</v>
      </c>
    </row>
    <row r="41" spans="1:7" ht="25.5" x14ac:dyDescent="0.2">
      <c r="A41" s="292" t="s">
        <v>646</v>
      </c>
      <c r="B41" s="293" t="s">
        <v>186</v>
      </c>
      <c r="C41" s="293" t="s">
        <v>370</v>
      </c>
      <c r="D41" s="293" t="s">
        <v>1067</v>
      </c>
      <c r="E41" s="293" t="s">
        <v>1314</v>
      </c>
      <c r="F41" s="294">
        <v>2195181</v>
      </c>
      <c r="G41" s="143" t="str">
        <f t="shared" si="0"/>
        <v>01068000000000</v>
      </c>
    </row>
    <row r="42" spans="1:7" ht="38.25" x14ac:dyDescent="0.2">
      <c r="A42" s="292" t="s">
        <v>647</v>
      </c>
      <c r="B42" s="293" t="s">
        <v>186</v>
      </c>
      <c r="C42" s="293" t="s">
        <v>370</v>
      </c>
      <c r="D42" s="293" t="s">
        <v>1069</v>
      </c>
      <c r="E42" s="293" t="s">
        <v>1314</v>
      </c>
      <c r="F42" s="294">
        <v>941226</v>
      </c>
      <c r="G42" s="143" t="str">
        <f t="shared" si="0"/>
        <v>01068020000000</v>
      </c>
    </row>
    <row r="43" spans="1:7" ht="38.25" x14ac:dyDescent="0.2">
      <c r="A43" s="292" t="s">
        <v>367</v>
      </c>
      <c r="B43" s="293" t="s">
        <v>186</v>
      </c>
      <c r="C43" s="293" t="s">
        <v>370</v>
      </c>
      <c r="D43" s="293" t="s">
        <v>695</v>
      </c>
      <c r="E43" s="293" t="s">
        <v>1314</v>
      </c>
      <c r="F43" s="294">
        <v>901226</v>
      </c>
      <c r="G43" s="143" t="str">
        <f t="shared" si="0"/>
        <v>01068020060000</v>
      </c>
    </row>
    <row r="44" spans="1:7" ht="51" x14ac:dyDescent="0.2">
      <c r="A44" s="292" t="s">
        <v>1501</v>
      </c>
      <c r="B44" s="293" t="s">
        <v>186</v>
      </c>
      <c r="C44" s="293" t="s">
        <v>370</v>
      </c>
      <c r="D44" s="293" t="s">
        <v>695</v>
      </c>
      <c r="E44" s="293" t="s">
        <v>290</v>
      </c>
      <c r="F44" s="294">
        <v>853676</v>
      </c>
      <c r="G44" s="143" t="str">
        <f t="shared" si="0"/>
        <v>01068020060000100</v>
      </c>
    </row>
    <row r="45" spans="1:7" ht="25.5" x14ac:dyDescent="0.2">
      <c r="A45" s="292" t="s">
        <v>1345</v>
      </c>
      <c r="B45" s="293" t="s">
        <v>186</v>
      </c>
      <c r="C45" s="293" t="s">
        <v>370</v>
      </c>
      <c r="D45" s="293" t="s">
        <v>695</v>
      </c>
      <c r="E45" s="293" t="s">
        <v>30</v>
      </c>
      <c r="F45" s="294">
        <v>853676</v>
      </c>
      <c r="G45" s="143" t="str">
        <f t="shared" si="0"/>
        <v>01068020060000120</v>
      </c>
    </row>
    <row r="46" spans="1:7" ht="25.5" x14ac:dyDescent="0.2">
      <c r="A46" s="292" t="s">
        <v>1010</v>
      </c>
      <c r="B46" s="293" t="s">
        <v>186</v>
      </c>
      <c r="C46" s="293" t="s">
        <v>370</v>
      </c>
      <c r="D46" s="293" t="s">
        <v>695</v>
      </c>
      <c r="E46" s="293" t="s">
        <v>363</v>
      </c>
      <c r="F46" s="294">
        <v>643223</v>
      </c>
      <c r="G46" s="143" t="str">
        <f t="shared" si="0"/>
        <v>01068020060000121</v>
      </c>
    </row>
    <row r="47" spans="1:7" ht="38.25" x14ac:dyDescent="0.2">
      <c r="A47" s="292" t="s">
        <v>364</v>
      </c>
      <c r="B47" s="293" t="s">
        <v>186</v>
      </c>
      <c r="C47" s="293" t="s">
        <v>370</v>
      </c>
      <c r="D47" s="293" t="s">
        <v>695</v>
      </c>
      <c r="E47" s="293" t="s">
        <v>365</v>
      </c>
      <c r="F47" s="294">
        <v>16200</v>
      </c>
      <c r="G47" s="143" t="str">
        <f t="shared" si="0"/>
        <v>01068020060000122</v>
      </c>
    </row>
    <row r="48" spans="1:7" ht="38.25" x14ac:dyDescent="0.2">
      <c r="A48" s="292" t="s">
        <v>1115</v>
      </c>
      <c r="B48" s="293" t="s">
        <v>186</v>
      </c>
      <c r="C48" s="293" t="s">
        <v>370</v>
      </c>
      <c r="D48" s="293" t="s">
        <v>695</v>
      </c>
      <c r="E48" s="293" t="s">
        <v>1116</v>
      </c>
      <c r="F48" s="294">
        <v>194253</v>
      </c>
      <c r="G48" s="143" t="str">
        <f t="shared" si="0"/>
        <v>01068020060000129</v>
      </c>
    </row>
    <row r="49" spans="1:7" ht="25.5" x14ac:dyDescent="0.2">
      <c r="A49" s="292" t="s">
        <v>1502</v>
      </c>
      <c r="B49" s="293" t="s">
        <v>186</v>
      </c>
      <c r="C49" s="293" t="s">
        <v>370</v>
      </c>
      <c r="D49" s="293" t="s">
        <v>695</v>
      </c>
      <c r="E49" s="293" t="s">
        <v>1503</v>
      </c>
      <c r="F49" s="294">
        <v>47550</v>
      </c>
      <c r="G49" s="143" t="str">
        <f t="shared" si="0"/>
        <v>01068020060000200</v>
      </c>
    </row>
    <row r="50" spans="1:7" ht="25.5" x14ac:dyDescent="0.2">
      <c r="A50" s="292" t="s">
        <v>1338</v>
      </c>
      <c r="B50" s="293" t="s">
        <v>186</v>
      </c>
      <c r="C50" s="293" t="s">
        <v>370</v>
      </c>
      <c r="D50" s="293" t="s">
        <v>695</v>
      </c>
      <c r="E50" s="293" t="s">
        <v>1339</v>
      </c>
      <c r="F50" s="294">
        <v>47550</v>
      </c>
      <c r="G50" s="143" t="str">
        <f t="shared" si="0"/>
        <v>01068020060000240</v>
      </c>
    </row>
    <row r="51" spans="1:7" x14ac:dyDescent="0.2">
      <c r="A51" s="292" t="s">
        <v>1379</v>
      </c>
      <c r="B51" s="293" t="s">
        <v>186</v>
      </c>
      <c r="C51" s="293" t="s">
        <v>370</v>
      </c>
      <c r="D51" s="293" t="s">
        <v>695</v>
      </c>
      <c r="E51" s="293" t="s">
        <v>368</v>
      </c>
      <c r="F51" s="294">
        <v>47550</v>
      </c>
      <c r="G51" s="143" t="str">
        <f t="shared" si="0"/>
        <v>01068020060000244</v>
      </c>
    </row>
    <row r="52" spans="1:7" ht="51" x14ac:dyDescent="0.2">
      <c r="A52" s="292" t="s">
        <v>605</v>
      </c>
      <c r="B52" s="293" t="s">
        <v>186</v>
      </c>
      <c r="C52" s="293" t="s">
        <v>370</v>
      </c>
      <c r="D52" s="293" t="s">
        <v>696</v>
      </c>
      <c r="E52" s="293" t="s">
        <v>1314</v>
      </c>
      <c r="F52" s="294">
        <v>40000</v>
      </c>
      <c r="G52" s="143" t="str">
        <f t="shared" si="0"/>
        <v>01068020067000</v>
      </c>
    </row>
    <row r="53" spans="1:7" ht="25.5" customHeight="1" x14ac:dyDescent="0.2">
      <c r="A53" s="292" t="s">
        <v>1501</v>
      </c>
      <c r="B53" s="293" t="s">
        <v>186</v>
      </c>
      <c r="C53" s="293" t="s">
        <v>370</v>
      </c>
      <c r="D53" s="293" t="s">
        <v>696</v>
      </c>
      <c r="E53" s="293" t="s">
        <v>290</v>
      </c>
      <c r="F53" s="294">
        <v>40000</v>
      </c>
      <c r="G53" s="143" t="str">
        <f t="shared" si="0"/>
        <v>01068020067000100</v>
      </c>
    </row>
    <row r="54" spans="1:7" ht="25.5" x14ac:dyDescent="0.2">
      <c r="A54" s="292" t="s">
        <v>1345</v>
      </c>
      <c r="B54" s="293" t="s">
        <v>186</v>
      </c>
      <c r="C54" s="293" t="s">
        <v>370</v>
      </c>
      <c r="D54" s="293" t="s">
        <v>696</v>
      </c>
      <c r="E54" s="293" t="s">
        <v>30</v>
      </c>
      <c r="F54" s="294">
        <v>40000</v>
      </c>
      <c r="G54" s="143" t="str">
        <f t="shared" si="0"/>
        <v>01068020067000120</v>
      </c>
    </row>
    <row r="55" spans="1:7" ht="38.25" x14ac:dyDescent="0.2">
      <c r="A55" s="292" t="s">
        <v>364</v>
      </c>
      <c r="B55" s="293" t="s">
        <v>186</v>
      </c>
      <c r="C55" s="293" t="s">
        <v>370</v>
      </c>
      <c r="D55" s="293" t="s">
        <v>696</v>
      </c>
      <c r="E55" s="293" t="s">
        <v>365</v>
      </c>
      <c r="F55" s="294">
        <v>40000</v>
      </c>
      <c r="G55" s="143" t="str">
        <f t="shared" si="0"/>
        <v>01068020067000122</v>
      </c>
    </row>
    <row r="56" spans="1:7" ht="51" x14ac:dyDescent="0.2">
      <c r="A56" s="292" t="s">
        <v>371</v>
      </c>
      <c r="B56" s="293" t="s">
        <v>186</v>
      </c>
      <c r="C56" s="293" t="s">
        <v>370</v>
      </c>
      <c r="D56" s="293" t="s">
        <v>1071</v>
      </c>
      <c r="E56" s="293" t="s">
        <v>1314</v>
      </c>
      <c r="F56" s="294">
        <v>1253955</v>
      </c>
      <c r="G56" s="143" t="str">
        <f t="shared" si="0"/>
        <v>01068040000000</v>
      </c>
    </row>
    <row r="57" spans="1:7" ht="51" x14ac:dyDescent="0.2">
      <c r="A57" s="292" t="s">
        <v>371</v>
      </c>
      <c r="B57" s="293" t="s">
        <v>186</v>
      </c>
      <c r="C57" s="293" t="s">
        <v>370</v>
      </c>
      <c r="D57" s="293" t="s">
        <v>699</v>
      </c>
      <c r="E57" s="293" t="s">
        <v>1314</v>
      </c>
      <c r="F57" s="294">
        <v>1213955</v>
      </c>
      <c r="G57" s="143" t="str">
        <f t="shared" si="0"/>
        <v>01068040060000</v>
      </c>
    </row>
    <row r="58" spans="1:7" ht="23.25" customHeight="1" x14ac:dyDescent="0.2">
      <c r="A58" s="292" t="s">
        <v>1501</v>
      </c>
      <c r="B58" s="293" t="s">
        <v>186</v>
      </c>
      <c r="C58" s="293" t="s">
        <v>370</v>
      </c>
      <c r="D58" s="293" t="s">
        <v>699</v>
      </c>
      <c r="E58" s="293" t="s">
        <v>290</v>
      </c>
      <c r="F58" s="294">
        <v>1213955</v>
      </c>
      <c r="G58" s="143" t="str">
        <f t="shared" si="0"/>
        <v>01068040060000100</v>
      </c>
    </row>
    <row r="59" spans="1:7" ht="25.5" x14ac:dyDescent="0.2">
      <c r="A59" s="292" t="s">
        <v>1345</v>
      </c>
      <c r="B59" s="293" t="s">
        <v>186</v>
      </c>
      <c r="C59" s="293" t="s">
        <v>370</v>
      </c>
      <c r="D59" s="293" t="s">
        <v>699</v>
      </c>
      <c r="E59" s="293" t="s">
        <v>30</v>
      </c>
      <c r="F59" s="294">
        <v>1213955</v>
      </c>
      <c r="G59" s="143" t="str">
        <f t="shared" si="0"/>
        <v>01068040060000120</v>
      </c>
    </row>
    <row r="60" spans="1:7" ht="25.5" x14ac:dyDescent="0.2">
      <c r="A60" s="292" t="s">
        <v>1010</v>
      </c>
      <c r="B60" s="293" t="s">
        <v>186</v>
      </c>
      <c r="C60" s="293" t="s">
        <v>370</v>
      </c>
      <c r="D60" s="293" t="s">
        <v>699</v>
      </c>
      <c r="E60" s="293" t="s">
        <v>363</v>
      </c>
      <c r="F60" s="294">
        <v>919935</v>
      </c>
      <c r="G60" s="143" t="str">
        <f t="shared" si="0"/>
        <v>01068040060000121</v>
      </c>
    </row>
    <row r="61" spans="1:7" ht="38.25" x14ac:dyDescent="0.2">
      <c r="A61" s="292" t="s">
        <v>364</v>
      </c>
      <c r="B61" s="293" t="s">
        <v>186</v>
      </c>
      <c r="C61" s="293" t="s">
        <v>370</v>
      </c>
      <c r="D61" s="293" t="s">
        <v>699</v>
      </c>
      <c r="E61" s="293" t="s">
        <v>365</v>
      </c>
      <c r="F61" s="294">
        <v>16200</v>
      </c>
      <c r="G61" s="143" t="str">
        <f t="shared" si="0"/>
        <v>01068040060000122</v>
      </c>
    </row>
    <row r="62" spans="1:7" ht="38.25" x14ac:dyDescent="0.2">
      <c r="A62" s="292" t="s">
        <v>1115</v>
      </c>
      <c r="B62" s="293" t="s">
        <v>186</v>
      </c>
      <c r="C62" s="293" t="s">
        <v>370</v>
      </c>
      <c r="D62" s="293" t="s">
        <v>699</v>
      </c>
      <c r="E62" s="293" t="s">
        <v>1116</v>
      </c>
      <c r="F62" s="294">
        <v>277820</v>
      </c>
      <c r="G62" s="143" t="str">
        <f t="shared" si="0"/>
        <v>01068040060000129</v>
      </c>
    </row>
    <row r="63" spans="1:7" ht="63.75" x14ac:dyDescent="0.2">
      <c r="A63" s="292" t="s">
        <v>606</v>
      </c>
      <c r="B63" s="293" t="s">
        <v>186</v>
      </c>
      <c r="C63" s="293" t="s">
        <v>370</v>
      </c>
      <c r="D63" s="293" t="s">
        <v>700</v>
      </c>
      <c r="E63" s="293" t="s">
        <v>1314</v>
      </c>
      <c r="F63" s="294">
        <v>40000</v>
      </c>
      <c r="G63" s="143" t="str">
        <f t="shared" si="0"/>
        <v>01068040067000</v>
      </c>
    </row>
    <row r="64" spans="1:7" ht="51" x14ac:dyDescent="0.2">
      <c r="A64" s="292" t="s">
        <v>1501</v>
      </c>
      <c r="B64" s="293" t="s">
        <v>186</v>
      </c>
      <c r="C64" s="293" t="s">
        <v>370</v>
      </c>
      <c r="D64" s="293" t="s">
        <v>700</v>
      </c>
      <c r="E64" s="293" t="s">
        <v>290</v>
      </c>
      <c r="F64" s="294">
        <v>40000</v>
      </c>
      <c r="G64" s="143" t="str">
        <f t="shared" si="0"/>
        <v>01068040067000100</v>
      </c>
    </row>
    <row r="65" spans="1:7" ht="25.5" x14ac:dyDescent="0.2">
      <c r="A65" s="292" t="s">
        <v>1345</v>
      </c>
      <c r="B65" s="293" t="s">
        <v>186</v>
      </c>
      <c r="C65" s="293" t="s">
        <v>370</v>
      </c>
      <c r="D65" s="293" t="s">
        <v>700</v>
      </c>
      <c r="E65" s="293" t="s">
        <v>30</v>
      </c>
      <c r="F65" s="294">
        <v>40000</v>
      </c>
      <c r="G65" s="143" t="str">
        <f t="shared" si="0"/>
        <v>01068040067000120</v>
      </c>
    </row>
    <row r="66" spans="1:7" ht="38.25" x14ac:dyDescent="0.2">
      <c r="A66" s="292" t="s">
        <v>364</v>
      </c>
      <c r="B66" s="293" t="s">
        <v>186</v>
      </c>
      <c r="C66" s="293" t="s">
        <v>370</v>
      </c>
      <c r="D66" s="293" t="s">
        <v>700</v>
      </c>
      <c r="E66" s="293" t="s">
        <v>365</v>
      </c>
      <c r="F66" s="294">
        <v>40000</v>
      </c>
      <c r="G66" s="143" t="str">
        <f t="shared" si="0"/>
        <v>01068040067000122</v>
      </c>
    </row>
    <row r="67" spans="1:7" x14ac:dyDescent="0.2">
      <c r="A67" s="292" t="s">
        <v>188</v>
      </c>
      <c r="B67" s="293" t="s">
        <v>5</v>
      </c>
      <c r="C67" s="293" t="s">
        <v>1314</v>
      </c>
      <c r="D67" s="293" t="s">
        <v>1314</v>
      </c>
      <c r="E67" s="293" t="s">
        <v>1314</v>
      </c>
      <c r="F67" s="294">
        <v>360231666</v>
      </c>
      <c r="G67" s="143" t="str">
        <f t="shared" si="0"/>
        <v/>
      </c>
    </row>
    <row r="68" spans="1:7" x14ac:dyDescent="0.2">
      <c r="A68" s="292" t="s">
        <v>250</v>
      </c>
      <c r="B68" s="293" t="s">
        <v>5</v>
      </c>
      <c r="C68" s="293" t="s">
        <v>1212</v>
      </c>
      <c r="D68" s="293" t="s">
        <v>1314</v>
      </c>
      <c r="E68" s="293" t="s">
        <v>1314</v>
      </c>
      <c r="F68" s="294">
        <v>66932816</v>
      </c>
      <c r="G68" s="143" t="str">
        <f t="shared" si="0"/>
        <v>0100</v>
      </c>
    </row>
    <row r="69" spans="1:7" ht="25.5" x14ac:dyDescent="0.2">
      <c r="A69" s="292" t="s">
        <v>1489</v>
      </c>
      <c r="B69" s="293" t="s">
        <v>5</v>
      </c>
      <c r="C69" s="293" t="s">
        <v>361</v>
      </c>
      <c r="D69" s="293" t="s">
        <v>1314</v>
      </c>
      <c r="E69" s="293" t="s">
        <v>1314</v>
      </c>
      <c r="F69" s="294">
        <v>2569341</v>
      </c>
      <c r="G69" s="143" t="str">
        <f t="shared" si="0"/>
        <v>0102</v>
      </c>
    </row>
    <row r="70" spans="1:7" ht="25.5" x14ac:dyDescent="0.2">
      <c r="A70" s="292" t="s">
        <v>646</v>
      </c>
      <c r="B70" s="293" t="s">
        <v>5</v>
      </c>
      <c r="C70" s="293" t="s">
        <v>361</v>
      </c>
      <c r="D70" s="293" t="s">
        <v>1067</v>
      </c>
      <c r="E70" s="293" t="s">
        <v>1314</v>
      </c>
      <c r="F70" s="294">
        <v>2569341</v>
      </c>
      <c r="G70" s="143" t="str">
        <f t="shared" si="0"/>
        <v>01028000000000</v>
      </c>
    </row>
    <row r="71" spans="1:7" ht="38.25" x14ac:dyDescent="0.2">
      <c r="A71" s="292" t="s">
        <v>362</v>
      </c>
      <c r="B71" s="293" t="s">
        <v>5</v>
      </c>
      <c r="C71" s="293" t="s">
        <v>361</v>
      </c>
      <c r="D71" s="293" t="s">
        <v>1068</v>
      </c>
      <c r="E71" s="293" t="s">
        <v>1314</v>
      </c>
      <c r="F71" s="294">
        <v>2569341</v>
      </c>
      <c r="G71" s="143" t="str">
        <f t="shared" si="0"/>
        <v>01028010000000</v>
      </c>
    </row>
    <row r="72" spans="1:7" ht="38.25" x14ac:dyDescent="0.2">
      <c r="A72" s="292" t="s">
        <v>362</v>
      </c>
      <c r="B72" s="293" t="s">
        <v>5</v>
      </c>
      <c r="C72" s="293" t="s">
        <v>361</v>
      </c>
      <c r="D72" s="293" t="s">
        <v>701</v>
      </c>
      <c r="E72" s="293" t="s">
        <v>1314</v>
      </c>
      <c r="F72" s="294">
        <v>2469341</v>
      </c>
      <c r="G72" s="143" t="str">
        <f t="shared" si="0"/>
        <v>01028010060000</v>
      </c>
    </row>
    <row r="73" spans="1:7" ht="51" x14ac:dyDescent="0.2">
      <c r="A73" s="292" t="s">
        <v>1501</v>
      </c>
      <c r="B73" s="293" t="s">
        <v>5</v>
      </c>
      <c r="C73" s="293" t="s">
        <v>361</v>
      </c>
      <c r="D73" s="293" t="s">
        <v>701</v>
      </c>
      <c r="E73" s="293" t="s">
        <v>290</v>
      </c>
      <c r="F73" s="294">
        <v>2469341</v>
      </c>
      <c r="G73" s="143" t="str">
        <f t="shared" ref="G73:G130" si="1">CONCATENATE(C73,D73,E73)</f>
        <v>01028010060000100</v>
      </c>
    </row>
    <row r="74" spans="1:7" ht="28.5" customHeight="1" x14ac:dyDescent="0.2">
      <c r="A74" s="292" t="s">
        <v>1345</v>
      </c>
      <c r="B74" s="293" t="s">
        <v>5</v>
      </c>
      <c r="C74" s="293" t="s">
        <v>361</v>
      </c>
      <c r="D74" s="293" t="s">
        <v>701</v>
      </c>
      <c r="E74" s="293" t="s">
        <v>30</v>
      </c>
      <c r="F74" s="294">
        <v>2469341</v>
      </c>
      <c r="G74" s="143" t="str">
        <f t="shared" si="1"/>
        <v>01028010060000120</v>
      </c>
    </row>
    <row r="75" spans="1:7" ht="25.5" x14ac:dyDescent="0.2">
      <c r="A75" s="292" t="s">
        <v>1010</v>
      </c>
      <c r="B75" s="293" t="s">
        <v>5</v>
      </c>
      <c r="C75" s="293" t="s">
        <v>361</v>
      </c>
      <c r="D75" s="293" t="s">
        <v>701</v>
      </c>
      <c r="E75" s="293" t="s">
        <v>363</v>
      </c>
      <c r="F75" s="294">
        <v>1880185</v>
      </c>
      <c r="G75" s="143" t="str">
        <f t="shared" si="1"/>
        <v>01028010060000121</v>
      </c>
    </row>
    <row r="76" spans="1:7" ht="29.25" customHeight="1" x14ac:dyDescent="0.2">
      <c r="A76" s="292" t="s">
        <v>364</v>
      </c>
      <c r="B76" s="293" t="s">
        <v>5</v>
      </c>
      <c r="C76" s="293" t="s">
        <v>361</v>
      </c>
      <c r="D76" s="293" t="s">
        <v>701</v>
      </c>
      <c r="E76" s="293" t="s">
        <v>365</v>
      </c>
      <c r="F76" s="294">
        <v>120000</v>
      </c>
      <c r="G76" s="143" t="str">
        <f t="shared" si="1"/>
        <v>01028010060000122</v>
      </c>
    </row>
    <row r="77" spans="1:7" ht="38.25" x14ac:dyDescent="0.2">
      <c r="A77" s="292" t="s">
        <v>1115</v>
      </c>
      <c r="B77" s="293" t="s">
        <v>5</v>
      </c>
      <c r="C77" s="293" t="s">
        <v>361</v>
      </c>
      <c r="D77" s="293" t="s">
        <v>701</v>
      </c>
      <c r="E77" s="293" t="s">
        <v>1116</v>
      </c>
      <c r="F77" s="294">
        <v>469156</v>
      </c>
      <c r="G77" s="143" t="str">
        <f t="shared" si="1"/>
        <v>01028010060000129</v>
      </c>
    </row>
    <row r="78" spans="1:7" ht="51" x14ac:dyDescent="0.2">
      <c r="A78" s="292" t="s">
        <v>2022</v>
      </c>
      <c r="B78" s="293" t="s">
        <v>5</v>
      </c>
      <c r="C78" s="293" t="s">
        <v>361</v>
      </c>
      <c r="D78" s="293" t="s">
        <v>2023</v>
      </c>
      <c r="E78" s="293" t="s">
        <v>1314</v>
      </c>
      <c r="F78" s="294">
        <v>100000</v>
      </c>
      <c r="G78" s="143" t="str">
        <f t="shared" si="1"/>
        <v>01028010067000</v>
      </c>
    </row>
    <row r="79" spans="1:7" ht="51" x14ac:dyDescent="0.2">
      <c r="A79" s="292" t="s">
        <v>1501</v>
      </c>
      <c r="B79" s="293" t="s">
        <v>5</v>
      </c>
      <c r="C79" s="293" t="s">
        <v>361</v>
      </c>
      <c r="D79" s="293" t="s">
        <v>2023</v>
      </c>
      <c r="E79" s="293" t="s">
        <v>290</v>
      </c>
      <c r="F79" s="294">
        <v>100000</v>
      </c>
      <c r="G79" s="143" t="str">
        <f t="shared" si="1"/>
        <v>01028010067000100</v>
      </c>
    </row>
    <row r="80" spans="1:7" ht="25.5" x14ac:dyDescent="0.2">
      <c r="A80" s="292" t="s">
        <v>1345</v>
      </c>
      <c r="B80" s="293" t="s">
        <v>5</v>
      </c>
      <c r="C80" s="293" t="s">
        <v>361</v>
      </c>
      <c r="D80" s="293" t="s">
        <v>2023</v>
      </c>
      <c r="E80" s="293" t="s">
        <v>30</v>
      </c>
      <c r="F80" s="294">
        <v>100000</v>
      </c>
      <c r="G80" s="143" t="str">
        <f t="shared" si="1"/>
        <v>01028010067000120</v>
      </c>
    </row>
    <row r="81" spans="1:7" ht="38.25" x14ac:dyDescent="0.2">
      <c r="A81" s="292" t="s">
        <v>364</v>
      </c>
      <c r="B81" s="293" t="s">
        <v>5</v>
      </c>
      <c r="C81" s="293" t="s">
        <v>361</v>
      </c>
      <c r="D81" s="293" t="s">
        <v>2023</v>
      </c>
      <c r="E81" s="293" t="s">
        <v>365</v>
      </c>
      <c r="F81" s="294">
        <v>100000</v>
      </c>
      <c r="G81" s="143" t="str">
        <f t="shared" si="1"/>
        <v>01028010067000122</v>
      </c>
    </row>
    <row r="82" spans="1:7" ht="38.25" x14ac:dyDescent="0.2">
      <c r="A82" s="292" t="s">
        <v>252</v>
      </c>
      <c r="B82" s="293" t="s">
        <v>5</v>
      </c>
      <c r="C82" s="293" t="s">
        <v>372</v>
      </c>
      <c r="D82" s="293" t="s">
        <v>1314</v>
      </c>
      <c r="E82" s="293" t="s">
        <v>1314</v>
      </c>
      <c r="F82" s="294">
        <v>63896375</v>
      </c>
      <c r="G82" s="143" t="str">
        <f t="shared" si="1"/>
        <v>0104</v>
      </c>
    </row>
    <row r="83" spans="1:7" ht="38.25" x14ac:dyDescent="0.2">
      <c r="A83" s="292" t="s">
        <v>497</v>
      </c>
      <c r="B83" s="293" t="s">
        <v>5</v>
      </c>
      <c r="C83" s="293" t="s">
        <v>372</v>
      </c>
      <c r="D83" s="293" t="s">
        <v>1038</v>
      </c>
      <c r="E83" s="293" t="s">
        <v>1314</v>
      </c>
      <c r="F83" s="294">
        <v>73395</v>
      </c>
      <c r="G83" s="143" t="str">
        <f t="shared" si="1"/>
        <v>01040400000000</v>
      </c>
    </row>
    <row r="84" spans="1:7" ht="25.5" x14ac:dyDescent="0.2">
      <c r="A84" s="292" t="s">
        <v>500</v>
      </c>
      <c r="B84" s="293" t="s">
        <v>5</v>
      </c>
      <c r="C84" s="293" t="s">
        <v>372</v>
      </c>
      <c r="D84" s="293" t="s">
        <v>1040</v>
      </c>
      <c r="E84" s="293" t="s">
        <v>1314</v>
      </c>
      <c r="F84" s="294">
        <v>73395</v>
      </c>
      <c r="G84" s="143" t="str">
        <f t="shared" si="1"/>
        <v>01040420000000</v>
      </c>
    </row>
    <row r="85" spans="1:7" ht="76.5" x14ac:dyDescent="0.2">
      <c r="A85" s="292" t="s">
        <v>373</v>
      </c>
      <c r="B85" s="293" t="s">
        <v>5</v>
      </c>
      <c r="C85" s="293" t="s">
        <v>372</v>
      </c>
      <c r="D85" s="293" t="s">
        <v>702</v>
      </c>
      <c r="E85" s="293" t="s">
        <v>1314</v>
      </c>
      <c r="F85" s="294">
        <v>73395</v>
      </c>
      <c r="G85" s="143" t="str">
        <f t="shared" si="1"/>
        <v>01040420080040</v>
      </c>
    </row>
    <row r="86" spans="1:7" ht="25.5" x14ac:dyDescent="0.2">
      <c r="A86" s="292" t="s">
        <v>1502</v>
      </c>
      <c r="B86" s="293" t="s">
        <v>5</v>
      </c>
      <c r="C86" s="293" t="s">
        <v>372</v>
      </c>
      <c r="D86" s="293" t="s">
        <v>702</v>
      </c>
      <c r="E86" s="293" t="s">
        <v>1503</v>
      </c>
      <c r="F86" s="294">
        <v>73395</v>
      </c>
      <c r="G86" s="143" t="str">
        <f t="shared" si="1"/>
        <v>01040420080040200</v>
      </c>
    </row>
    <row r="87" spans="1:7" ht="25.5" x14ac:dyDescent="0.2">
      <c r="A87" s="292" t="s">
        <v>1338</v>
      </c>
      <c r="B87" s="293" t="s">
        <v>5</v>
      </c>
      <c r="C87" s="293" t="s">
        <v>372</v>
      </c>
      <c r="D87" s="293" t="s">
        <v>702</v>
      </c>
      <c r="E87" s="293" t="s">
        <v>1339</v>
      </c>
      <c r="F87" s="294">
        <v>73395</v>
      </c>
      <c r="G87" s="143" t="str">
        <f t="shared" si="1"/>
        <v>01040420080040240</v>
      </c>
    </row>
    <row r="88" spans="1:7" x14ac:dyDescent="0.2">
      <c r="A88" s="292" t="s">
        <v>1379</v>
      </c>
      <c r="B88" s="293" t="s">
        <v>5</v>
      </c>
      <c r="C88" s="293" t="s">
        <v>372</v>
      </c>
      <c r="D88" s="293" t="s">
        <v>702</v>
      </c>
      <c r="E88" s="293" t="s">
        <v>368</v>
      </c>
      <c r="F88" s="294">
        <v>73395</v>
      </c>
      <c r="G88" s="143" t="str">
        <f t="shared" si="1"/>
        <v>01040420080040244</v>
      </c>
    </row>
    <row r="89" spans="1:7" ht="25.5" x14ac:dyDescent="0.2">
      <c r="A89" s="292" t="s">
        <v>646</v>
      </c>
      <c r="B89" s="293" t="s">
        <v>5</v>
      </c>
      <c r="C89" s="293" t="s">
        <v>372</v>
      </c>
      <c r="D89" s="293" t="s">
        <v>1067</v>
      </c>
      <c r="E89" s="293" t="s">
        <v>1314</v>
      </c>
      <c r="F89" s="294">
        <v>63822980</v>
      </c>
      <c r="G89" s="143" t="str">
        <f t="shared" si="1"/>
        <v>01048000000000</v>
      </c>
    </row>
    <row r="90" spans="1:7" ht="38.25" x14ac:dyDescent="0.2">
      <c r="A90" s="292" t="s">
        <v>647</v>
      </c>
      <c r="B90" s="293" t="s">
        <v>5</v>
      </c>
      <c r="C90" s="293" t="s">
        <v>372</v>
      </c>
      <c r="D90" s="293" t="s">
        <v>1069</v>
      </c>
      <c r="E90" s="293" t="s">
        <v>1314</v>
      </c>
      <c r="F90" s="294">
        <v>63822980</v>
      </c>
      <c r="G90" s="143" t="str">
        <f t="shared" si="1"/>
        <v>01048020000000</v>
      </c>
    </row>
    <row r="91" spans="1:7" ht="38.25" x14ac:dyDescent="0.2">
      <c r="A91" s="292" t="s">
        <v>367</v>
      </c>
      <c r="B91" s="293" t="s">
        <v>5</v>
      </c>
      <c r="C91" s="293" t="s">
        <v>372</v>
      </c>
      <c r="D91" s="293" t="s">
        <v>695</v>
      </c>
      <c r="E91" s="293" t="s">
        <v>1314</v>
      </c>
      <c r="F91" s="294">
        <v>45845331</v>
      </c>
      <c r="G91" s="143" t="str">
        <f t="shared" si="1"/>
        <v>01048020060000</v>
      </c>
    </row>
    <row r="92" spans="1:7" ht="51" x14ac:dyDescent="0.2">
      <c r="A92" s="292" t="s">
        <v>1501</v>
      </c>
      <c r="B92" s="293" t="s">
        <v>5</v>
      </c>
      <c r="C92" s="293" t="s">
        <v>372</v>
      </c>
      <c r="D92" s="293" t="s">
        <v>695</v>
      </c>
      <c r="E92" s="293" t="s">
        <v>290</v>
      </c>
      <c r="F92" s="294">
        <v>39088932</v>
      </c>
      <c r="G92" s="143" t="str">
        <f t="shared" si="1"/>
        <v>01048020060000100</v>
      </c>
    </row>
    <row r="93" spans="1:7" ht="25.5" x14ac:dyDescent="0.2">
      <c r="A93" s="292" t="s">
        <v>1345</v>
      </c>
      <c r="B93" s="293" t="s">
        <v>5</v>
      </c>
      <c r="C93" s="293" t="s">
        <v>372</v>
      </c>
      <c r="D93" s="293" t="s">
        <v>695</v>
      </c>
      <c r="E93" s="293" t="s">
        <v>30</v>
      </c>
      <c r="F93" s="294">
        <v>39088932</v>
      </c>
      <c r="G93" s="143" t="str">
        <f t="shared" si="1"/>
        <v>01048020060000120</v>
      </c>
    </row>
    <row r="94" spans="1:7" ht="25.5" x14ac:dyDescent="0.2">
      <c r="A94" s="292" t="s">
        <v>1010</v>
      </c>
      <c r="B94" s="293" t="s">
        <v>5</v>
      </c>
      <c r="C94" s="293" t="s">
        <v>372</v>
      </c>
      <c r="D94" s="293" t="s">
        <v>695</v>
      </c>
      <c r="E94" s="293" t="s">
        <v>363</v>
      </c>
      <c r="F94" s="294">
        <v>29588274</v>
      </c>
      <c r="G94" s="143" t="str">
        <f t="shared" si="1"/>
        <v>01048020060000121</v>
      </c>
    </row>
    <row r="95" spans="1:7" ht="38.25" x14ac:dyDescent="0.2">
      <c r="A95" s="292" t="s">
        <v>364</v>
      </c>
      <c r="B95" s="293" t="s">
        <v>5</v>
      </c>
      <c r="C95" s="293" t="s">
        <v>372</v>
      </c>
      <c r="D95" s="293" t="s">
        <v>695</v>
      </c>
      <c r="E95" s="293" t="s">
        <v>365</v>
      </c>
      <c r="F95" s="294">
        <v>565000</v>
      </c>
      <c r="G95" s="143" t="str">
        <f t="shared" si="1"/>
        <v>01048020060000122</v>
      </c>
    </row>
    <row r="96" spans="1:7" ht="38.25" x14ac:dyDescent="0.2">
      <c r="A96" s="292" t="s">
        <v>1115</v>
      </c>
      <c r="B96" s="293" t="s">
        <v>5</v>
      </c>
      <c r="C96" s="293" t="s">
        <v>372</v>
      </c>
      <c r="D96" s="293" t="s">
        <v>695</v>
      </c>
      <c r="E96" s="293" t="s">
        <v>1116</v>
      </c>
      <c r="F96" s="294">
        <v>8935658</v>
      </c>
      <c r="G96" s="143" t="str">
        <f t="shared" si="1"/>
        <v>01048020060000129</v>
      </c>
    </row>
    <row r="97" spans="1:7" ht="25.5" x14ac:dyDescent="0.2">
      <c r="A97" s="292" t="s">
        <v>1502</v>
      </c>
      <c r="B97" s="293" t="s">
        <v>5</v>
      </c>
      <c r="C97" s="293" t="s">
        <v>372</v>
      </c>
      <c r="D97" s="293" t="s">
        <v>695</v>
      </c>
      <c r="E97" s="293" t="s">
        <v>1503</v>
      </c>
      <c r="F97" s="294">
        <v>6483463</v>
      </c>
      <c r="G97" s="143" t="str">
        <f t="shared" si="1"/>
        <v>01048020060000200</v>
      </c>
    </row>
    <row r="98" spans="1:7" ht="25.5" x14ac:dyDescent="0.2">
      <c r="A98" s="292" t="s">
        <v>1338</v>
      </c>
      <c r="B98" s="293" t="s">
        <v>5</v>
      </c>
      <c r="C98" s="293" t="s">
        <v>372</v>
      </c>
      <c r="D98" s="293" t="s">
        <v>695</v>
      </c>
      <c r="E98" s="293" t="s">
        <v>1339</v>
      </c>
      <c r="F98" s="294">
        <v>6483463</v>
      </c>
      <c r="G98" s="143" t="str">
        <f t="shared" si="1"/>
        <v>01048020060000240</v>
      </c>
    </row>
    <row r="99" spans="1:7" x14ac:dyDescent="0.2">
      <c r="A99" s="292" t="s">
        <v>1379</v>
      </c>
      <c r="B99" s="293" t="s">
        <v>5</v>
      </c>
      <c r="C99" s="293" t="s">
        <v>372</v>
      </c>
      <c r="D99" s="293" t="s">
        <v>695</v>
      </c>
      <c r="E99" s="293" t="s">
        <v>368</v>
      </c>
      <c r="F99" s="294">
        <v>6483463</v>
      </c>
      <c r="G99" s="143" t="str">
        <f t="shared" si="1"/>
        <v>01048020060000244</v>
      </c>
    </row>
    <row r="100" spans="1:7" x14ac:dyDescent="0.2">
      <c r="A100" s="292" t="s">
        <v>1504</v>
      </c>
      <c r="B100" s="293" t="s">
        <v>5</v>
      </c>
      <c r="C100" s="293" t="s">
        <v>372</v>
      </c>
      <c r="D100" s="293" t="s">
        <v>695</v>
      </c>
      <c r="E100" s="293" t="s">
        <v>1505</v>
      </c>
      <c r="F100" s="294">
        <v>272936</v>
      </c>
      <c r="G100" s="143" t="str">
        <f t="shared" si="1"/>
        <v>01048020060000800</v>
      </c>
    </row>
    <row r="101" spans="1:7" x14ac:dyDescent="0.2">
      <c r="A101" s="292" t="s">
        <v>1343</v>
      </c>
      <c r="B101" s="293" t="s">
        <v>5</v>
      </c>
      <c r="C101" s="293" t="s">
        <v>372</v>
      </c>
      <c r="D101" s="293" t="s">
        <v>695</v>
      </c>
      <c r="E101" s="293" t="s">
        <v>1344</v>
      </c>
      <c r="F101" s="294">
        <v>272936</v>
      </c>
      <c r="G101" s="143" t="str">
        <f t="shared" si="1"/>
        <v>01048020060000850</v>
      </c>
    </row>
    <row r="102" spans="1:7" x14ac:dyDescent="0.2">
      <c r="A102" s="292" t="s">
        <v>1118</v>
      </c>
      <c r="B102" s="293" t="s">
        <v>5</v>
      </c>
      <c r="C102" s="293" t="s">
        <v>372</v>
      </c>
      <c r="D102" s="293" t="s">
        <v>695</v>
      </c>
      <c r="E102" s="293" t="s">
        <v>1119</v>
      </c>
      <c r="F102" s="294">
        <v>272936</v>
      </c>
      <c r="G102" s="143" t="str">
        <f t="shared" si="1"/>
        <v>01048020060000853</v>
      </c>
    </row>
    <row r="103" spans="1:7" ht="76.5" x14ac:dyDescent="0.2">
      <c r="A103" s="292" t="s">
        <v>607</v>
      </c>
      <c r="B103" s="293" t="s">
        <v>5</v>
      </c>
      <c r="C103" s="293" t="s">
        <v>372</v>
      </c>
      <c r="D103" s="293" t="s">
        <v>705</v>
      </c>
      <c r="E103" s="293" t="s">
        <v>1314</v>
      </c>
      <c r="F103" s="294">
        <v>1227782</v>
      </c>
      <c r="G103" s="143" t="str">
        <f t="shared" si="1"/>
        <v>01048020061000</v>
      </c>
    </row>
    <row r="104" spans="1:7" ht="51" x14ac:dyDescent="0.2">
      <c r="A104" s="292" t="s">
        <v>1501</v>
      </c>
      <c r="B104" s="293" t="s">
        <v>5</v>
      </c>
      <c r="C104" s="293" t="s">
        <v>372</v>
      </c>
      <c r="D104" s="293" t="s">
        <v>705</v>
      </c>
      <c r="E104" s="293" t="s">
        <v>290</v>
      </c>
      <c r="F104" s="294">
        <v>1227782</v>
      </c>
      <c r="G104" s="143" t="str">
        <f t="shared" si="1"/>
        <v>01048020061000100</v>
      </c>
    </row>
    <row r="105" spans="1:7" ht="25.5" x14ac:dyDescent="0.2">
      <c r="A105" s="292" t="s">
        <v>1345</v>
      </c>
      <c r="B105" s="293" t="s">
        <v>5</v>
      </c>
      <c r="C105" s="293" t="s">
        <v>372</v>
      </c>
      <c r="D105" s="293" t="s">
        <v>705</v>
      </c>
      <c r="E105" s="293" t="s">
        <v>30</v>
      </c>
      <c r="F105" s="294">
        <v>1227782</v>
      </c>
      <c r="G105" s="143" t="str">
        <f t="shared" si="1"/>
        <v>01048020061000120</v>
      </c>
    </row>
    <row r="106" spans="1:7" ht="25.5" x14ac:dyDescent="0.2">
      <c r="A106" s="292" t="s">
        <v>1010</v>
      </c>
      <c r="B106" s="293" t="s">
        <v>5</v>
      </c>
      <c r="C106" s="293" t="s">
        <v>372</v>
      </c>
      <c r="D106" s="293" t="s">
        <v>705</v>
      </c>
      <c r="E106" s="293" t="s">
        <v>363</v>
      </c>
      <c r="F106" s="294">
        <v>942997</v>
      </c>
      <c r="G106" s="143" t="str">
        <f t="shared" si="1"/>
        <v>01048020061000121</v>
      </c>
    </row>
    <row r="107" spans="1:7" ht="38.25" x14ac:dyDescent="0.2">
      <c r="A107" s="292" t="s">
        <v>1115</v>
      </c>
      <c r="B107" s="293" t="s">
        <v>5</v>
      </c>
      <c r="C107" s="293" t="s">
        <v>372</v>
      </c>
      <c r="D107" s="293" t="s">
        <v>705</v>
      </c>
      <c r="E107" s="293" t="s">
        <v>1116</v>
      </c>
      <c r="F107" s="294">
        <v>284785</v>
      </c>
      <c r="G107" s="143" t="str">
        <f t="shared" si="1"/>
        <v>01048020061000129</v>
      </c>
    </row>
    <row r="108" spans="1:7" ht="51" x14ac:dyDescent="0.2">
      <c r="A108" s="292" t="s">
        <v>605</v>
      </c>
      <c r="B108" s="293" t="s">
        <v>5</v>
      </c>
      <c r="C108" s="293" t="s">
        <v>372</v>
      </c>
      <c r="D108" s="293" t="s">
        <v>696</v>
      </c>
      <c r="E108" s="293" t="s">
        <v>1314</v>
      </c>
      <c r="F108" s="294">
        <v>400000</v>
      </c>
      <c r="G108" s="143" t="str">
        <f t="shared" si="1"/>
        <v>01048020067000</v>
      </c>
    </row>
    <row r="109" spans="1:7" ht="51" x14ac:dyDescent="0.2">
      <c r="A109" s="292" t="s">
        <v>1501</v>
      </c>
      <c r="B109" s="293" t="s">
        <v>5</v>
      </c>
      <c r="C109" s="293" t="s">
        <v>372</v>
      </c>
      <c r="D109" s="293" t="s">
        <v>696</v>
      </c>
      <c r="E109" s="293" t="s">
        <v>290</v>
      </c>
      <c r="F109" s="294">
        <v>400000</v>
      </c>
      <c r="G109" s="143" t="str">
        <f t="shared" si="1"/>
        <v>01048020067000100</v>
      </c>
    </row>
    <row r="110" spans="1:7" ht="25.5" x14ac:dyDescent="0.2">
      <c r="A110" s="292" t="s">
        <v>1345</v>
      </c>
      <c r="B110" s="293" t="s">
        <v>5</v>
      </c>
      <c r="C110" s="293" t="s">
        <v>372</v>
      </c>
      <c r="D110" s="293" t="s">
        <v>696</v>
      </c>
      <c r="E110" s="293" t="s">
        <v>30</v>
      </c>
      <c r="F110" s="294">
        <v>400000</v>
      </c>
      <c r="G110" s="143" t="str">
        <f t="shared" si="1"/>
        <v>01048020067000120</v>
      </c>
    </row>
    <row r="111" spans="1:7" ht="38.25" x14ac:dyDescent="0.2">
      <c r="A111" s="292" t="s">
        <v>364</v>
      </c>
      <c r="B111" s="293" t="s">
        <v>5</v>
      </c>
      <c r="C111" s="293" t="s">
        <v>372</v>
      </c>
      <c r="D111" s="293" t="s">
        <v>696</v>
      </c>
      <c r="E111" s="293" t="s">
        <v>365</v>
      </c>
      <c r="F111" s="294">
        <v>400000</v>
      </c>
      <c r="G111" s="143" t="str">
        <f t="shared" si="1"/>
        <v>01048020067000122</v>
      </c>
    </row>
    <row r="112" spans="1:7" ht="51" x14ac:dyDescent="0.2">
      <c r="A112" s="292" t="s">
        <v>608</v>
      </c>
      <c r="B112" s="293" t="s">
        <v>5</v>
      </c>
      <c r="C112" s="293" t="s">
        <v>372</v>
      </c>
      <c r="D112" s="293" t="s">
        <v>706</v>
      </c>
      <c r="E112" s="293" t="s">
        <v>1314</v>
      </c>
      <c r="F112" s="294">
        <v>8288772</v>
      </c>
      <c r="G112" s="143" t="str">
        <f t="shared" si="1"/>
        <v>0104802006Б000</v>
      </c>
    </row>
    <row r="113" spans="1:7" ht="51" x14ac:dyDescent="0.2">
      <c r="A113" s="292" t="s">
        <v>1501</v>
      </c>
      <c r="B113" s="293" t="s">
        <v>5</v>
      </c>
      <c r="C113" s="293" t="s">
        <v>372</v>
      </c>
      <c r="D113" s="293" t="s">
        <v>706</v>
      </c>
      <c r="E113" s="293" t="s">
        <v>290</v>
      </c>
      <c r="F113" s="294">
        <v>8288772</v>
      </c>
      <c r="G113" s="143" t="str">
        <f t="shared" si="1"/>
        <v>0104802006Б000100</v>
      </c>
    </row>
    <row r="114" spans="1:7" ht="25.5" x14ac:dyDescent="0.2">
      <c r="A114" s="292" t="s">
        <v>1345</v>
      </c>
      <c r="B114" s="293" t="s">
        <v>5</v>
      </c>
      <c r="C114" s="293" t="s">
        <v>372</v>
      </c>
      <c r="D114" s="293" t="s">
        <v>706</v>
      </c>
      <c r="E114" s="293" t="s">
        <v>30</v>
      </c>
      <c r="F114" s="294">
        <v>8288772</v>
      </c>
      <c r="G114" s="143" t="str">
        <f t="shared" si="1"/>
        <v>0104802006Б000120</v>
      </c>
    </row>
    <row r="115" spans="1:7" ht="25.5" x14ac:dyDescent="0.2">
      <c r="A115" s="292" t="s">
        <v>1010</v>
      </c>
      <c r="B115" s="293" t="s">
        <v>5</v>
      </c>
      <c r="C115" s="293" t="s">
        <v>372</v>
      </c>
      <c r="D115" s="293" t="s">
        <v>706</v>
      </c>
      <c r="E115" s="293" t="s">
        <v>363</v>
      </c>
      <c r="F115" s="294">
        <v>6366185</v>
      </c>
      <c r="G115" s="143" t="str">
        <f t="shared" si="1"/>
        <v>0104802006Б000121</v>
      </c>
    </row>
    <row r="116" spans="1:7" ht="38.25" x14ac:dyDescent="0.2">
      <c r="A116" s="292" t="s">
        <v>1115</v>
      </c>
      <c r="B116" s="293" t="s">
        <v>5</v>
      </c>
      <c r="C116" s="293" t="s">
        <v>372</v>
      </c>
      <c r="D116" s="293" t="s">
        <v>706</v>
      </c>
      <c r="E116" s="293" t="s">
        <v>1116</v>
      </c>
      <c r="F116" s="294">
        <v>1922587</v>
      </c>
      <c r="G116" s="143" t="str">
        <f t="shared" si="1"/>
        <v>0104802006Б000129</v>
      </c>
    </row>
    <row r="117" spans="1:7" ht="38.25" x14ac:dyDescent="0.2">
      <c r="A117" s="292" t="s">
        <v>1012</v>
      </c>
      <c r="B117" s="293" t="s">
        <v>5</v>
      </c>
      <c r="C117" s="293" t="s">
        <v>372</v>
      </c>
      <c r="D117" s="293" t="s">
        <v>1013</v>
      </c>
      <c r="E117" s="293" t="s">
        <v>1314</v>
      </c>
      <c r="F117" s="294">
        <v>3401569</v>
      </c>
      <c r="G117" s="143" t="str">
        <f t="shared" si="1"/>
        <v>0104802006Г000</v>
      </c>
    </row>
    <row r="118" spans="1:7" ht="25.5" x14ac:dyDescent="0.2">
      <c r="A118" s="292" t="s">
        <v>1502</v>
      </c>
      <c r="B118" s="293" t="s">
        <v>5</v>
      </c>
      <c r="C118" s="293" t="s">
        <v>372</v>
      </c>
      <c r="D118" s="293" t="s">
        <v>1013</v>
      </c>
      <c r="E118" s="293" t="s">
        <v>1503</v>
      </c>
      <c r="F118" s="294">
        <v>3401569</v>
      </c>
      <c r="G118" s="143" t="str">
        <f t="shared" si="1"/>
        <v>0104802006Г000200</v>
      </c>
    </row>
    <row r="119" spans="1:7" ht="25.5" x14ac:dyDescent="0.2">
      <c r="A119" s="292" t="s">
        <v>1338</v>
      </c>
      <c r="B119" s="293" t="s">
        <v>5</v>
      </c>
      <c r="C119" s="293" t="s">
        <v>372</v>
      </c>
      <c r="D119" s="293" t="s">
        <v>1013</v>
      </c>
      <c r="E119" s="293" t="s">
        <v>1339</v>
      </c>
      <c r="F119" s="294">
        <v>3401569</v>
      </c>
      <c r="G119" s="143" t="str">
        <f t="shared" si="1"/>
        <v>0104802006Г000240</v>
      </c>
    </row>
    <row r="120" spans="1:7" x14ac:dyDescent="0.2">
      <c r="A120" s="292" t="s">
        <v>2024</v>
      </c>
      <c r="B120" s="293" t="s">
        <v>5</v>
      </c>
      <c r="C120" s="293" t="s">
        <v>372</v>
      </c>
      <c r="D120" s="293" t="s">
        <v>1013</v>
      </c>
      <c r="E120" s="293" t="s">
        <v>2025</v>
      </c>
      <c r="F120" s="294">
        <v>3401569</v>
      </c>
      <c r="G120" s="143" t="str">
        <f t="shared" si="1"/>
        <v>0104802006Г000247</v>
      </c>
    </row>
    <row r="121" spans="1:7" ht="51" x14ac:dyDescent="0.2">
      <c r="A121" s="292" t="s">
        <v>1738</v>
      </c>
      <c r="B121" s="293" t="s">
        <v>5</v>
      </c>
      <c r="C121" s="293" t="s">
        <v>372</v>
      </c>
      <c r="D121" s="293" t="s">
        <v>1739</v>
      </c>
      <c r="E121" s="293" t="s">
        <v>1314</v>
      </c>
      <c r="F121" s="294">
        <v>165060</v>
      </c>
      <c r="G121" s="143" t="str">
        <f t="shared" si="1"/>
        <v>0104802006М000</v>
      </c>
    </row>
    <row r="122" spans="1:7" ht="25.5" x14ac:dyDescent="0.2">
      <c r="A122" s="292" t="s">
        <v>1502</v>
      </c>
      <c r="B122" s="293" t="s">
        <v>5</v>
      </c>
      <c r="C122" s="293" t="s">
        <v>372</v>
      </c>
      <c r="D122" s="293" t="s">
        <v>1739</v>
      </c>
      <c r="E122" s="293" t="s">
        <v>1503</v>
      </c>
      <c r="F122" s="294">
        <v>165060</v>
      </c>
      <c r="G122" s="143" t="str">
        <f t="shared" si="1"/>
        <v>0104802006М000200</v>
      </c>
    </row>
    <row r="123" spans="1:7" ht="25.5" x14ac:dyDescent="0.2">
      <c r="A123" s="292" t="s">
        <v>1338</v>
      </c>
      <c r="B123" s="293" t="s">
        <v>5</v>
      </c>
      <c r="C123" s="293" t="s">
        <v>372</v>
      </c>
      <c r="D123" s="293" t="s">
        <v>1739</v>
      </c>
      <c r="E123" s="293" t="s">
        <v>1339</v>
      </c>
      <c r="F123" s="294">
        <v>165060</v>
      </c>
      <c r="G123" s="143" t="str">
        <f t="shared" si="1"/>
        <v>0104802006М000240</v>
      </c>
    </row>
    <row r="124" spans="1:7" x14ac:dyDescent="0.2">
      <c r="A124" s="292" t="s">
        <v>1379</v>
      </c>
      <c r="B124" s="293" t="s">
        <v>5</v>
      </c>
      <c r="C124" s="293" t="s">
        <v>372</v>
      </c>
      <c r="D124" s="293" t="s">
        <v>1739</v>
      </c>
      <c r="E124" s="293" t="s">
        <v>368</v>
      </c>
      <c r="F124" s="294">
        <v>165060</v>
      </c>
      <c r="G124" s="143" t="str">
        <f t="shared" si="1"/>
        <v>0104802006М000244</v>
      </c>
    </row>
    <row r="125" spans="1:7" ht="25.5" x14ac:dyDescent="0.2">
      <c r="A125" s="292" t="s">
        <v>1143</v>
      </c>
      <c r="B125" s="293" t="s">
        <v>5</v>
      </c>
      <c r="C125" s="293" t="s">
        <v>372</v>
      </c>
      <c r="D125" s="293" t="s">
        <v>1144</v>
      </c>
      <c r="E125" s="293" t="s">
        <v>1314</v>
      </c>
      <c r="F125" s="294">
        <v>1269512</v>
      </c>
      <c r="G125" s="143" t="str">
        <f t="shared" si="1"/>
        <v>0104802006Э000</v>
      </c>
    </row>
    <row r="126" spans="1:7" ht="25.5" x14ac:dyDescent="0.2">
      <c r="A126" s="292" t="s">
        <v>1502</v>
      </c>
      <c r="B126" s="293" t="s">
        <v>5</v>
      </c>
      <c r="C126" s="293" t="s">
        <v>372</v>
      </c>
      <c r="D126" s="293" t="s">
        <v>1144</v>
      </c>
      <c r="E126" s="293" t="s">
        <v>1503</v>
      </c>
      <c r="F126" s="294">
        <v>1269512</v>
      </c>
      <c r="G126" s="143" t="str">
        <f t="shared" si="1"/>
        <v>0104802006Э000200</v>
      </c>
    </row>
    <row r="127" spans="1:7" ht="25.5" x14ac:dyDescent="0.2">
      <c r="A127" s="292" t="s">
        <v>1338</v>
      </c>
      <c r="B127" s="293" t="s">
        <v>5</v>
      </c>
      <c r="C127" s="293" t="s">
        <v>372</v>
      </c>
      <c r="D127" s="293" t="s">
        <v>1144</v>
      </c>
      <c r="E127" s="293" t="s">
        <v>1339</v>
      </c>
      <c r="F127" s="294">
        <v>1269512</v>
      </c>
      <c r="G127" s="143" t="str">
        <f t="shared" si="1"/>
        <v>0104802006Э000240</v>
      </c>
    </row>
    <row r="128" spans="1:7" x14ac:dyDescent="0.2">
      <c r="A128" s="292" t="s">
        <v>2024</v>
      </c>
      <c r="B128" s="293" t="s">
        <v>5</v>
      </c>
      <c r="C128" s="293" t="s">
        <v>372</v>
      </c>
      <c r="D128" s="293" t="s">
        <v>1144</v>
      </c>
      <c r="E128" s="293" t="s">
        <v>2025</v>
      </c>
      <c r="F128" s="294">
        <v>1269512</v>
      </c>
      <c r="G128" s="143" t="str">
        <f t="shared" si="1"/>
        <v>0104802006Э000247</v>
      </c>
    </row>
    <row r="129" spans="1:7" ht="76.5" x14ac:dyDescent="0.2">
      <c r="A129" s="292" t="s">
        <v>374</v>
      </c>
      <c r="B129" s="293" t="s">
        <v>5</v>
      </c>
      <c r="C129" s="293" t="s">
        <v>372</v>
      </c>
      <c r="D129" s="293" t="s">
        <v>703</v>
      </c>
      <c r="E129" s="293" t="s">
        <v>1314</v>
      </c>
      <c r="F129" s="294">
        <v>826100</v>
      </c>
      <c r="G129" s="143" t="str">
        <f t="shared" si="1"/>
        <v>01048020074670</v>
      </c>
    </row>
    <row r="130" spans="1:7" ht="51" x14ac:dyDescent="0.2">
      <c r="A130" s="292" t="s">
        <v>1501</v>
      </c>
      <c r="B130" s="293" t="s">
        <v>5</v>
      </c>
      <c r="C130" s="293" t="s">
        <v>372</v>
      </c>
      <c r="D130" s="293" t="s">
        <v>703</v>
      </c>
      <c r="E130" s="293" t="s">
        <v>290</v>
      </c>
      <c r="F130" s="294">
        <v>796200</v>
      </c>
      <c r="G130" s="143" t="str">
        <f t="shared" si="1"/>
        <v>01048020074670100</v>
      </c>
    </row>
    <row r="131" spans="1:7" ht="25.5" x14ac:dyDescent="0.2">
      <c r="A131" s="292" t="s">
        <v>1345</v>
      </c>
      <c r="B131" s="293" t="s">
        <v>5</v>
      </c>
      <c r="C131" s="293" t="s">
        <v>372</v>
      </c>
      <c r="D131" s="293" t="s">
        <v>703</v>
      </c>
      <c r="E131" s="293" t="s">
        <v>30</v>
      </c>
      <c r="F131" s="294">
        <v>796200</v>
      </c>
      <c r="G131" s="143" t="str">
        <f t="shared" ref="G131:G192" si="2">CONCATENATE(C131,D131,E131)</f>
        <v>01048020074670120</v>
      </c>
    </row>
    <row r="132" spans="1:7" ht="25.5" x14ac:dyDescent="0.2">
      <c r="A132" s="292" t="s">
        <v>1010</v>
      </c>
      <c r="B132" s="293" t="s">
        <v>5</v>
      </c>
      <c r="C132" s="293" t="s">
        <v>372</v>
      </c>
      <c r="D132" s="293" t="s">
        <v>703</v>
      </c>
      <c r="E132" s="293" t="s">
        <v>363</v>
      </c>
      <c r="F132" s="294">
        <v>596787</v>
      </c>
      <c r="G132" s="143" t="str">
        <f t="shared" si="2"/>
        <v>01048020074670121</v>
      </c>
    </row>
    <row r="133" spans="1:7" ht="38.25" x14ac:dyDescent="0.2">
      <c r="A133" s="292" t="s">
        <v>364</v>
      </c>
      <c r="B133" s="293" t="s">
        <v>5</v>
      </c>
      <c r="C133" s="293" t="s">
        <v>372</v>
      </c>
      <c r="D133" s="293" t="s">
        <v>703</v>
      </c>
      <c r="E133" s="293" t="s">
        <v>365</v>
      </c>
      <c r="F133" s="294">
        <v>19200</v>
      </c>
      <c r="G133" s="143" t="str">
        <f t="shared" si="2"/>
        <v>01048020074670122</v>
      </c>
    </row>
    <row r="134" spans="1:7" ht="38.25" x14ac:dyDescent="0.2">
      <c r="A134" s="292" t="s">
        <v>1115</v>
      </c>
      <c r="B134" s="293" t="s">
        <v>5</v>
      </c>
      <c r="C134" s="293" t="s">
        <v>372</v>
      </c>
      <c r="D134" s="293" t="s">
        <v>703</v>
      </c>
      <c r="E134" s="293" t="s">
        <v>1116</v>
      </c>
      <c r="F134" s="294">
        <v>180213</v>
      </c>
      <c r="G134" s="143" t="str">
        <f t="shared" si="2"/>
        <v>01048020074670129</v>
      </c>
    </row>
    <row r="135" spans="1:7" ht="25.5" x14ac:dyDescent="0.2">
      <c r="A135" s="292" t="s">
        <v>1502</v>
      </c>
      <c r="B135" s="293" t="s">
        <v>5</v>
      </c>
      <c r="C135" s="293" t="s">
        <v>372</v>
      </c>
      <c r="D135" s="293" t="s">
        <v>703</v>
      </c>
      <c r="E135" s="293" t="s">
        <v>1503</v>
      </c>
      <c r="F135" s="294">
        <v>29900</v>
      </c>
      <c r="G135" s="143" t="str">
        <f t="shared" si="2"/>
        <v>01048020074670200</v>
      </c>
    </row>
    <row r="136" spans="1:7" ht="25.5" x14ac:dyDescent="0.2">
      <c r="A136" s="292" t="s">
        <v>1338</v>
      </c>
      <c r="B136" s="293" t="s">
        <v>5</v>
      </c>
      <c r="C136" s="293" t="s">
        <v>372</v>
      </c>
      <c r="D136" s="293" t="s">
        <v>703</v>
      </c>
      <c r="E136" s="293" t="s">
        <v>1339</v>
      </c>
      <c r="F136" s="294">
        <v>29900</v>
      </c>
      <c r="G136" s="143" t="str">
        <f t="shared" si="2"/>
        <v>01048020074670240</v>
      </c>
    </row>
    <row r="137" spans="1:7" x14ac:dyDescent="0.2">
      <c r="A137" s="292" t="s">
        <v>1379</v>
      </c>
      <c r="B137" s="293" t="s">
        <v>5</v>
      </c>
      <c r="C137" s="293" t="s">
        <v>372</v>
      </c>
      <c r="D137" s="293" t="s">
        <v>703</v>
      </c>
      <c r="E137" s="293" t="s">
        <v>368</v>
      </c>
      <c r="F137" s="294">
        <v>29900</v>
      </c>
      <c r="G137" s="143" t="str">
        <f t="shared" si="2"/>
        <v>01048020074670244</v>
      </c>
    </row>
    <row r="138" spans="1:7" ht="63.75" x14ac:dyDescent="0.2">
      <c r="A138" s="292" t="s">
        <v>375</v>
      </c>
      <c r="B138" s="293" t="s">
        <v>5</v>
      </c>
      <c r="C138" s="293" t="s">
        <v>372</v>
      </c>
      <c r="D138" s="293" t="s">
        <v>704</v>
      </c>
      <c r="E138" s="293" t="s">
        <v>1314</v>
      </c>
      <c r="F138" s="294">
        <v>1621700</v>
      </c>
      <c r="G138" s="143" t="str">
        <f t="shared" si="2"/>
        <v>01048020076040</v>
      </c>
    </row>
    <row r="139" spans="1:7" ht="51" x14ac:dyDescent="0.2">
      <c r="A139" s="292" t="s">
        <v>1501</v>
      </c>
      <c r="B139" s="293" t="s">
        <v>5</v>
      </c>
      <c r="C139" s="293" t="s">
        <v>372</v>
      </c>
      <c r="D139" s="293" t="s">
        <v>704</v>
      </c>
      <c r="E139" s="293" t="s">
        <v>290</v>
      </c>
      <c r="F139" s="294">
        <v>1579310</v>
      </c>
      <c r="G139" s="143" t="str">
        <f t="shared" si="2"/>
        <v>01048020076040100</v>
      </c>
    </row>
    <row r="140" spans="1:7" ht="25.5" x14ac:dyDescent="0.2">
      <c r="A140" s="292" t="s">
        <v>1345</v>
      </c>
      <c r="B140" s="293" t="s">
        <v>5</v>
      </c>
      <c r="C140" s="293" t="s">
        <v>372</v>
      </c>
      <c r="D140" s="293" t="s">
        <v>704</v>
      </c>
      <c r="E140" s="293" t="s">
        <v>30</v>
      </c>
      <c r="F140" s="294">
        <v>1579310</v>
      </c>
      <c r="G140" s="143" t="str">
        <f t="shared" si="2"/>
        <v>01048020076040120</v>
      </c>
    </row>
    <row r="141" spans="1:7" ht="25.5" x14ac:dyDescent="0.2">
      <c r="A141" s="292" t="s">
        <v>1010</v>
      </c>
      <c r="B141" s="293" t="s">
        <v>5</v>
      </c>
      <c r="C141" s="293" t="s">
        <v>372</v>
      </c>
      <c r="D141" s="293" t="s">
        <v>704</v>
      </c>
      <c r="E141" s="293" t="s">
        <v>363</v>
      </c>
      <c r="F141" s="294">
        <v>1193785</v>
      </c>
      <c r="G141" s="143" t="str">
        <f t="shared" si="2"/>
        <v>01048020076040121</v>
      </c>
    </row>
    <row r="142" spans="1:7" ht="38.25" x14ac:dyDescent="0.2">
      <c r="A142" s="292" t="s">
        <v>364</v>
      </c>
      <c r="B142" s="293" t="s">
        <v>5</v>
      </c>
      <c r="C142" s="293" t="s">
        <v>372</v>
      </c>
      <c r="D142" s="293" t="s">
        <v>704</v>
      </c>
      <c r="E142" s="293" t="s">
        <v>365</v>
      </c>
      <c r="F142" s="294">
        <v>25000</v>
      </c>
      <c r="G142" s="143" t="str">
        <f t="shared" si="2"/>
        <v>01048020076040122</v>
      </c>
    </row>
    <row r="143" spans="1:7" ht="38.25" x14ac:dyDescent="0.2">
      <c r="A143" s="292" t="s">
        <v>1115</v>
      </c>
      <c r="B143" s="293" t="s">
        <v>5</v>
      </c>
      <c r="C143" s="293" t="s">
        <v>372</v>
      </c>
      <c r="D143" s="293" t="s">
        <v>704</v>
      </c>
      <c r="E143" s="293" t="s">
        <v>1116</v>
      </c>
      <c r="F143" s="294">
        <v>360525</v>
      </c>
      <c r="G143" s="143" t="str">
        <f t="shared" si="2"/>
        <v>01048020076040129</v>
      </c>
    </row>
    <row r="144" spans="1:7" ht="25.5" x14ac:dyDescent="0.2">
      <c r="A144" s="292" t="s">
        <v>1502</v>
      </c>
      <c r="B144" s="293" t="s">
        <v>5</v>
      </c>
      <c r="C144" s="293" t="s">
        <v>372</v>
      </c>
      <c r="D144" s="293" t="s">
        <v>704</v>
      </c>
      <c r="E144" s="293" t="s">
        <v>1503</v>
      </c>
      <c r="F144" s="294">
        <v>42390</v>
      </c>
      <c r="G144" s="143" t="str">
        <f t="shared" si="2"/>
        <v>01048020076040200</v>
      </c>
    </row>
    <row r="145" spans="1:7" ht="25.5" x14ac:dyDescent="0.2">
      <c r="A145" s="292" t="s">
        <v>1338</v>
      </c>
      <c r="B145" s="293" t="s">
        <v>5</v>
      </c>
      <c r="C145" s="293" t="s">
        <v>372</v>
      </c>
      <c r="D145" s="293" t="s">
        <v>704</v>
      </c>
      <c r="E145" s="293" t="s">
        <v>1339</v>
      </c>
      <c r="F145" s="294">
        <v>42390</v>
      </c>
      <c r="G145" s="143" t="str">
        <f t="shared" si="2"/>
        <v>01048020076040240</v>
      </c>
    </row>
    <row r="146" spans="1:7" x14ac:dyDescent="0.2">
      <c r="A146" s="292" t="s">
        <v>1379</v>
      </c>
      <c r="B146" s="293" t="s">
        <v>5</v>
      </c>
      <c r="C146" s="293" t="s">
        <v>372</v>
      </c>
      <c r="D146" s="293" t="s">
        <v>704</v>
      </c>
      <c r="E146" s="293" t="s">
        <v>368</v>
      </c>
      <c r="F146" s="294">
        <v>42390</v>
      </c>
      <c r="G146" s="143" t="str">
        <f t="shared" si="2"/>
        <v>01048020076040244</v>
      </c>
    </row>
    <row r="147" spans="1:7" ht="178.5" x14ac:dyDescent="0.2">
      <c r="A147" s="292" t="s">
        <v>540</v>
      </c>
      <c r="B147" s="293" t="s">
        <v>5</v>
      </c>
      <c r="C147" s="293" t="s">
        <v>372</v>
      </c>
      <c r="D147" s="293" t="s">
        <v>707</v>
      </c>
      <c r="E147" s="293" t="s">
        <v>1314</v>
      </c>
      <c r="F147" s="303">
        <v>777154</v>
      </c>
      <c r="G147" s="143" t="str">
        <f t="shared" si="2"/>
        <v>010480200Ч0010</v>
      </c>
    </row>
    <row r="148" spans="1:7" ht="51" x14ac:dyDescent="0.2">
      <c r="A148" s="292" t="s">
        <v>1501</v>
      </c>
      <c r="B148" s="293" t="s">
        <v>5</v>
      </c>
      <c r="C148" s="293" t="s">
        <v>372</v>
      </c>
      <c r="D148" s="293" t="s">
        <v>707</v>
      </c>
      <c r="E148" s="293" t="s">
        <v>290</v>
      </c>
      <c r="F148" s="294">
        <v>777154</v>
      </c>
      <c r="G148" s="143" t="str">
        <f t="shared" si="2"/>
        <v>010480200Ч0010100</v>
      </c>
    </row>
    <row r="149" spans="1:7" ht="25.5" x14ac:dyDescent="0.2">
      <c r="A149" s="292" t="s">
        <v>1345</v>
      </c>
      <c r="B149" s="293" t="s">
        <v>5</v>
      </c>
      <c r="C149" s="293" t="s">
        <v>372</v>
      </c>
      <c r="D149" s="293" t="s">
        <v>707</v>
      </c>
      <c r="E149" s="293" t="s">
        <v>30</v>
      </c>
      <c r="F149" s="294">
        <v>777154</v>
      </c>
      <c r="G149" s="143" t="str">
        <f t="shared" si="2"/>
        <v>010480200Ч0010120</v>
      </c>
    </row>
    <row r="150" spans="1:7" ht="25.5" x14ac:dyDescent="0.2">
      <c r="A150" s="292" t="s">
        <v>1010</v>
      </c>
      <c r="B150" s="293" t="s">
        <v>5</v>
      </c>
      <c r="C150" s="293" t="s">
        <v>372</v>
      </c>
      <c r="D150" s="293" t="s">
        <v>707</v>
      </c>
      <c r="E150" s="293" t="s">
        <v>363</v>
      </c>
      <c r="F150" s="294">
        <v>596893</v>
      </c>
      <c r="G150" s="143" t="str">
        <f t="shared" si="2"/>
        <v>010480200Ч0010121</v>
      </c>
    </row>
    <row r="151" spans="1:7" ht="38.25" x14ac:dyDescent="0.2">
      <c r="A151" s="292" t="s">
        <v>1115</v>
      </c>
      <c r="B151" s="293" t="s">
        <v>5</v>
      </c>
      <c r="C151" s="293" t="s">
        <v>372</v>
      </c>
      <c r="D151" s="293" t="s">
        <v>707</v>
      </c>
      <c r="E151" s="293" t="s">
        <v>1116</v>
      </c>
      <c r="F151" s="294">
        <v>180261</v>
      </c>
      <c r="G151" s="143" t="str">
        <f t="shared" si="2"/>
        <v>010480200Ч0010129</v>
      </c>
    </row>
    <row r="152" spans="1:7" x14ac:dyDescent="0.2">
      <c r="A152" s="292" t="s">
        <v>1333</v>
      </c>
      <c r="B152" s="293" t="s">
        <v>5</v>
      </c>
      <c r="C152" s="293" t="s">
        <v>1334</v>
      </c>
      <c r="D152" s="293" t="s">
        <v>1314</v>
      </c>
      <c r="E152" s="293" t="s">
        <v>1314</v>
      </c>
      <c r="F152" s="294">
        <v>22100</v>
      </c>
      <c r="G152" s="143" t="str">
        <f t="shared" si="2"/>
        <v>0105</v>
      </c>
    </row>
    <row r="153" spans="1:7" ht="25.5" x14ac:dyDescent="0.2">
      <c r="A153" s="292" t="s">
        <v>648</v>
      </c>
      <c r="B153" s="293" t="s">
        <v>5</v>
      </c>
      <c r="C153" s="293" t="s">
        <v>1334</v>
      </c>
      <c r="D153" s="293" t="s">
        <v>1072</v>
      </c>
      <c r="E153" s="293" t="s">
        <v>1314</v>
      </c>
      <c r="F153" s="303">
        <v>22100</v>
      </c>
      <c r="G153" s="143" t="str">
        <f t="shared" si="2"/>
        <v>01059000000000</v>
      </c>
    </row>
    <row r="154" spans="1:7" ht="63.75" x14ac:dyDescent="0.2">
      <c r="A154" s="292" t="s">
        <v>481</v>
      </c>
      <c r="B154" s="293" t="s">
        <v>5</v>
      </c>
      <c r="C154" s="293" t="s">
        <v>1334</v>
      </c>
      <c r="D154" s="293" t="s">
        <v>1335</v>
      </c>
      <c r="E154" s="293" t="s">
        <v>1314</v>
      </c>
      <c r="F154" s="294">
        <v>22100</v>
      </c>
      <c r="G154" s="143" t="str">
        <f t="shared" si="2"/>
        <v>01059040000000</v>
      </c>
    </row>
    <row r="155" spans="1:7" ht="63.75" x14ac:dyDescent="0.2">
      <c r="A155" s="292" t="s">
        <v>481</v>
      </c>
      <c r="B155" s="293" t="s">
        <v>5</v>
      </c>
      <c r="C155" s="293" t="s">
        <v>1334</v>
      </c>
      <c r="D155" s="293" t="s">
        <v>708</v>
      </c>
      <c r="E155" s="293" t="s">
        <v>1314</v>
      </c>
      <c r="F155" s="294">
        <v>22100</v>
      </c>
      <c r="G155" s="143" t="str">
        <f t="shared" si="2"/>
        <v>01059040051200</v>
      </c>
    </row>
    <row r="156" spans="1:7" ht="25.5" x14ac:dyDescent="0.2">
      <c r="A156" s="292" t="s">
        <v>1502</v>
      </c>
      <c r="B156" s="293" t="s">
        <v>5</v>
      </c>
      <c r="C156" s="293" t="s">
        <v>1334</v>
      </c>
      <c r="D156" s="293" t="s">
        <v>708</v>
      </c>
      <c r="E156" s="293" t="s">
        <v>1503</v>
      </c>
      <c r="F156" s="294">
        <v>22100</v>
      </c>
      <c r="G156" s="143" t="str">
        <f t="shared" si="2"/>
        <v>01059040051200200</v>
      </c>
    </row>
    <row r="157" spans="1:7" ht="25.5" x14ac:dyDescent="0.2">
      <c r="A157" s="292" t="s">
        <v>1338</v>
      </c>
      <c r="B157" s="293" t="s">
        <v>5</v>
      </c>
      <c r="C157" s="293" t="s">
        <v>1334</v>
      </c>
      <c r="D157" s="293" t="s">
        <v>708</v>
      </c>
      <c r="E157" s="293" t="s">
        <v>1339</v>
      </c>
      <c r="F157" s="294">
        <v>22100</v>
      </c>
      <c r="G157" s="143" t="str">
        <f t="shared" si="2"/>
        <v>01059040051200240</v>
      </c>
    </row>
    <row r="158" spans="1:7" x14ac:dyDescent="0.2">
      <c r="A158" s="292" t="s">
        <v>1379</v>
      </c>
      <c r="B158" s="293" t="s">
        <v>5</v>
      </c>
      <c r="C158" s="293" t="s">
        <v>1334</v>
      </c>
      <c r="D158" s="293" t="s">
        <v>708</v>
      </c>
      <c r="E158" s="293" t="s">
        <v>368</v>
      </c>
      <c r="F158" s="294">
        <v>22100</v>
      </c>
      <c r="G158" s="143" t="str">
        <f t="shared" si="2"/>
        <v>01059040051200244</v>
      </c>
    </row>
    <row r="159" spans="1:7" x14ac:dyDescent="0.2">
      <c r="A159" s="292" t="s">
        <v>233</v>
      </c>
      <c r="B159" s="293" t="s">
        <v>5</v>
      </c>
      <c r="C159" s="293" t="s">
        <v>376</v>
      </c>
      <c r="D159" s="293" t="s">
        <v>1314</v>
      </c>
      <c r="E159" s="293" t="s">
        <v>1314</v>
      </c>
      <c r="F159" s="294">
        <v>445000</v>
      </c>
      <c r="G159" s="143" t="str">
        <f t="shared" si="2"/>
        <v>0113</v>
      </c>
    </row>
    <row r="160" spans="1:7" ht="38.25" x14ac:dyDescent="0.2">
      <c r="A160" s="292" t="s">
        <v>497</v>
      </c>
      <c r="B160" s="293" t="s">
        <v>5</v>
      </c>
      <c r="C160" s="293" t="s">
        <v>376</v>
      </c>
      <c r="D160" s="293" t="s">
        <v>1038</v>
      </c>
      <c r="E160" s="293" t="s">
        <v>1314</v>
      </c>
      <c r="F160" s="294">
        <v>215000</v>
      </c>
      <c r="G160" s="143" t="str">
        <f t="shared" si="2"/>
        <v>01130400000000</v>
      </c>
    </row>
    <row r="161" spans="1:7" ht="38.25" x14ac:dyDescent="0.2">
      <c r="A161" s="292" t="s">
        <v>1527</v>
      </c>
      <c r="B161" s="293" t="s">
        <v>5</v>
      </c>
      <c r="C161" s="293" t="s">
        <v>376</v>
      </c>
      <c r="D161" s="293" t="s">
        <v>1272</v>
      </c>
      <c r="E161" s="293" t="s">
        <v>1314</v>
      </c>
      <c r="F161" s="294">
        <v>215000</v>
      </c>
      <c r="G161" s="143" t="str">
        <f t="shared" si="2"/>
        <v>01130430000000</v>
      </c>
    </row>
    <row r="162" spans="1:7" ht="89.25" x14ac:dyDescent="0.2">
      <c r="A162" s="292" t="s">
        <v>2026</v>
      </c>
      <c r="B162" s="293" t="s">
        <v>5</v>
      </c>
      <c r="C162" s="293" t="s">
        <v>376</v>
      </c>
      <c r="D162" s="293" t="s">
        <v>2027</v>
      </c>
      <c r="E162" s="293" t="s">
        <v>1314</v>
      </c>
      <c r="F162" s="294">
        <v>215000</v>
      </c>
      <c r="G162" s="143" t="str">
        <f t="shared" si="2"/>
        <v>0113043008Ф000</v>
      </c>
    </row>
    <row r="163" spans="1:7" ht="14.25" customHeight="1" x14ac:dyDescent="0.2">
      <c r="A163" s="292" t="s">
        <v>1502</v>
      </c>
      <c r="B163" s="293" t="s">
        <v>5</v>
      </c>
      <c r="C163" s="293" t="s">
        <v>376</v>
      </c>
      <c r="D163" s="293" t="s">
        <v>2027</v>
      </c>
      <c r="E163" s="293" t="s">
        <v>1503</v>
      </c>
      <c r="F163" s="294">
        <v>215000</v>
      </c>
      <c r="G163" s="143" t="str">
        <f t="shared" si="2"/>
        <v>0113043008Ф000200</v>
      </c>
    </row>
    <row r="164" spans="1:7" ht="25.5" x14ac:dyDescent="0.2">
      <c r="A164" s="292" t="s">
        <v>1338</v>
      </c>
      <c r="B164" s="293" t="s">
        <v>5</v>
      </c>
      <c r="C164" s="293" t="s">
        <v>376</v>
      </c>
      <c r="D164" s="293" t="s">
        <v>2027</v>
      </c>
      <c r="E164" s="293" t="s">
        <v>1339</v>
      </c>
      <c r="F164" s="294">
        <v>215000</v>
      </c>
      <c r="G164" s="143" t="str">
        <f t="shared" si="2"/>
        <v>0113043008Ф000240</v>
      </c>
    </row>
    <row r="165" spans="1:7" x14ac:dyDescent="0.2">
      <c r="A165" s="292" t="s">
        <v>1379</v>
      </c>
      <c r="B165" s="293" t="s">
        <v>5</v>
      </c>
      <c r="C165" s="293" t="s">
        <v>376</v>
      </c>
      <c r="D165" s="293" t="s">
        <v>2027</v>
      </c>
      <c r="E165" s="293" t="s">
        <v>368</v>
      </c>
      <c r="F165" s="294">
        <v>215000</v>
      </c>
      <c r="G165" s="143" t="str">
        <f t="shared" si="2"/>
        <v>0113043008Ф000244</v>
      </c>
    </row>
    <row r="166" spans="1:7" ht="25.5" x14ac:dyDescent="0.2">
      <c r="A166" s="292" t="s">
        <v>646</v>
      </c>
      <c r="B166" s="293" t="s">
        <v>5</v>
      </c>
      <c r="C166" s="293" t="s">
        <v>376</v>
      </c>
      <c r="D166" s="293" t="s">
        <v>1067</v>
      </c>
      <c r="E166" s="293" t="s">
        <v>1314</v>
      </c>
      <c r="F166" s="294">
        <v>170000</v>
      </c>
      <c r="G166" s="143" t="str">
        <f t="shared" si="2"/>
        <v>01138000000000</v>
      </c>
    </row>
    <row r="167" spans="1:7" ht="38.25" x14ac:dyDescent="0.2">
      <c r="A167" s="292" t="s">
        <v>647</v>
      </c>
      <c r="B167" s="293" t="s">
        <v>5</v>
      </c>
      <c r="C167" s="293" t="s">
        <v>376</v>
      </c>
      <c r="D167" s="293" t="s">
        <v>1069</v>
      </c>
      <c r="E167" s="293" t="s">
        <v>1314</v>
      </c>
      <c r="F167" s="294">
        <v>170000</v>
      </c>
      <c r="G167" s="143" t="str">
        <f t="shared" si="2"/>
        <v>01138020000000</v>
      </c>
    </row>
    <row r="168" spans="1:7" ht="76.5" customHeight="1" x14ac:dyDescent="0.2">
      <c r="A168" s="292" t="s">
        <v>584</v>
      </c>
      <c r="B168" s="293" t="s">
        <v>5</v>
      </c>
      <c r="C168" s="293" t="s">
        <v>376</v>
      </c>
      <c r="D168" s="293" t="s">
        <v>710</v>
      </c>
      <c r="E168" s="293" t="s">
        <v>1314</v>
      </c>
      <c r="F168" s="294">
        <v>80900</v>
      </c>
      <c r="G168" s="143" t="str">
        <f t="shared" si="2"/>
        <v>01138020074290</v>
      </c>
    </row>
    <row r="169" spans="1:7" ht="51" x14ac:dyDescent="0.2">
      <c r="A169" s="292" t="s">
        <v>1501</v>
      </c>
      <c r="B169" s="293" t="s">
        <v>5</v>
      </c>
      <c r="C169" s="293" t="s">
        <v>376</v>
      </c>
      <c r="D169" s="293" t="s">
        <v>710</v>
      </c>
      <c r="E169" s="293" t="s">
        <v>290</v>
      </c>
      <c r="F169" s="294">
        <v>77720</v>
      </c>
      <c r="G169" s="143" t="str">
        <f t="shared" si="2"/>
        <v>01138020074290100</v>
      </c>
    </row>
    <row r="170" spans="1:7" ht="25.5" x14ac:dyDescent="0.2">
      <c r="A170" s="292" t="s">
        <v>1345</v>
      </c>
      <c r="B170" s="293" t="s">
        <v>5</v>
      </c>
      <c r="C170" s="293" t="s">
        <v>376</v>
      </c>
      <c r="D170" s="293" t="s">
        <v>710</v>
      </c>
      <c r="E170" s="293" t="s">
        <v>30</v>
      </c>
      <c r="F170" s="294">
        <v>77720</v>
      </c>
      <c r="G170" s="143" t="str">
        <f t="shared" si="2"/>
        <v>01138020074290120</v>
      </c>
    </row>
    <row r="171" spans="1:7" ht="25.5" x14ac:dyDescent="0.2">
      <c r="A171" s="292" t="s">
        <v>1010</v>
      </c>
      <c r="B171" s="293" t="s">
        <v>5</v>
      </c>
      <c r="C171" s="293" t="s">
        <v>376</v>
      </c>
      <c r="D171" s="293" t="s">
        <v>710</v>
      </c>
      <c r="E171" s="293" t="s">
        <v>363</v>
      </c>
      <c r="F171" s="294">
        <v>59689</v>
      </c>
      <c r="G171" s="143" t="str">
        <f t="shared" si="2"/>
        <v>01138020074290121</v>
      </c>
    </row>
    <row r="172" spans="1:7" ht="38.25" x14ac:dyDescent="0.2">
      <c r="A172" s="292" t="s">
        <v>1115</v>
      </c>
      <c r="B172" s="293" t="s">
        <v>5</v>
      </c>
      <c r="C172" s="293" t="s">
        <v>376</v>
      </c>
      <c r="D172" s="293" t="s">
        <v>710</v>
      </c>
      <c r="E172" s="293" t="s">
        <v>1116</v>
      </c>
      <c r="F172" s="294">
        <v>18031</v>
      </c>
      <c r="G172" s="143" t="str">
        <f t="shared" si="2"/>
        <v>01138020074290129</v>
      </c>
    </row>
    <row r="173" spans="1:7" ht="25.5" x14ac:dyDescent="0.2">
      <c r="A173" s="292" t="s">
        <v>1502</v>
      </c>
      <c r="B173" s="293" t="s">
        <v>5</v>
      </c>
      <c r="C173" s="293" t="s">
        <v>376</v>
      </c>
      <c r="D173" s="293" t="s">
        <v>710</v>
      </c>
      <c r="E173" s="293" t="s">
        <v>1503</v>
      </c>
      <c r="F173" s="294">
        <v>3180</v>
      </c>
      <c r="G173" s="143" t="str">
        <f t="shared" si="2"/>
        <v>01138020074290200</v>
      </c>
    </row>
    <row r="174" spans="1:7" ht="25.5" x14ac:dyDescent="0.2">
      <c r="A174" s="292" t="s">
        <v>1338</v>
      </c>
      <c r="B174" s="293" t="s">
        <v>5</v>
      </c>
      <c r="C174" s="293" t="s">
        <v>376</v>
      </c>
      <c r="D174" s="293" t="s">
        <v>710</v>
      </c>
      <c r="E174" s="293" t="s">
        <v>1339</v>
      </c>
      <c r="F174" s="294">
        <v>3180</v>
      </c>
      <c r="G174" s="143" t="str">
        <f t="shared" si="2"/>
        <v>01138020074290240</v>
      </c>
    </row>
    <row r="175" spans="1:7" x14ac:dyDescent="0.2">
      <c r="A175" s="292" t="s">
        <v>1379</v>
      </c>
      <c r="B175" s="293" t="s">
        <v>5</v>
      </c>
      <c r="C175" s="293" t="s">
        <v>376</v>
      </c>
      <c r="D175" s="293" t="s">
        <v>710</v>
      </c>
      <c r="E175" s="293" t="s">
        <v>368</v>
      </c>
      <c r="F175" s="294">
        <v>3180</v>
      </c>
      <c r="G175" s="143" t="str">
        <f t="shared" si="2"/>
        <v>01138020074290244</v>
      </c>
    </row>
    <row r="176" spans="1:7" ht="38.25" x14ac:dyDescent="0.2">
      <c r="A176" s="292" t="s">
        <v>377</v>
      </c>
      <c r="B176" s="293" t="s">
        <v>5</v>
      </c>
      <c r="C176" s="293" t="s">
        <v>376</v>
      </c>
      <c r="D176" s="293" t="s">
        <v>711</v>
      </c>
      <c r="E176" s="293" t="s">
        <v>1314</v>
      </c>
      <c r="F176" s="294">
        <v>89100</v>
      </c>
      <c r="G176" s="143" t="str">
        <f t="shared" si="2"/>
        <v>01138020075190</v>
      </c>
    </row>
    <row r="177" spans="1:7" ht="51" x14ac:dyDescent="0.2">
      <c r="A177" s="292" t="s">
        <v>1501</v>
      </c>
      <c r="B177" s="293" t="s">
        <v>5</v>
      </c>
      <c r="C177" s="293" t="s">
        <v>376</v>
      </c>
      <c r="D177" s="293" t="s">
        <v>711</v>
      </c>
      <c r="E177" s="293" t="s">
        <v>290</v>
      </c>
      <c r="F177" s="294">
        <v>74481</v>
      </c>
      <c r="G177" s="143" t="str">
        <f t="shared" si="2"/>
        <v>01138020075190100</v>
      </c>
    </row>
    <row r="178" spans="1:7" ht="25.5" x14ac:dyDescent="0.2">
      <c r="A178" s="292" t="s">
        <v>1345</v>
      </c>
      <c r="B178" s="293" t="s">
        <v>5</v>
      </c>
      <c r="C178" s="293" t="s">
        <v>376</v>
      </c>
      <c r="D178" s="293" t="s">
        <v>711</v>
      </c>
      <c r="E178" s="293" t="s">
        <v>30</v>
      </c>
      <c r="F178" s="294">
        <v>74481</v>
      </c>
      <c r="G178" s="143" t="str">
        <f t="shared" si="2"/>
        <v>01138020075190120</v>
      </c>
    </row>
    <row r="179" spans="1:7" ht="25.5" x14ac:dyDescent="0.2">
      <c r="A179" s="292" t="s">
        <v>1010</v>
      </c>
      <c r="B179" s="293" t="s">
        <v>5</v>
      </c>
      <c r="C179" s="293" t="s">
        <v>376</v>
      </c>
      <c r="D179" s="293" t="s">
        <v>711</v>
      </c>
      <c r="E179" s="293" t="s">
        <v>363</v>
      </c>
      <c r="F179" s="294">
        <v>57205</v>
      </c>
      <c r="G179" s="143" t="str">
        <f t="shared" si="2"/>
        <v>01138020075190121</v>
      </c>
    </row>
    <row r="180" spans="1:7" ht="38.25" x14ac:dyDescent="0.2">
      <c r="A180" s="292" t="s">
        <v>1115</v>
      </c>
      <c r="B180" s="293" t="s">
        <v>5</v>
      </c>
      <c r="C180" s="293" t="s">
        <v>376</v>
      </c>
      <c r="D180" s="293" t="s">
        <v>711</v>
      </c>
      <c r="E180" s="293" t="s">
        <v>1116</v>
      </c>
      <c r="F180" s="294">
        <v>17276</v>
      </c>
      <c r="G180" s="143" t="str">
        <f t="shared" si="2"/>
        <v>01138020075190129</v>
      </c>
    </row>
    <row r="181" spans="1:7" ht="25.5" x14ac:dyDescent="0.2">
      <c r="A181" s="292" t="s">
        <v>1502</v>
      </c>
      <c r="B181" s="293" t="s">
        <v>5</v>
      </c>
      <c r="C181" s="293" t="s">
        <v>376</v>
      </c>
      <c r="D181" s="293" t="s">
        <v>711</v>
      </c>
      <c r="E181" s="293" t="s">
        <v>1503</v>
      </c>
      <c r="F181" s="294">
        <v>14619</v>
      </c>
      <c r="G181" s="143" t="str">
        <f t="shared" si="2"/>
        <v>01138020075190200</v>
      </c>
    </row>
    <row r="182" spans="1:7" ht="25.5" x14ac:dyDescent="0.2">
      <c r="A182" s="292" t="s">
        <v>1338</v>
      </c>
      <c r="B182" s="293" t="s">
        <v>5</v>
      </c>
      <c r="C182" s="293" t="s">
        <v>376</v>
      </c>
      <c r="D182" s="293" t="s">
        <v>711</v>
      </c>
      <c r="E182" s="293" t="s">
        <v>1339</v>
      </c>
      <c r="F182" s="294">
        <v>14619</v>
      </c>
      <c r="G182" s="143" t="str">
        <f t="shared" si="2"/>
        <v>01138020075190240</v>
      </c>
    </row>
    <row r="183" spans="1:7" x14ac:dyDescent="0.2">
      <c r="A183" s="292" t="s">
        <v>1379</v>
      </c>
      <c r="B183" s="293" t="s">
        <v>5</v>
      </c>
      <c r="C183" s="293" t="s">
        <v>376</v>
      </c>
      <c r="D183" s="293" t="s">
        <v>711</v>
      </c>
      <c r="E183" s="293" t="s">
        <v>368</v>
      </c>
      <c r="F183" s="294">
        <v>14619</v>
      </c>
      <c r="G183" s="143" t="str">
        <f t="shared" si="2"/>
        <v>01138020075190244</v>
      </c>
    </row>
    <row r="184" spans="1:7" ht="25.5" x14ac:dyDescent="0.2">
      <c r="A184" s="292" t="s">
        <v>648</v>
      </c>
      <c r="B184" s="293" t="s">
        <v>5</v>
      </c>
      <c r="C184" s="293" t="s">
        <v>376</v>
      </c>
      <c r="D184" s="293" t="s">
        <v>1072</v>
      </c>
      <c r="E184" s="293" t="s">
        <v>1314</v>
      </c>
      <c r="F184" s="294">
        <v>60000</v>
      </c>
      <c r="G184" s="143" t="str">
        <f t="shared" si="2"/>
        <v>01139000000000</v>
      </c>
    </row>
    <row r="185" spans="1:7" ht="51" x14ac:dyDescent="0.2">
      <c r="A185" s="292" t="s">
        <v>542</v>
      </c>
      <c r="B185" s="293" t="s">
        <v>5</v>
      </c>
      <c r="C185" s="293" t="s">
        <v>376</v>
      </c>
      <c r="D185" s="293" t="s">
        <v>1075</v>
      </c>
      <c r="E185" s="293" t="s">
        <v>1314</v>
      </c>
      <c r="F185" s="294">
        <v>60000</v>
      </c>
      <c r="G185" s="143" t="str">
        <f t="shared" si="2"/>
        <v>01139060000000</v>
      </c>
    </row>
    <row r="186" spans="1:7" ht="81" customHeight="1" x14ac:dyDescent="0.2">
      <c r="A186" s="292" t="s">
        <v>542</v>
      </c>
      <c r="B186" s="293" t="s">
        <v>5</v>
      </c>
      <c r="C186" s="293" t="s">
        <v>376</v>
      </c>
      <c r="D186" s="293" t="s">
        <v>712</v>
      </c>
      <c r="E186" s="293" t="s">
        <v>1314</v>
      </c>
      <c r="F186" s="294">
        <v>60000</v>
      </c>
      <c r="G186" s="143" t="str">
        <f t="shared" si="2"/>
        <v>01139060080000</v>
      </c>
    </row>
    <row r="187" spans="1:7" x14ac:dyDescent="0.2">
      <c r="A187" s="292" t="s">
        <v>1506</v>
      </c>
      <c r="B187" s="293" t="s">
        <v>5</v>
      </c>
      <c r="C187" s="293" t="s">
        <v>376</v>
      </c>
      <c r="D187" s="293" t="s">
        <v>712</v>
      </c>
      <c r="E187" s="293" t="s">
        <v>1507</v>
      </c>
      <c r="F187" s="294">
        <v>60000</v>
      </c>
      <c r="G187" s="143" t="str">
        <f t="shared" si="2"/>
        <v>01139060080000300</v>
      </c>
    </row>
    <row r="188" spans="1:7" ht="25.5" x14ac:dyDescent="0.2">
      <c r="A188" s="292" t="s">
        <v>378</v>
      </c>
      <c r="B188" s="293" t="s">
        <v>5</v>
      </c>
      <c r="C188" s="293" t="s">
        <v>376</v>
      </c>
      <c r="D188" s="293" t="s">
        <v>712</v>
      </c>
      <c r="E188" s="293" t="s">
        <v>379</v>
      </c>
      <c r="F188" s="294">
        <v>60000</v>
      </c>
      <c r="G188" s="143" t="str">
        <f t="shared" si="2"/>
        <v>01139060080000330</v>
      </c>
    </row>
    <row r="189" spans="1:7" ht="25.5" x14ac:dyDescent="0.2">
      <c r="A189" s="292" t="s">
        <v>254</v>
      </c>
      <c r="B189" s="293" t="s">
        <v>5</v>
      </c>
      <c r="C189" s="293" t="s">
        <v>1215</v>
      </c>
      <c r="D189" s="293" t="s">
        <v>1314</v>
      </c>
      <c r="E189" s="293" t="s">
        <v>1314</v>
      </c>
      <c r="F189" s="294">
        <v>4573063</v>
      </c>
      <c r="G189" s="143" t="str">
        <f t="shared" si="2"/>
        <v>0300</v>
      </c>
    </row>
    <row r="190" spans="1:7" x14ac:dyDescent="0.2">
      <c r="A190" s="292" t="s">
        <v>2028</v>
      </c>
      <c r="B190" s="293" t="s">
        <v>5</v>
      </c>
      <c r="C190" s="293" t="s">
        <v>380</v>
      </c>
      <c r="D190" s="293" t="s">
        <v>1314</v>
      </c>
      <c r="E190" s="293" t="s">
        <v>1314</v>
      </c>
      <c r="F190" s="294">
        <v>4259557</v>
      </c>
      <c r="G190" s="143" t="str">
        <f t="shared" si="2"/>
        <v>0309</v>
      </c>
    </row>
    <row r="191" spans="1:7" ht="38.25" x14ac:dyDescent="0.2">
      <c r="A191" s="292" t="s">
        <v>497</v>
      </c>
      <c r="B191" s="293" t="s">
        <v>5</v>
      </c>
      <c r="C191" s="293" t="s">
        <v>380</v>
      </c>
      <c r="D191" s="293" t="s">
        <v>1038</v>
      </c>
      <c r="E191" s="293" t="s">
        <v>1314</v>
      </c>
      <c r="F191" s="294">
        <v>4259557</v>
      </c>
      <c r="G191" s="143" t="str">
        <f t="shared" si="2"/>
        <v>03090400000000</v>
      </c>
    </row>
    <row r="192" spans="1:7" ht="51" x14ac:dyDescent="0.2">
      <c r="A192" s="292" t="s">
        <v>498</v>
      </c>
      <c r="B192" s="293" t="s">
        <v>5</v>
      </c>
      <c r="C192" s="293" t="s">
        <v>380</v>
      </c>
      <c r="D192" s="293" t="s">
        <v>1039</v>
      </c>
      <c r="E192" s="293" t="s">
        <v>1314</v>
      </c>
      <c r="F192" s="294">
        <v>4259557</v>
      </c>
      <c r="G192" s="143" t="str">
        <f t="shared" si="2"/>
        <v>03090410000000</v>
      </c>
    </row>
    <row r="193" spans="1:7" ht="114.75" x14ac:dyDescent="0.2">
      <c r="A193" s="292" t="s">
        <v>381</v>
      </c>
      <c r="B193" s="293" t="s">
        <v>5</v>
      </c>
      <c r="C193" s="293" t="s">
        <v>380</v>
      </c>
      <c r="D193" s="293" t="s">
        <v>713</v>
      </c>
      <c r="E193" s="293" t="s">
        <v>1314</v>
      </c>
      <c r="F193" s="294">
        <v>3325199</v>
      </c>
      <c r="G193" s="143" t="str">
        <f t="shared" ref="G193:G247" si="3">CONCATENATE(C193,D193,E193)</f>
        <v>03090410040010</v>
      </c>
    </row>
    <row r="194" spans="1:7" ht="51" x14ac:dyDescent="0.2">
      <c r="A194" s="292" t="s">
        <v>1501</v>
      </c>
      <c r="B194" s="293" t="s">
        <v>5</v>
      </c>
      <c r="C194" s="293" t="s">
        <v>380</v>
      </c>
      <c r="D194" s="293" t="s">
        <v>713</v>
      </c>
      <c r="E194" s="293" t="s">
        <v>290</v>
      </c>
      <c r="F194" s="294">
        <v>3265199</v>
      </c>
      <c r="G194" s="143" t="str">
        <f t="shared" si="3"/>
        <v>03090410040010100</v>
      </c>
    </row>
    <row r="195" spans="1:7" x14ac:dyDescent="0.2">
      <c r="A195" s="292" t="s">
        <v>1331</v>
      </c>
      <c r="B195" s="293" t="s">
        <v>5</v>
      </c>
      <c r="C195" s="293" t="s">
        <v>380</v>
      </c>
      <c r="D195" s="293" t="s">
        <v>713</v>
      </c>
      <c r="E195" s="293" t="s">
        <v>140</v>
      </c>
      <c r="F195" s="294">
        <v>3265199</v>
      </c>
      <c r="G195" s="143" t="str">
        <f t="shared" si="3"/>
        <v>03090410040010110</v>
      </c>
    </row>
    <row r="196" spans="1:7" x14ac:dyDescent="0.2">
      <c r="A196" s="292" t="s">
        <v>1216</v>
      </c>
      <c r="B196" s="293" t="s">
        <v>5</v>
      </c>
      <c r="C196" s="293" t="s">
        <v>380</v>
      </c>
      <c r="D196" s="293" t="s">
        <v>713</v>
      </c>
      <c r="E196" s="293" t="s">
        <v>382</v>
      </c>
      <c r="F196" s="294">
        <v>2507833</v>
      </c>
      <c r="G196" s="143" t="str">
        <f t="shared" si="3"/>
        <v>03090410040010111</v>
      </c>
    </row>
    <row r="197" spans="1:7" ht="38.25" x14ac:dyDescent="0.2">
      <c r="A197" s="292" t="s">
        <v>1217</v>
      </c>
      <c r="B197" s="293" t="s">
        <v>5</v>
      </c>
      <c r="C197" s="293" t="s">
        <v>380</v>
      </c>
      <c r="D197" s="293" t="s">
        <v>713</v>
      </c>
      <c r="E197" s="293" t="s">
        <v>1117</v>
      </c>
      <c r="F197" s="294">
        <v>757366</v>
      </c>
      <c r="G197" s="143" t="str">
        <f t="shared" si="3"/>
        <v>03090410040010119</v>
      </c>
    </row>
    <row r="198" spans="1:7" ht="25.5" x14ac:dyDescent="0.2">
      <c r="A198" s="292" t="s">
        <v>1502</v>
      </c>
      <c r="B198" s="293" t="s">
        <v>5</v>
      </c>
      <c r="C198" s="293" t="s">
        <v>380</v>
      </c>
      <c r="D198" s="293" t="s">
        <v>713</v>
      </c>
      <c r="E198" s="293" t="s">
        <v>1503</v>
      </c>
      <c r="F198" s="294">
        <v>60000</v>
      </c>
      <c r="G198" s="143" t="str">
        <f t="shared" si="3"/>
        <v>03090410040010200</v>
      </c>
    </row>
    <row r="199" spans="1:7" ht="25.5" x14ac:dyDescent="0.2">
      <c r="A199" s="292" t="s">
        <v>1338</v>
      </c>
      <c r="B199" s="293" t="s">
        <v>5</v>
      </c>
      <c r="C199" s="293" t="s">
        <v>380</v>
      </c>
      <c r="D199" s="293" t="s">
        <v>713</v>
      </c>
      <c r="E199" s="293" t="s">
        <v>1339</v>
      </c>
      <c r="F199" s="294">
        <v>60000</v>
      </c>
      <c r="G199" s="143" t="str">
        <f t="shared" si="3"/>
        <v>03090410040010240</v>
      </c>
    </row>
    <row r="200" spans="1:7" x14ac:dyDescent="0.2">
      <c r="A200" s="292" t="s">
        <v>1379</v>
      </c>
      <c r="B200" s="293" t="s">
        <v>5</v>
      </c>
      <c r="C200" s="293" t="s">
        <v>380</v>
      </c>
      <c r="D200" s="293" t="s">
        <v>713</v>
      </c>
      <c r="E200" s="293" t="s">
        <v>368</v>
      </c>
      <c r="F200" s="294">
        <v>60000</v>
      </c>
      <c r="G200" s="143" t="str">
        <f t="shared" si="3"/>
        <v>03090410040010244</v>
      </c>
    </row>
    <row r="201" spans="1:7" ht="140.25" x14ac:dyDescent="0.2">
      <c r="A201" s="292" t="s">
        <v>674</v>
      </c>
      <c r="B201" s="293" t="s">
        <v>5</v>
      </c>
      <c r="C201" s="293" t="s">
        <v>380</v>
      </c>
      <c r="D201" s="293" t="s">
        <v>714</v>
      </c>
      <c r="E201" s="293" t="s">
        <v>1314</v>
      </c>
      <c r="F201" s="294">
        <v>542218</v>
      </c>
      <c r="G201" s="143" t="str">
        <f t="shared" si="3"/>
        <v>03090410041010</v>
      </c>
    </row>
    <row r="202" spans="1:7" ht="51" x14ac:dyDescent="0.2">
      <c r="A202" s="292" t="s">
        <v>1501</v>
      </c>
      <c r="B202" s="293" t="s">
        <v>5</v>
      </c>
      <c r="C202" s="293" t="s">
        <v>380</v>
      </c>
      <c r="D202" s="293" t="s">
        <v>714</v>
      </c>
      <c r="E202" s="293" t="s">
        <v>290</v>
      </c>
      <c r="F202" s="294">
        <v>542218</v>
      </c>
      <c r="G202" s="143" t="str">
        <f t="shared" si="3"/>
        <v>03090410041010100</v>
      </c>
    </row>
    <row r="203" spans="1:7" x14ac:dyDescent="0.2">
      <c r="A203" s="292" t="s">
        <v>1331</v>
      </c>
      <c r="B203" s="293" t="s">
        <v>5</v>
      </c>
      <c r="C203" s="293" t="s">
        <v>380</v>
      </c>
      <c r="D203" s="293" t="s">
        <v>714</v>
      </c>
      <c r="E203" s="293" t="s">
        <v>140</v>
      </c>
      <c r="F203" s="294">
        <v>542218</v>
      </c>
      <c r="G203" s="143" t="str">
        <f t="shared" si="3"/>
        <v>03090410041010110</v>
      </c>
    </row>
    <row r="204" spans="1:7" x14ac:dyDescent="0.2">
      <c r="A204" s="292" t="s">
        <v>1216</v>
      </c>
      <c r="B204" s="293" t="s">
        <v>5</v>
      </c>
      <c r="C204" s="293" t="s">
        <v>380</v>
      </c>
      <c r="D204" s="293" t="s">
        <v>714</v>
      </c>
      <c r="E204" s="293" t="s">
        <v>382</v>
      </c>
      <c r="F204" s="294">
        <v>416450</v>
      </c>
      <c r="G204" s="143" t="str">
        <f t="shared" si="3"/>
        <v>03090410041010111</v>
      </c>
    </row>
    <row r="205" spans="1:7" ht="38.25" x14ac:dyDescent="0.2">
      <c r="A205" s="292" t="s">
        <v>1217</v>
      </c>
      <c r="B205" s="293" t="s">
        <v>5</v>
      </c>
      <c r="C205" s="293" t="s">
        <v>380</v>
      </c>
      <c r="D205" s="293" t="s">
        <v>714</v>
      </c>
      <c r="E205" s="293" t="s">
        <v>1117</v>
      </c>
      <c r="F205" s="294">
        <v>125768</v>
      </c>
      <c r="G205" s="143" t="str">
        <f t="shared" si="3"/>
        <v>03090410041010119</v>
      </c>
    </row>
    <row r="206" spans="1:7" ht="127.5" x14ac:dyDescent="0.2">
      <c r="A206" s="292" t="s">
        <v>2029</v>
      </c>
      <c r="B206" s="293" t="s">
        <v>5</v>
      </c>
      <c r="C206" s="293" t="s">
        <v>380</v>
      </c>
      <c r="D206" s="293" t="s">
        <v>2030</v>
      </c>
      <c r="E206" s="293" t="s">
        <v>1314</v>
      </c>
      <c r="F206" s="294">
        <v>80000</v>
      </c>
      <c r="G206" s="143" t="str">
        <f t="shared" si="3"/>
        <v>0309041004Ф010</v>
      </c>
    </row>
    <row r="207" spans="1:7" ht="25.5" x14ac:dyDescent="0.2">
      <c r="A207" s="292" t="s">
        <v>1502</v>
      </c>
      <c r="B207" s="293" t="s">
        <v>5</v>
      </c>
      <c r="C207" s="293" t="s">
        <v>380</v>
      </c>
      <c r="D207" s="293" t="s">
        <v>2030</v>
      </c>
      <c r="E207" s="293" t="s">
        <v>1503</v>
      </c>
      <c r="F207" s="294">
        <v>80000</v>
      </c>
      <c r="G207" s="143" t="str">
        <f t="shared" si="3"/>
        <v>0309041004Ф010200</v>
      </c>
    </row>
    <row r="208" spans="1:7" ht="25.5" x14ac:dyDescent="0.2">
      <c r="A208" s="292" t="s">
        <v>1338</v>
      </c>
      <c r="B208" s="293" t="s">
        <v>5</v>
      </c>
      <c r="C208" s="293" t="s">
        <v>380</v>
      </c>
      <c r="D208" s="293" t="s">
        <v>2030</v>
      </c>
      <c r="E208" s="293" t="s">
        <v>1339</v>
      </c>
      <c r="F208" s="294">
        <v>80000</v>
      </c>
      <c r="G208" s="143" t="str">
        <f t="shared" si="3"/>
        <v>0309041004Ф010240</v>
      </c>
    </row>
    <row r="209" spans="1:7" x14ac:dyDescent="0.2">
      <c r="A209" s="292" t="s">
        <v>1379</v>
      </c>
      <c r="B209" s="293" t="s">
        <v>5</v>
      </c>
      <c r="C209" s="293" t="s">
        <v>380</v>
      </c>
      <c r="D209" s="293" t="s">
        <v>2030</v>
      </c>
      <c r="E209" s="293" t="s">
        <v>368</v>
      </c>
      <c r="F209" s="294">
        <v>80000</v>
      </c>
      <c r="G209" s="143" t="str">
        <f t="shared" si="3"/>
        <v>0309041004Ф010244</v>
      </c>
    </row>
    <row r="210" spans="1:7" ht="102" x14ac:dyDescent="0.2">
      <c r="A210" s="292" t="s">
        <v>391</v>
      </c>
      <c r="B210" s="293" t="s">
        <v>5</v>
      </c>
      <c r="C210" s="293" t="s">
        <v>380</v>
      </c>
      <c r="D210" s="293" t="s">
        <v>2031</v>
      </c>
      <c r="E210" s="293" t="s">
        <v>1314</v>
      </c>
      <c r="F210" s="294">
        <v>22000</v>
      </c>
      <c r="G210" s="143" t="str">
        <f t="shared" si="3"/>
        <v>03090410080000</v>
      </c>
    </row>
    <row r="211" spans="1:7" ht="25.5" x14ac:dyDescent="0.2">
      <c r="A211" s="292" t="s">
        <v>1502</v>
      </c>
      <c r="B211" s="293" t="s">
        <v>5</v>
      </c>
      <c r="C211" s="293" t="s">
        <v>380</v>
      </c>
      <c r="D211" s="293" t="s">
        <v>2031</v>
      </c>
      <c r="E211" s="293" t="s">
        <v>1503</v>
      </c>
      <c r="F211" s="303">
        <v>22000</v>
      </c>
      <c r="G211" s="143" t="str">
        <f t="shared" si="3"/>
        <v>03090410080000200</v>
      </c>
    </row>
    <row r="212" spans="1:7" ht="25.5" x14ac:dyDescent="0.2">
      <c r="A212" s="292" t="s">
        <v>1338</v>
      </c>
      <c r="B212" s="293" t="s">
        <v>5</v>
      </c>
      <c r="C212" s="293" t="s">
        <v>380</v>
      </c>
      <c r="D212" s="293" t="s">
        <v>2031</v>
      </c>
      <c r="E212" s="293" t="s">
        <v>1339</v>
      </c>
      <c r="F212" s="303">
        <v>22000</v>
      </c>
      <c r="G212" s="143" t="str">
        <f t="shared" si="3"/>
        <v>03090410080000240</v>
      </c>
    </row>
    <row r="213" spans="1:7" x14ac:dyDescent="0.2">
      <c r="A213" s="292" t="s">
        <v>1379</v>
      </c>
      <c r="B213" s="293" t="s">
        <v>5</v>
      </c>
      <c r="C213" s="293" t="s">
        <v>380</v>
      </c>
      <c r="D213" s="293" t="s">
        <v>2031</v>
      </c>
      <c r="E213" s="293" t="s">
        <v>368</v>
      </c>
      <c r="F213" s="303">
        <v>22000</v>
      </c>
      <c r="G213" s="143" t="str">
        <f t="shared" si="3"/>
        <v>03090410080000244</v>
      </c>
    </row>
    <row r="214" spans="1:7" ht="114.75" x14ac:dyDescent="0.2">
      <c r="A214" s="292" t="s">
        <v>1936</v>
      </c>
      <c r="B214" s="293" t="s">
        <v>5</v>
      </c>
      <c r="C214" s="293" t="s">
        <v>380</v>
      </c>
      <c r="D214" s="293" t="s">
        <v>1937</v>
      </c>
      <c r="E214" s="293" t="s">
        <v>1314</v>
      </c>
      <c r="F214" s="303">
        <v>150000</v>
      </c>
      <c r="G214" s="143" t="str">
        <f t="shared" si="3"/>
        <v>03090410080090</v>
      </c>
    </row>
    <row r="215" spans="1:7" ht="25.5" x14ac:dyDescent="0.2">
      <c r="A215" s="292" t="s">
        <v>1502</v>
      </c>
      <c r="B215" s="293" t="s">
        <v>5</v>
      </c>
      <c r="C215" s="293" t="s">
        <v>380</v>
      </c>
      <c r="D215" s="293" t="s">
        <v>1937</v>
      </c>
      <c r="E215" s="293" t="s">
        <v>1503</v>
      </c>
      <c r="F215" s="294">
        <v>150000</v>
      </c>
      <c r="G215" s="143" t="str">
        <f t="shared" si="3"/>
        <v>03090410080090200</v>
      </c>
    </row>
    <row r="216" spans="1:7" ht="25.5" x14ac:dyDescent="0.2">
      <c r="A216" s="292" t="s">
        <v>1338</v>
      </c>
      <c r="B216" s="293" t="s">
        <v>5</v>
      </c>
      <c r="C216" s="293" t="s">
        <v>380</v>
      </c>
      <c r="D216" s="293" t="s">
        <v>1937</v>
      </c>
      <c r="E216" s="293" t="s">
        <v>1339</v>
      </c>
      <c r="F216" s="294">
        <v>150000</v>
      </c>
      <c r="G216" s="143" t="str">
        <f t="shared" si="3"/>
        <v>03090410080090240</v>
      </c>
    </row>
    <row r="217" spans="1:7" x14ac:dyDescent="0.2">
      <c r="A217" s="292" t="s">
        <v>1379</v>
      </c>
      <c r="B217" s="293" t="s">
        <v>5</v>
      </c>
      <c r="C217" s="293" t="s">
        <v>380</v>
      </c>
      <c r="D217" s="293" t="s">
        <v>1937</v>
      </c>
      <c r="E217" s="293" t="s">
        <v>368</v>
      </c>
      <c r="F217" s="294">
        <v>150000</v>
      </c>
      <c r="G217" s="143" t="str">
        <f t="shared" si="3"/>
        <v>03090410080090244</v>
      </c>
    </row>
    <row r="218" spans="1:7" ht="127.5" x14ac:dyDescent="0.2">
      <c r="A218" s="292" t="s">
        <v>1745</v>
      </c>
      <c r="B218" s="293" t="s">
        <v>5</v>
      </c>
      <c r="C218" s="293" t="s">
        <v>380</v>
      </c>
      <c r="D218" s="293" t="s">
        <v>1528</v>
      </c>
      <c r="E218" s="293" t="s">
        <v>1314</v>
      </c>
      <c r="F218" s="294">
        <v>140140</v>
      </c>
      <c r="G218" s="143" t="str">
        <f t="shared" si="3"/>
        <v>030904100S4130</v>
      </c>
    </row>
    <row r="219" spans="1:7" ht="25.5" x14ac:dyDescent="0.2">
      <c r="A219" s="292" t="s">
        <v>1502</v>
      </c>
      <c r="B219" s="293" t="s">
        <v>5</v>
      </c>
      <c r="C219" s="293" t="s">
        <v>380</v>
      </c>
      <c r="D219" s="293" t="s">
        <v>1528</v>
      </c>
      <c r="E219" s="293" t="s">
        <v>1503</v>
      </c>
      <c r="F219" s="294">
        <v>140140</v>
      </c>
      <c r="G219" s="143" t="str">
        <f t="shared" si="3"/>
        <v>030904100S4130200</v>
      </c>
    </row>
    <row r="220" spans="1:7" ht="25.5" x14ac:dyDescent="0.2">
      <c r="A220" s="292" t="s">
        <v>1338</v>
      </c>
      <c r="B220" s="293" t="s">
        <v>5</v>
      </c>
      <c r="C220" s="293" t="s">
        <v>380</v>
      </c>
      <c r="D220" s="293" t="s">
        <v>1528</v>
      </c>
      <c r="E220" s="293" t="s">
        <v>1339</v>
      </c>
      <c r="F220" s="294">
        <v>140140</v>
      </c>
      <c r="G220" s="143" t="str">
        <f t="shared" si="3"/>
        <v>030904100S4130240</v>
      </c>
    </row>
    <row r="221" spans="1:7" x14ac:dyDescent="0.2">
      <c r="A221" s="292" t="s">
        <v>1379</v>
      </c>
      <c r="B221" s="293" t="s">
        <v>5</v>
      </c>
      <c r="C221" s="293" t="s">
        <v>380</v>
      </c>
      <c r="D221" s="293" t="s">
        <v>1528</v>
      </c>
      <c r="E221" s="293" t="s">
        <v>368</v>
      </c>
      <c r="F221" s="294">
        <v>140140</v>
      </c>
      <c r="G221" s="143" t="str">
        <f t="shared" si="3"/>
        <v>030904100S4130244</v>
      </c>
    </row>
    <row r="222" spans="1:7" ht="38.25" x14ac:dyDescent="0.2">
      <c r="A222" s="292" t="s">
        <v>2032</v>
      </c>
      <c r="B222" s="293" t="s">
        <v>5</v>
      </c>
      <c r="C222" s="293" t="s">
        <v>385</v>
      </c>
      <c r="D222" s="293" t="s">
        <v>1314</v>
      </c>
      <c r="E222" s="293" t="s">
        <v>1314</v>
      </c>
      <c r="F222" s="294">
        <v>313506</v>
      </c>
      <c r="G222" s="143" t="str">
        <f t="shared" si="3"/>
        <v>0310</v>
      </c>
    </row>
    <row r="223" spans="1:7" ht="38.25" x14ac:dyDescent="0.2">
      <c r="A223" s="292" t="s">
        <v>497</v>
      </c>
      <c r="B223" s="293" t="s">
        <v>5</v>
      </c>
      <c r="C223" s="293" t="s">
        <v>385</v>
      </c>
      <c r="D223" s="293" t="s">
        <v>1038</v>
      </c>
      <c r="E223" s="293" t="s">
        <v>1314</v>
      </c>
      <c r="F223" s="294">
        <v>313506</v>
      </c>
      <c r="G223" s="143" t="str">
        <f t="shared" si="3"/>
        <v>03100400000000</v>
      </c>
    </row>
    <row r="224" spans="1:7" ht="25.5" x14ac:dyDescent="0.2">
      <c r="A224" s="292" t="s">
        <v>500</v>
      </c>
      <c r="B224" s="293" t="s">
        <v>5</v>
      </c>
      <c r="C224" s="293" t="s">
        <v>385</v>
      </c>
      <c r="D224" s="293" t="s">
        <v>1040</v>
      </c>
      <c r="E224" s="293" t="s">
        <v>1314</v>
      </c>
      <c r="F224" s="294">
        <v>313506</v>
      </c>
      <c r="G224" s="143" t="str">
        <f t="shared" si="3"/>
        <v>03100420000000</v>
      </c>
    </row>
    <row r="225" spans="1:7" ht="89.25" x14ac:dyDescent="0.2">
      <c r="A225" s="292" t="s">
        <v>389</v>
      </c>
      <c r="B225" s="293" t="s">
        <v>5</v>
      </c>
      <c r="C225" s="293" t="s">
        <v>385</v>
      </c>
      <c r="D225" s="293" t="s">
        <v>718</v>
      </c>
      <c r="E225" s="293" t="s">
        <v>1314</v>
      </c>
      <c r="F225" s="294">
        <v>150000</v>
      </c>
      <c r="G225" s="143" t="str">
        <f t="shared" si="3"/>
        <v>03100420080020</v>
      </c>
    </row>
    <row r="226" spans="1:7" ht="25.5" x14ac:dyDescent="0.2">
      <c r="A226" s="292" t="s">
        <v>1502</v>
      </c>
      <c r="B226" s="293" t="s">
        <v>5</v>
      </c>
      <c r="C226" s="293" t="s">
        <v>385</v>
      </c>
      <c r="D226" s="293" t="s">
        <v>718</v>
      </c>
      <c r="E226" s="293" t="s">
        <v>1503</v>
      </c>
      <c r="F226" s="303">
        <v>150000</v>
      </c>
      <c r="G226" s="143" t="str">
        <f t="shared" si="3"/>
        <v>03100420080020200</v>
      </c>
    </row>
    <row r="227" spans="1:7" ht="25.5" x14ac:dyDescent="0.2">
      <c r="A227" s="292" t="s">
        <v>1338</v>
      </c>
      <c r="B227" s="293" t="s">
        <v>5</v>
      </c>
      <c r="C227" s="293" t="s">
        <v>385</v>
      </c>
      <c r="D227" s="293" t="s">
        <v>718</v>
      </c>
      <c r="E227" s="293" t="s">
        <v>1339</v>
      </c>
      <c r="F227" s="303">
        <v>150000</v>
      </c>
      <c r="G227" s="143" t="str">
        <f t="shared" si="3"/>
        <v>03100420080020240</v>
      </c>
    </row>
    <row r="228" spans="1:7" x14ac:dyDescent="0.2">
      <c r="A228" s="292" t="s">
        <v>1379</v>
      </c>
      <c r="B228" s="293" t="s">
        <v>5</v>
      </c>
      <c r="C228" s="293" t="s">
        <v>385</v>
      </c>
      <c r="D228" s="293" t="s">
        <v>718</v>
      </c>
      <c r="E228" s="293" t="s">
        <v>368</v>
      </c>
      <c r="F228" s="303">
        <v>150000</v>
      </c>
      <c r="G228" s="143" t="str">
        <f t="shared" si="3"/>
        <v>03100420080020244</v>
      </c>
    </row>
    <row r="229" spans="1:7" ht="89.25" x14ac:dyDescent="0.2">
      <c r="A229" s="292" t="s">
        <v>390</v>
      </c>
      <c r="B229" s="293" t="s">
        <v>5</v>
      </c>
      <c r="C229" s="293" t="s">
        <v>385</v>
      </c>
      <c r="D229" s="293" t="s">
        <v>719</v>
      </c>
      <c r="E229" s="293" t="s">
        <v>1314</v>
      </c>
      <c r="F229" s="303">
        <v>30500</v>
      </c>
      <c r="G229" s="143" t="str">
        <f t="shared" si="3"/>
        <v>03100420080030</v>
      </c>
    </row>
    <row r="230" spans="1:7" ht="25.5" x14ac:dyDescent="0.2">
      <c r="A230" s="292" t="s">
        <v>1502</v>
      </c>
      <c r="B230" s="293" t="s">
        <v>5</v>
      </c>
      <c r="C230" s="293" t="s">
        <v>385</v>
      </c>
      <c r="D230" s="293" t="s">
        <v>719</v>
      </c>
      <c r="E230" s="293" t="s">
        <v>1503</v>
      </c>
      <c r="F230" s="294">
        <v>30500</v>
      </c>
      <c r="G230" s="143" t="str">
        <f t="shared" si="3"/>
        <v>03100420080030200</v>
      </c>
    </row>
    <row r="231" spans="1:7" ht="25.5" x14ac:dyDescent="0.2">
      <c r="A231" s="292" t="s">
        <v>1338</v>
      </c>
      <c r="B231" s="293" t="s">
        <v>5</v>
      </c>
      <c r="C231" s="293" t="s">
        <v>385</v>
      </c>
      <c r="D231" s="293" t="s">
        <v>719</v>
      </c>
      <c r="E231" s="293" t="s">
        <v>1339</v>
      </c>
      <c r="F231" s="294">
        <v>30500</v>
      </c>
      <c r="G231" s="143" t="str">
        <f t="shared" si="3"/>
        <v>03100420080030240</v>
      </c>
    </row>
    <row r="232" spans="1:7" x14ac:dyDescent="0.2">
      <c r="A232" s="292" t="s">
        <v>1379</v>
      </c>
      <c r="B232" s="293" t="s">
        <v>5</v>
      </c>
      <c r="C232" s="293" t="s">
        <v>385</v>
      </c>
      <c r="D232" s="293" t="s">
        <v>719</v>
      </c>
      <c r="E232" s="293" t="s">
        <v>368</v>
      </c>
      <c r="F232" s="294">
        <v>30500</v>
      </c>
      <c r="G232" s="143" t="str">
        <f t="shared" si="3"/>
        <v>03100420080030244</v>
      </c>
    </row>
    <row r="233" spans="1:7" ht="102" x14ac:dyDescent="0.2">
      <c r="A233" s="292" t="s">
        <v>2033</v>
      </c>
      <c r="B233" s="293" t="s">
        <v>5</v>
      </c>
      <c r="C233" s="293" t="s">
        <v>385</v>
      </c>
      <c r="D233" s="293" t="s">
        <v>2034</v>
      </c>
      <c r="E233" s="293" t="s">
        <v>1314</v>
      </c>
      <c r="F233" s="294">
        <v>124000</v>
      </c>
      <c r="G233" s="143" t="str">
        <f t="shared" si="3"/>
        <v>0310042008Ф030</v>
      </c>
    </row>
    <row r="234" spans="1:7" ht="25.5" x14ac:dyDescent="0.2">
      <c r="A234" s="292" t="s">
        <v>1502</v>
      </c>
      <c r="B234" s="293" t="s">
        <v>5</v>
      </c>
      <c r="C234" s="293" t="s">
        <v>385</v>
      </c>
      <c r="D234" s="293" t="s">
        <v>2034</v>
      </c>
      <c r="E234" s="293" t="s">
        <v>1503</v>
      </c>
      <c r="F234" s="294">
        <v>124000</v>
      </c>
      <c r="G234" s="143" t="str">
        <f t="shared" si="3"/>
        <v>0310042008Ф030200</v>
      </c>
    </row>
    <row r="235" spans="1:7" ht="25.5" x14ac:dyDescent="0.2">
      <c r="A235" s="292" t="s">
        <v>1338</v>
      </c>
      <c r="B235" s="293" t="s">
        <v>5</v>
      </c>
      <c r="C235" s="293" t="s">
        <v>385</v>
      </c>
      <c r="D235" s="293" t="s">
        <v>2034</v>
      </c>
      <c r="E235" s="293" t="s">
        <v>1339</v>
      </c>
      <c r="F235" s="294">
        <v>124000</v>
      </c>
      <c r="G235" s="143" t="str">
        <f t="shared" si="3"/>
        <v>0310042008Ф030240</v>
      </c>
    </row>
    <row r="236" spans="1:7" x14ac:dyDescent="0.2">
      <c r="A236" s="292" t="s">
        <v>1379</v>
      </c>
      <c r="B236" s="293" t="s">
        <v>5</v>
      </c>
      <c r="C236" s="293" t="s">
        <v>385</v>
      </c>
      <c r="D236" s="293" t="s">
        <v>2034</v>
      </c>
      <c r="E236" s="293" t="s">
        <v>368</v>
      </c>
      <c r="F236" s="294">
        <v>124000</v>
      </c>
      <c r="G236" s="143" t="str">
        <f t="shared" si="3"/>
        <v>0310042008Ф030244</v>
      </c>
    </row>
    <row r="237" spans="1:7" ht="76.5" x14ac:dyDescent="0.2">
      <c r="A237" s="292" t="s">
        <v>1677</v>
      </c>
      <c r="B237" s="293" t="s">
        <v>5</v>
      </c>
      <c r="C237" s="293" t="s">
        <v>385</v>
      </c>
      <c r="D237" s="293" t="s">
        <v>1678</v>
      </c>
      <c r="E237" s="293" t="s">
        <v>1314</v>
      </c>
      <c r="F237" s="294">
        <v>9006</v>
      </c>
      <c r="G237" s="143" t="str">
        <f t="shared" si="3"/>
        <v>031004200S4121</v>
      </c>
    </row>
    <row r="238" spans="1:7" ht="25.5" x14ac:dyDescent="0.2">
      <c r="A238" s="292" t="s">
        <v>1502</v>
      </c>
      <c r="B238" s="293" t="s">
        <v>5</v>
      </c>
      <c r="C238" s="293" t="s">
        <v>385</v>
      </c>
      <c r="D238" s="293" t="s">
        <v>1678</v>
      </c>
      <c r="E238" s="293" t="s">
        <v>1503</v>
      </c>
      <c r="F238" s="294">
        <v>9006</v>
      </c>
      <c r="G238" s="143" t="str">
        <f t="shared" si="3"/>
        <v>031004200S4121200</v>
      </c>
    </row>
    <row r="239" spans="1:7" ht="25.5" x14ac:dyDescent="0.2">
      <c r="A239" s="292" t="s">
        <v>1338</v>
      </c>
      <c r="B239" s="293" t="s">
        <v>5</v>
      </c>
      <c r="C239" s="293" t="s">
        <v>385</v>
      </c>
      <c r="D239" s="293" t="s">
        <v>1678</v>
      </c>
      <c r="E239" s="293" t="s">
        <v>1339</v>
      </c>
      <c r="F239" s="294">
        <v>9006</v>
      </c>
      <c r="G239" s="143" t="str">
        <f t="shared" si="3"/>
        <v>031004200S4121240</v>
      </c>
    </row>
    <row r="240" spans="1:7" x14ac:dyDescent="0.2">
      <c r="A240" s="292" t="s">
        <v>1379</v>
      </c>
      <c r="B240" s="293" t="s">
        <v>5</v>
      </c>
      <c r="C240" s="293" t="s">
        <v>385</v>
      </c>
      <c r="D240" s="293" t="s">
        <v>1678</v>
      </c>
      <c r="E240" s="293" t="s">
        <v>368</v>
      </c>
      <c r="F240" s="294">
        <v>9006</v>
      </c>
      <c r="G240" s="143" t="str">
        <f t="shared" si="3"/>
        <v>031004200S4121244</v>
      </c>
    </row>
    <row r="241" spans="1:7" x14ac:dyDescent="0.2">
      <c r="A241" s="292" t="s">
        <v>190</v>
      </c>
      <c r="B241" s="293" t="s">
        <v>5</v>
      </c>
      <c r="C241" s="293" t="s">
        <v>1218</v>
      </c>
      <c r="D241" s="293" t="s">
        <v>1314</v>
      </c>
      <c r="E241" s="293" t="s">
        <v>1314</v>
      </c>
      <c r="F241" s="294">
        <v>69353520</v>
      </c>
      <c r="G241" s="143" t="str">
        <f t="shared" si="3"/>
        <v>0400</v>
      </c>
    </row>
    <row r="242" spans="1:7" x14ac:dyDescent="0.2">
      <c r="A242" s="292" t="s">
        <v>191</v>
      </c>
      <c r="B242" s="293" t="s">
        <v>5</v>
      </c>
      <c r="C242" s="293" t="s">
        <v>392</v>
      </c>
      <c r="D242" s="293" t="s">
        <v>1314</v>
      </c>
      <c r="E242" s="293" t="s">
        <v>1314</v>
      </c>
      <c r="F242" s="294">
        <v>1757900</v>
      </c>
      <c r="G242" s="143" t="str">
        <f t="shared" si="3"/>
        <v>0405</v>
      </c>
    </row>
    <row r="243" spans="1:7" ht="25.5" x14ac:dyDescent="0.2">
      <c r="A243" s="292" t="s">
        <v>534</v>
      </c>
      <c r="B243" s="293" t="s">
        <v>5</v>
      </c>
      <c r="C243" s="293" t="s">
        <v>392</v>
      </c>
      <c r="D243" s="293" t="s">
        <v>1063</v>
      </c>
      <c r="E243" s="293" t="s">
        <v>1314</v>
      </c>
      <c r="F243" s="294">
        <v>1757900</v>
      </c>
      <c r="G243" s="143" t="str">
        <f t="shared" si="3"/>
        <v>04051200000000</v>
      </c>
    </row>
    <row r="244" spans="1:7" x14ac:dyDescent="0.2">
      <c r="A244" s="292" t="s">
        <v>535</v>
      </c>
      <c r="B244" s="293" t="s">
        <v>5</v>
      </c>
      <c r="C244" s="293" t="s">
        <v>392</v>
      </c>
      <c r="D244" s="293" t="s">
        <v>1064</v>
      </c>
      <c r="E244" s="293" t="s">
        <v>1314</v>
      </c>
      <c r="F244" s="294">
        <v>18700</v>
      </c>
      <c r="G244" s="143" t="str">
        <f t="shared" si="3"/>
        <v>04051210000000</v>
      </c>
    </row>
    <row r="245" spans="1:7" ht="76.5" x14ac:dyDescent="0.2">
      <c r="A245" s="292" t="s">
        <v>1490</v>
      </c>
      <c r="B245" s="293" t="s">
        <v>5</v>
      </c>
      <c r="C245" s="293" t="s">
        <v>392</v>
      </c>
      <c r="D245" s="293" t="s">
        <v>1491</v>
      </c>
      <c r="E245" s="293" t="s">
        <v>1314</v>
      </c>
      <c r="F245" s="294">
        <v>8700</v>
      </c>
      <c r="G245" s="143" t="str">
        <f t="shared" si="3"/>
        <v>04051210024380</v>
      </c>
    </row>
    <row r="246" spans="1:7" x14ac:dyDescent="0.2">
      <c r="A246" s="292" t="s">
        <v>1504</v>
      </c>
      <c r="B246" s="293" t="s">
        <v>5</v>
      </c>
      <c r="C246" s="293" t="s">
        <v>392</v>
      </c>
      <c r="D246" s="293" t="s">
        <v>1491</v>
      </c>
      <c r="E246" s="293" t="s">
        <v>1505</v>
      </c>
      <c r="F246" s="294">
        <v>8700</v>
      </c>
      <c r="G246" s="143" t="str">
        <f t="shared" si="3"/>
        <v>04051210024380800</v>
      </c>
    </row>
    <row r="247" spans="1:7" ht="38.25" x14ac:dyDescent="0.2">
      <c r="A247" s="292" t="s">
        <v>1348</v>
      </c>
      <c r="B247" s="293" t="s">
        <v>5</v>
      </c>
      <c r="C247" s="293" t="s">
        <v>392</v>
      </c>
      <c r="D247" s="293" t="s">
        <v>1491</v>
      </c>
      <c r="E247" s="293" t="s">
        <v>394</v>
      </c>
      <c r="F247" s="294">
        <v>8700</v>
      </c>
      <c r="G247" s="143" t="str">
        <f t="shared" si="3"/>
        <v>04051210024380810</v>
      </c>
    </row>
    <row r="248" spans="1:7" ht="51" x14ac:dyDescent="0.2">
      <c r="A248" s="292" t="s">
        <v>1529</v>
      </c>
      <c r="B248" s="293" t="s">
        <v>5</v>
      </c>
      <c r="C248" s="293" t="s">
        <v>392</v>
      </c>
      <c r="D248" s="293" t="s">
        <v>1491</v>
      </c>
      <c r="E248" s="293" t="s">
        <v>1530</v>
      </c>
      <c r="F248" s="294">
        <v>8700</v>
      </c>
      <c r="G248" s="143" t="str">
        <f t="shared" ref="G248:G311" si="4">CONCATENATE(C248,D248,E248)</f>
        <v>04051210024380813</v>
      </c>
    </row>
    <row r="249" spans="1:7" ht="51" x14ac:dyDescent="0.2">
      <c r="A249" s="292" t="s">
        <v>2035</v>
      </c>
      <c r="B249" s="293" t="s">
        <v>5</v>
      </c>
      <c r="C249" s="293" t="s">
        <v>392</v>
      </c>
      <c r="D249" s="293" t="s">
        <v>2036</v>
      </c>
      <c r="E249" s="293" t="s">
        <v>1314</v>
      </c>
      <c r="F249" s="294">
        <v>10000</v>
      </c>
      <c r="G249" s="143" t="str">
        <f t="shared" si="4"/>
        <v>04051210080000</v>
      </c>
    </row>
    <row r="250" spans="1:7" ht="25.5" x14ac:dyDescent="0.2">
      <c r="A250" s="292" t="s">
        <v>1502</v>
      </c>
      <c r="B250" s="293" t="s">
        <v>5</v>
      </c>
      <c r="C250" s="293" t="s">
        <v>392</v>
      </c>
      <c r="D250" s="293" t="s">
        <v>2036</v>
      </c>
      <c r="E250" s="293" t="s">
        <v>1503</v>
      </c>
      <c r="F250" s="303">
        <v>10000</v>
      </c>
      <c r="G250" s="143" t="str">
        <f t="shared" si="4"/>
        <v>04051210080000200</v>
      </c>
    </row>
    <row r="251" spans="1:7" ht="25.5" x14ac:dyDescent="0.2">
      <c r="A251" s="292" t="s">
        <v>1338</v>
      </c>
      <c r="B251" s="293" t="s">
        <v>5</v>
      </c>
      <c r="C251" s="293" t="s">
        <v>392</v>
      </c>
      <c r="D251" s="293" t="s">
        <v>2036</v>
      </c>
      <c r="E251" s="293" t="s">
        <v>1339</v>
      </c>
      <c r="F251" s="303">
        <v>10000</v>
      </c>
      <c r="G251" s="143" t="str">
        <f t="shared" si="4"/>
        <v>04051210080000240</v>
      </c>
    </row>
    <row r="252" spans="1:7" x14ac:dyDescent="0.2">
      <c r="A252" s="292" t="s">
        <v>1379</v>
      </c>
      <c r="B252" s="293" t="s">
        <v>5</v>
      </c>
      <c r="C252" s="293" t="s">
        <v>392</v>
      </c>
      <c r="D252" s="293" t="s">
        <v>2036</v>
      </c>
      <c r="E252" s="293" t="s">
        <v>368</v>
      </c>
      <c r="F252" s="294">
        <v>10000</v>
      </c>
      <c r="G252" s="143" t="str">
        <f t="shared" si="4"/>
        <v>04051210080000244</v>
      </c>
    </row>
    <row r="253" spans="1:7" ht="25.5" x14ac:dyDescent="0.2">
      <c r="A253" s="292" t="s">
        <v>488</v>
      </c>
      <c r="B253" s="293" t="s">
        <v>5</v>
      </c>
      <c r="C253" s="293" t="s">
        <v>392</v>
      </c>
      <c r="D253" s="293" t="s">
        <v>1066</v>
      </c>
      <c r="E253" s="293" t="s">
        <v>1314</v>
      </c>
      <c r="F253" s="303">
        <v>1739200</v>
      </c>
      <c r="G253" s="143" t="str">
        <f t="shared" si="4"/>
        <v>04051230000000</v>
      </c>
    </row>
    <row r="254" spans="1:7" ht="76.5" x14ac:dyDescent="0.2">
      <c r="A254" s="292" t="s">
        <v>395</v>
      </c>
      <c r="B254" s="293" t="s">
        <v>5</v>
      </c>
      <c r="C254" s="293" t="s">
        <v>392</v>
      </c>
      <c r="D254" s="293" t="s">
        <v>726</v>
      </c>
      <c r="E254" s="293" t="s">
        <v>1314</v>
      </c>
      <c r="F254" s="303">
        <v>1739200</v>
      </c>
      <c r="G254" s="143" t="str">
        <f t="shared" si="4"/>
        <v>04051230075170</v>
      </c>
    </row>
    <row r="255" spans="1:7" ht="51" x14ac:dyDescent="0.2">
      <c r="A255" s="292" t="s">
        <v>1501</v>
      </c>
      <c r="B255" s="293" t="s">
        <v>5</v>
      </c>
      <c r="C255" s="293" t="s">
        <v>392</v>
      </c>
      <c r="D255" s="293" t="s">
        <v>726</v>
      </c>
      <c r="E255" s="293" t="s">
        <v>290</v>
      </c>
      <c r="F255" s="294">
        <v>1677100</v>
      </c>
      <c r="G255" s="143" t="str">
        <f t="shared" si="4"/>
        <v>04051230075170100</v>
      </c>
    </row>
    <row r="256" spans="1:7" ht="25.5" x14ac:dyDescent="0.2">
      <c r="A256" s="292" t="s">
        <v>1345</v>
      </c>
      <c r="B256" s="293" t="s">
        <v>5</v>
      </c>
      <c r="C256" s="293" t="s">
        <v>392</v>
      </c>
      <c r="D256" s="293" t="s">
        <v>726</v>
      </c>
      <c r="E256" s="293" t="s">
        <v>30</v>
      </c>
      <c r="F256" s="294">
        <v>1677100</v>
      </c>
      <c r="G256" s="143" t="str">
        <f t="shared" si="4"/>
        <v>04051230075170120</v>
      </c>
    </row>
    <row r="257" spans="1:7" ht="25.5" x14ac:dyDescent="0.2">
      <c r="A257" s="292" t="s">
        <v>1010</v>
      </c>
      <c r="B257" s="293" t="s">
        <v>5</v>
      </c>
      <c r="C257" s="293" t="s">
        <v>392</v>
      </c>
      <c r="D257" s="293" t="s">
        <v>726</v>
      </c>
      <c r="E257" s="293" t="s">
        <v>363</v>
      </c>
      <c r="F257" s="294">
        <v>1193785</v>
      </c>
      <c r="G257" s="143" t="str">
        <f t="shared" si="4"/>
        <v>04051230075170121</v>
      </c>
    </row>
    <row r="258" spans="1:7" ht="38.25" x14ac:dyDescent="0.2">
      <c r="A258" s="292" t="s">
        <v>364</v>
      </c>
      <c r="B258" s="293" t="s">
        <v>5</v>
      </c>
      <c r="C258" s="293" t="s">
        <v>392</v>
      </c>
      <c r="D258" s="293" t="s">
        <v>726</v>
      </c>
      <c r="E258" s="293" t="s">
        <v>365</v>
      </c>
      <c r="F258" s="294">
        <v>122800</v>
      </c>
      <c r="G258" s="143" t="str">
        <f t="shared" si="4"/>
        <v>04051230075170122</v>
      </c>
    </row>
    <row r="259" spans="1:7" ht="38.25" x14ac:dyDescent="0.2">
      <c r="A259" s="292" t="s">
        <v>1115</v>
      </c>
      <c r="B259" s="293" t="s">
        <v>5</v>
      </c>
      <c r="C259" s="293" t="s">
        <v>392</v>
      </c>
      <c r="D259" s="293" t="s">
        <v>726</v>
      </c>
      <c r="E259" s="293" t="s">
        <v>1116</v>
      </c>
      <c r="F259" s="294">
        <v>360515</v>
      </c>
      <c r="G259" s="143" t="str">
        <f t="shared" si="4"/>
        <v>04051230075170129</v>
      </c>
    </row>
    <row r="260" spans="1:7" ht="25.5" x14ac:dyDescent="0.2">
      <c r="A260" s="292" t="s">
        <v>1502</v>
      </c>
      <c r="B260" s="293" t="s">
        <v>5</v>
      </c>
      <c r="C260" s="293" t="s">
        <v>392</v>
      </c>
      <c r="D260" s="293" t="s">
        <v>726</v>
      </c>
      <c r="E260" s="293" t="s">
        <v>1503</v>
      </c>
      <c r="F260" s="294">
        <v>62100</v>
      </c>
      <c r="G260" s="143" t="str">
        <f t="shared" si="4"/>
        <v>04051230075170200</v>
      </c>
    </row>
    <row r="261" spans="1:7" ht="25.5" x14ac:dyDescent="0.2">
      <c r="A261" s="292" t="s">
        <v>1338</v>
      </c>
      <c r="B261" s="293" t="s">
        <v>5</v>
      </c>
      <c r="C261" s="293" t="s">
        <v>392</v>
      </c>
      <c r="D261" s="293" t="s">
        <v>726</v>
      </c>
      <c r="E261" s="293" t="s">
        <v>1339</v>
      </c>
      <c r="F261" s="294">
        <v>62100</v>
      </c>
      <c r="G261" s="143" t="str">
        <f t="shared" si="4"/>
        <v>04051230075170240</v>
      </c>
    </row>
    <row r="262" spans="1:7" x14ac:dyDescent="0.2">
      <c r="A262" s="292" t="s">
        <v>1379</v>
      </c>
      <c r="B262" s="293" t="s">
        <v>5</v>
      </c>
      <c r="C262" s="293" t="s">
        <v>392</v>
      </c>
      <c r="D262" s="293" t="s">
        <v>726</v>
      </c>
      <c r="E262" s="293" t="s">
        <v>368</v>
      </c>
      <c r="F262" s="294">
        <v>62100</v>
      </c>
      <c r="G262" s="143" t="str">
        <f t="shared" si="4"/>
        <v>04051230075170244</v>
      </c>
    </row>
    <row r="263" spans="1:7" x14ac:dyDescent="0.2">
      <c r="A263" s="292" t="s">
        <v>1963</v>
      </c>
      <c r="B263" s="293" t="s">
        <v>5</v>
      </c>
      <c r="C263" s="293" t="s">
        <v>1964</v>
      </c>
      <c r="D263" s="293" t="s">
        <v>1314</v>
      </c>
      <c r="E263" s="293" t="s">
        <v>1314</v>
      </c>
      <c r="F263" s="294">
        <v>2047000</v>
      </c>
      <c r="G263" s="143" t="str">
        <f t="shared" si="4"/>
        <v>0407</v>
      </c>
    </row>
    <row r="264" spans="1:7" ht="25.5" x14ac:dyDescent="0.2">
      <c r="A264" s="292" t="s">
        <v>646</v>
      </c>
      <c r="B264" s="293" t="s">
        <v>5</v>
      </c>
      <c r="C264" s="293" t="s">
        <v>1964</v>
      </c>
      <c r="D264" s="293" t="s">
        <v>1067</v>
      </c>
      <c r="E264" s="293" t="s">
        <v>1314</v>
      </c>
      <c r="F264" s="294">
        <v>2047000</v>
      </c>
      <c r="G264" s="143" t="str">
        <f t="shared" si="4"/>
        <v>04078000000000</v>
      </c>
    </row>
    <row r="265" spans="1:7" ht="38.25" x14ac:dyDescent="0.2">
      <c r="A265" s="292" t="s">
        <v>647</v>
      </c>
      <c r="B265" s="293" t="s">
        <v>5</v>
      </c>
      <c r="C265" s="293" t="s">
        <v>1964</v>
      </c>
      <c r="D265" s="293" t="s">
        <v>1069</v>
      </c>
      <c r="E265" s="293" t="s">
        <v>1314</v>
      </c>
      <c r="F265" s="294">
        <v>2047000</v>
      </c>
      <c r="G265" s="143" t="str">
        <f t="shared" si="4"/>
        <v>04078020000000</v>
      </c>
    </row>
    <row r="266" spans="1:7" ht="51" x14ac:dyDescent="0.2">
      <c r="A266" s="292" t="s">
        <v>1965</v>
      </c>
      <c r="B266" s="293" t="s">
        <v>5</v>
      </c>
      <c r="C266" s="293" t="s">
        <v>1964</v>
      </c>
      <c r="D266" s="293" t="s">
        <v>1966</v>
      </c>
      <c r="E266" s="293" t="s">
        <v>1314</v>
      </c>
      <c r="F266" s="294">
        <v>2047000</v>
      </c>
      <c r="G266" s="143" t="str">
        <f t="shared" si="4"/>
        <v>04078020074460</v>
      </c>
    </row>
    <row r="267" spans="1:7" ht="51" x14ac:dyDescent="0.2">
      <c r="A267" s="292" t="s">
        <v>1501</v>
      </c>
      <c r="B267" s="293" t="s">
        <v>5</v>
      </c>
      <c r="C267" s="293" t="s">
        <v>1964</v>
      </c>
      <c r="D267" s="293" t="s">
        <v>1966</v>
      </c>
      <c r="E267" s="293" t="s">
        <v>290</v>
      </c>
      <c r="F267" s="294">
        <v>1746954</v>
      </c>
      <c r="G267" s="143" t="str">
        <f t="shared" si="4"/>
        <v>04078020074460100</v>
      </c>
    </row>
    <row r="268" spans="1:7" ht="25.5" x14ac:dyDescent="0.2">
      <c r="A268" s="292" t="s">
        <v>1345</v>
      </c>
      <c r="B268" s="293" t="s">
        <v>5</v>
      </c>
      <c r="C268" s="293" t="s">
        <v>1964</v>
      </c>
      <c r="D268" s="293" t="s">
        <v>1966</v>
      </c>
      <c r="E268" s="293" t="s">
        <v>30</v>
      </c>
      <c r="F268" s="294">
        <v>1746954</v>
      </c>
      <c r="G268" s="143" t="str">
        <f t="shared" si="4"/>
        <v>04078020074460120</v>
      </c>
    </row>
    <row r="269" spans="1:7" ht="25.5" x14ac:dyDescent="0.2">
      <c r="A269" s="292" t="s">
        <v>1010</v>
      </c>
      <c r="B269" s="293" t="s">
        <v>5</v>
      </c>
      <c r="C269" s="293" t="s">
        <v>1964</v>
      </c>
      <c r="D269" s="293" t="s">
        <v>1966</v>
      </c>
      <c r="E269" s="293" t="s">
        <v>363</v>
      </c>
      <c r="F269" s="294">
        <v>1286447</v>
      </c>
      <c r="G269" s="143" t="str">
        <f t="shared" si="4"/>
        <v>04078020074460121</v>
      </c>
    </row>
    <row r="270" spans="1:7" ht="38.25" x14ac:dyDescent="0.2">
      <c r="A270" s="292" t="s">
        <v>364</v>
      </c>
      <c r="B270" s="293" t="s">
        <v>5</v>
      </c>
      <c r="C270" s="293" t="s">
        <v>1964</v>
      </c>
      <c r="D270" s="293" t="s">
        <v>1966</v>
      </c>
      <c r="E270" s="293" t="s">
        <v>365</v>
      </c>
      <c r="F270" s="303">
        <v>72000</v>
      </c>
      <c r="G270" s="143" t="str">
        <f t="shared" si="4"/>
        <v>04078020074460122</v>
      </c>
    </row>
    <row r="271" spans="1:7" ht="38.25" x14ac:dyDescent="0.2">
      <c r="A271" s="292" t="s">
        <v>1115</v>
      </c>
      <c r="B271" s="293" t="s">
        <v>5</v>
      </c>
      <c r="C271" s="293" t="s">
        <v>1964</v>
      </c>
      <c r="D271" s="293" t="s">
        <v>1966</v>
      </c>
      <c r="E271" s="293" t="s">
        <v>1116</v>
      </c>
      <c r="F271" s="303">
        <v>388507</v>
      </c>
      <c r="G271" s="143" t="str">
        <f t="shared" si="4"/>
        <v>04078020074460129</v>
      </c>
    </row>
    <row r="272" spans="1:7" ht="25.5" x14ac:dyDescent="0.2">
      <c r="A272" s="292" t="s">
        <v>1502</v>
      </c>
      <c r="B272" s="293" t="s">
        <v>5</v>
      </c>
      <c r="C272" s="293" t="s">
        <v>1964</v>
      </c>
      <c r="D272" s="293" t="s">
        <v>1966</v>
      </c>
      <c r="E272" s="293" t="s">
        <v>1503</v>
      </c>
      <c r="F272" s="303">
        <v>300046</v>
      </c>
      <c r="G272" s="143" t="str">
        <f t="shared" si="4"/>
        <v>04078020074460200</v>
      </c>
    </row>
    <row r="273" spans="1:7" ht="25.5" x14ac:dyDescent="0.2">
      <c r="A273" s="292" t="s">
        <v>1338</v>
      </c>
      <c r="B273" s="293" t="s">
        <v>5</v>
      </c>
      <c r="C273" s="293" t="s">
        <v>1964</v>
      </c>
      <c r="D273" s="293" t="s">
        <v>1966</v>
      </c>
      <c r="E273" s="293" t="s">
        <v>1339</v>
      </c>
      <c r="F273" s="303">
        <v>300046</v>
      </c>
      <c r="G273" s="143" t="str">
        <f t="shared" si="4"/>
        <v>04078020074460240</v>
      </c>
    </row>
    <row r="274" spans="1:7" x14ac:dyDescent="0.2">
      <c r="A274" s="292" t="s">
        <v>1379</v>
      </c>
      <c r="B274" s="293" t="s">
        <v>5</v>
      </c>
      <c r="C274" s="293" t="s">
        <v>1964</v>
      </c>
      <c r="D274" s="293" t="s">
        <v>1966</v>
      </c>
      <c r="E274" s="293" t="s">
        <v>368</v>
      </c>
      <c r="F274" s="294">
        <v>300046</v>
      </c>
      <c r="G274" s="143" t="str">
        <f t="shared" si="4"/>
        <v>04078020074460244</v>
      </c>
    </row>
    <row r="275" spans="1:7" x14ac:dyDescent="0.2">
      <c r="A275" s="292" t="s">
        <v>192</v>
      </c>
      <c r="B275" s="293" t="s">
        <v>5</v>
      </c>
      <c r="C275" s="293" t="s">
        <v>396</v>
      </c>
      <c r="D275" s="293" t="s">
        <v>1314</v>
      </c>
      <c r="E275" s="293" t="s">
        <v>1314</v>
      </c>
      <c r="F275" s="294">
        <v>64042200</v>
      </c>
      <c r="G275" s="143" t="str">
        <f t="shared" si="4"/>
        <v>0408</v>
      </c>
    </row>
    <row r="276" spans="1:7" ht="25.5" x14ac:dyDescent="0.2">
      <c r="A276" s="292" t="s">
        <v>524</v>
      </c>
      <c r="B276" s="293" t="s">
        <v>5</v>
      </c>
      <c r="C276" s="293" t="s">
        <v>396</v>
      </c>
      <c r="D276" s="293" t="s">
        <v>1054</v>
      </c>
      <c r="E276" s="293" t="s">
        <v>1314</v>
      </c>
      <c r="F276" s="294">
        <v>64042200</v>
      </c>
      <c r="G276" s="143" t="str">
        <f t="shared" si="4"/>
        <v>04080900000000</v>
      </c>
    </row>
    <row r="277" spans="1:7" ht="25.5" x14ac:dyDescent="0.2">
      <c r="A277" s="292" t="s">
        <v>527</v>
      </c>
      <c r="B277" s="293" t="s">
        <v>5</v>
      </c>
      <c r="C277" s="293" t="s">
        <v>396</v>
      </c>
      <c r="D277" s="293" t="s">
        <v>1056</v>
      </c>
      <c r="E277" s="293" t="s">
        <v>1314</v>
      </c>
      <c r="F277" s="294">
        <v>64042200</v>
      </c>
      <c r="G277" s="143" t="str">
        <f t="shared" si="4"/>
        <v>04080920000000</v>
      </c>
    </row>
    <row r="278" spans="1:7" ht="51" x14ac:dyDescent="0.2">
      <c r="A278" s="292" t="s">
        <v>882</v>
      </c>
      <c r="B278" s="293" t="s">
        <v>5</v>
      </c>
      <c r="C278" s="293" t="s">
        <v>396</v>
      </c>
      <c r="D278" s="293" t="s">
        <v>1008</v>
      </c>
      <c r="E278" s="293" t="s">
        <v>1314</v>
      </c>
      <c r="F278" s="294">
        <v>387000</v>
      </c>
      <c r="G278" s="143" t="str">
        <f t="shared" si="4"/>
        <v>040809200Л0000</v>
      </c>
    </row>
    <row r="279" spans="1:7" x14ac:dyDescent="0.2">
      <c r="A279" s="292" t="s">
        <v>1504</v>
      </c>
      <c r="B279" s="293" t="s">
        <v>5</v>
      </c>
      <c r="C279" s="293" t="s">
        <v>396</v>
      </c>
      <c r="D279" s="293" t="s">
        <v>1008</v>
      </c>
      <c r="E279" s="293" t="s">
        <v>1505</v>
      </c>
      <c r="F279" s="294">
        <v>387000</v>
      </c>
      <c r="G279" s="143" t="str">
        <f t="shared" si="4"/>
        <v>040809200Л0000800</v>
      </c>
    </row>
    <row r="280" spans="1:7" ht="38.25" x14ac:dyDescent="0.2">
      <c r="A280" s="292" t="s">
        <v>1348</v>
      </c>
      <c r="B280" s="293" t="s">
        <v>5</v>
      </c>
      <c r="C280" s="293" t="s">
        <v>396</v>
      </c>
      <c r="D280" s="293" t="s">
        <v>1008</v>
      </c>
      <c r="E280" s="293" t="s">
        <v>394</v>
      </c>
      <c r="F280" s="294">
        <v>387000</v>
      </c>
      <c r="G280" s="143" t="str">
        <f t="shared" si="4"/>
        <v>040809200Л0000810</v>
      </c>
    </row>
    <row r="281" spans="1:7" ht="51" x14ac:dyDescent="0.2">
      <c r="A281" s="292" t="s">
        <v>1381</v>
      </c>
      <c r="B281" s="293" t="s">
        <v>5</v>
      </c>
      <c r="C281" s="293" t="s">
        <v>396</v>
      </c>
      <c r="D281" s="293" t="s">
        <v>1008</v>
      </c>
      <c r="E281" s="293" t="s">
        <v>1382</v>
      </c>
      <c r="F281" s="303">
        <v>387000</v>
      </c>
      <c r="G281" s="143" t="str">
        <f t="shared" si="4"/>
        <v>040809200Л0000811</v>
      </c>
    </row>
    <row r="282" spans="1:7" ht="63.75" x14ac:dyDescent="0.2">
      <c r="A282" s="292" t="s">
        <v>397</v>
      </c>
      <c r="B282" s="293" t="s">
        <v>5</v>
      </c>
      <c r="C282" s="293" t="s">
        <v>396</v>
      </c>
      <c r="D282" s="293" t="s">
        <v>727</v>
      </c>
      <c r="E282" s="293" t="s">
        <v>1314</v>
      </c>
      <c r="F282" s="303">
        <v>63655200</v>
      </c>
      <c r="G282" s="143" t="str">
        <f t="shared" si="4"/>
        <v>040809200П0000</v>
      </c>
    </row>
    <row r="283" spans="1:7" x14ac:dyDescent="0.2">
      <c r="A283" s="292" t="s">
        <v>1504</v>
      </c>
      <c r="B283" s="293" t="s">
        <v>5</v>
      </c>
      <c r="C283" s="293" t="s">
        <v>396</v>
      </c>
      <c r="D283" s="293" t="s">
        <v>727</v>
      </c>
      <c r="E283" s="293" t="s">
        <v>1505</v>
      </c>
      <c r="F283" s="303">
        <v>63655200</v>
      </c>
      <c r="G283" s="143" t="str">
        <f t="shared" si="4"/>
        <v>040809200П0000800</v>
      </c>
    </row>
    <row r="284" spans="1:7" ht="38.25" x14ac:dyDescent="0.2">
      <c r="A284" s="292" t="s">
        <v>1348</v>
      </c>
      <c r="B284" s="293" t="s">
        <v>5</v>
      </c>
      <c r="C284" s="293" t="s">
        <v>396</v>
      </c>
      <c r="D284" s="293" t="s">
        <v>727</v>
      </c>
      <c r="E284" s="293" t="s">
        <v>394</v>
      </c>
      <c r="F284" s="303">
        <v>63655200</v>
      </c>
      <c r="G284" s="143" t="str">
        <f t="shared" si="4"/>
        <v>040809200П0000810</v>
      </c>
    </row>
    <row r="285" spans="1:7" ht="51" x14ac:dyDescent="0.2">
      <c r="A285" s="292" t="s">
        <v>1381</v>
      </c>
      <c r="B285" s="293" t="s">
        <v>5</v>
      </c>
      <c r="C285" s="293" t="s">
        <v>396</v>
      </c>
      <c r="D285" s="293" t="s">
        <v>727</v>
      </c>
      <c r="E285" s="293" t="s">
        <v>1382</v>
      </c>
      <c r="F285" s="294">
        <v>63655200</v>
      </c>
      <c r="G285" s="143" t="str">
        <f t="shared" si="4"/>
        <v>040809200П0000811</v>
      </c>
    </row>
    <row r="286" spans="1:7" x14ac:dyDescent="0.2">
      <c r="A286" s="292" t="s">
        <v>269</v>
      </c>
      <c r="B286" s="293" t="s">
        <v>5</v>
      </c>
      <c r="C286" s="293" t="s">
        <v>398</v>
      </c>
      <c r="D286" s="293" t="s">
        <v>1314</v>
      </c>
      <c r="E286" s="293" t="s">
        <v>1314</v>
      </c>
      <c r="F286" s="294">
        <v>150420</v>
      </c>
      <c r="G286" s="143" t="str">
        <f t="shared" si="4"/>
        <v>0409</v>
      </c>
    </row>
    <row r="287" spans="1:7" ht="25.5" x14ac:dyDescent="0.2">
      <c r="A287" s="292" t="s">
        <v>524</v>
      </c>
      <c r="B287" s="293" t="s">
        <v>5</v>
      </c>
      <c r="C287" s="293" t="s">
        <v>398</v>
      </c>
      <c r="D287" s="293" t="s">
        <v>1054</v>
      </c>
      <c r="E287" s="293" t="s">
        <v>1314</v>
      </c>
      <c r="F287" s="294">
        <v>150420</v>
      </c>
      <c r="G287" s="143" t="str">
        <f t="shared" si="4"/>
        <v>04090900000000</v>
      </c>
    </row>
    <row r="288" spans="1:7" x14ac:dyDescent="0.2">
      <c r="A288" s="292" t="s">
        <v>525</v>
      </c>
      <c r="B288" s="293" t="s">
        <v>5</v>
      </c>
      <c r="C288" s="293" t="s">
        <v>398</v>
      </c>
      <c r="D288" s="293" t="s">
        <v>1055</v>
      </c>
      <c r="E288" s="293" t="s">
        <v>1314</v>
      </c>
      <c r="F288" s="294">
        <v>150420</v>
      </c>
      <c r="G288" s="143" t="str">
        <f t="shared" si="4"/>
        <v>04090910000000</v>
      </c>
    </row>
    <row r="289" spans="1:7" ht="38.25" x14ac:dyDescent="0.2">
      <c r="A289" s="292" t="s">
        <v>399</v>
      </c>
      <c r="B289" s="293" t="s">
        <v>5</v>
      </c>
      <c r="C289" s="293" t="s">
        <v>398</v>
      </c>
      <c r="D289" s="293" t="s">
        <v>728</v>
      </c>
      <c r="E289" s="293" t="s">
        <v>1314</v>
      </c>
      <c r="F289" s="294">
        <v>37400</v>
      </c>
      <c r="G289" s="143" t="str">
        <f t="shared" si="4"/>
        <v>04090910080000</v>
      </c>
    </row>
    <row r="290" spans="1:7" ht="25.5" x14ac:dyDescent="0.2">
      <c r="A290" s="292" t="s">
        <v>1502</v>
      </c>
      <c r="B290" s="293" t="s">
        <v>5</v>
      </c>
      <c r="C290" s="293" t="s">
        <v>398</v>
      </c>
      <c r="D290" s="293" t="s">
        <v>728</v>
      </c>
      <c r="E290" s="293" t="s">
        <v>1503</v>
      </c>
      <c r="F290" s="294">
        <v>37400</v>
      </c>
      <c r="G290" s="143" t="str">
        <f t="shared" si="4"/>
        <v>04090910080000200</v>
      </c>
    </row>
    <row r="291" spans="1:7" ht="25.5" x14ac:dyDescent="0.2">
      <c r="A291" s="292" t="s">
        <v>1338</v>
      </c>
      <c r="B291" s="293" t="s">
        <v>5</v>
      </c>
      <c r="C291" s="293" t="s">
        <v>398</v>
      </c>
      <c r="D291" s="293" t="s">
        <v>728</v>
      </c>
      <c r="E291" s="293" t="s">
        <v>1339</v>
      </c>
      <c r="F291" s="294">
        <v>37400</v>
      </c>
      <c r="G291" s="143" t="str">
        <f t="shared" si="4"/>
        <v>04090910080000240</v>
      </c>
    </row>
    <row r="292" spans="1:7" x14ac:dyDescent="0.2">
      <c r="A292" s="292" t="s">
        <v>1379</v>
      </c>
      <c r="B292" s="293" t="s">
        <v>5</v>
      </c>
      <c r="C292" s="293" t="s">
        <v>398</v>
      </c>
      <c r="D292" s="293" t="s">
        <v>728</v>
      </c>
      <c r="E292" s="293" t="s">
        <v>368</v>
      </c>
      <c r="F292" s="294">
        <v>37400</v>
      </c>
      <c r="G292" s="143" t="str">
        <f t="shared" si="4"/>
        <v>04090910080000244</v>
      </c>
    </row>
    <row r="293" spans="1:7" ht="51" x14ac:dyDescent="0.2">
      <c r="A293" s="292" t="s">
        <v>1679</v>
      </c>
      <c r="B293" s="293" t="s">
        <v>5</v>
      </c>
      <c r="C293" s="293" t="s">
        <v>398</v>
      </c>
      <c r="D293" s="293" t="s">
        <v>1680</v>
      </c>
      <c r="E293" s="293" t="s">
        <v>1314</v>
      </c>
      <c r="F293" s="294">
        <v>113020</v>
      </c>
      <c r="G293" s="143" t="str">
        <f t="shared" si="4"/>
        <v>040909100S5081</v>
      </c>
    </row>
    <row r="294" spans="1:7" ht="25.5" x14ac:dyDescent="0.2">
      <c r="A294" s="292" t="s">
        <v>1502</v>
      </c>
      <c r="B294" s="293" t="s">
        <v>5</v>
      </c>
      <c r="C294" s="293" t="s">
        <v>398</v>
      </c>
      <c r="D294" s="293" t="s">
        <v>1680</v>
      </c>
      <c r="E294" s="293" t="s">
        <v>1503</v>
      </c>
      <c r="F294" s="294">
        <v>113020</v>
      </c>
      <c r="G294" s="143" t="str">
        <f t="shared" si="4"/>
        <v>040909100S5081200</v>
      </c>
    </row>
    <row r="295" spans="1:7" ht="25.5" x14ac:dyDescent="0.2">
      <c r="A295" s="292" t="s">
        <v>1338</v>
      </c>
      <c r="B295" s="293" t="s">
        <v>5</v>
      </c>
      <c r="C295" s="293" t="s">
        <v>398</v>
      </c>
      <c r="D295" s="293" t="s">
        <v>1680</v>
      </c>
      <c r="E295" s="293" t="s">
        <v>1339</v>
      </c>
      <c r="F295" s="294">
        <v>113020</v>
      </c>
      <c r="G295" s="143" t="str">
        <f t="shared" si="4"/>
        <v>040909100S5081240</v>
      </c>
    </row>
    <row r="296" spans="1:7" x14ac:dyDescent="0.2">
      <c r="A296" s="292" t="s">
        <v>1379</v>
      </c>
      <c r="B296" s="293" t="s">
        <v>5</v>
      </c>
      <c r="C296" s="293" t="s">
        <v>398</v>
      </c>
      <c r="D296" s="293" t="s">
        <v>1680</v>
      </c>
      <c r="E296" s="293" t="s">
        <v>368</v>
      </c>
      <c r="F296" s="294">
        <v>113020</v>
      </c>
      <c r="G296" s="143" t="str">
        <f t="shared" si="4"/>
        <v>040909100S5081244</v>
      </c>
    </row>
    <row r="297" spans="1:7" x14ac:dyDescent="0.2">
      <c r="A297" s="292" t="s">
        <v>152</v>
      </c>
      <c r="B297" s="293" t="s">
        <v>5</v>
      </c>
      <c r="C297" s="293" t="s">
        <v>400</v>
      </c>
      <c r="D297" s="293" t="s">
        <v>1314</v>
      </c>
      <c r="E297" s="293" t="s">
        <v>1314</v>
      </c>
      <c r="F297" s="294">
        <v>1356000</v>
      </c>
      <c r="G297" s="143" t="str">
        <f t="shared" si="4"/>
        <v>0412</v>
      </c>
    </row>
    <row r="298" spans="1:7" ht="38.25" x14ac:dyDescent="0.2">
      <c r="A298" s="292" t="s">
        <v>1406</v>
      </c>
      <c r="B298" s="293" t="s">
        <v>5</v>
      </c>
      <c r="C298" s="293" t="s">
        <v>400</v>
      </c>
      <c r="D298" s="293" t="s">
        <v>1052</v>
      </c>
      <c r="E298" s="293" t="s">
        <v>1314</v>
      </c>
      <c r="F298" s="294">
        <v>763000</v>
      </c>
      <c r="G298" s="143" t="str">
        <f t="shared" si="4"/>
        <v>04120800000000</v>
      </c>
    </row>
    <row r="299" spans="1:7" ht="25.5" x14ac:dyDescent="0.2">
      <c r="A299" s="292" t="s">
        <v>521</v>
      </c>
      <c r="B299" s="293" t="s">
        <v>5</v>
      </c>
      <c r="C299" s="293" t="s">
        <v>400</v>
      </c>
      <c r="D299" s="293" t="s">
        <v>1053</v>
      </c>
      <c r="E299" s="293" t="s">
        <v>1314</v>
      </c>
      <c r="F299" s="294">
        <v>760000</v>
      </c>
      <c r="G299" s="143" t="str">
        <f t="shared" si="4"/>
        <v>04120810000000</v>
      </c>
    </row>
    <row r="300" spans="1:7" ht="89.25" x14ac:dyDescent="0.2">
      <c r="A300" s="292" t="s">
        <v>1492</v>
      </c>
      <c r="B300" s="293" t="s">
        <v>5</v>
      </c>
      <c r="C300" s="293" t="s">
        <v>400</v>
      </c>
      <c r="D300" s="293" t="s">
        <v>729</v>
      </c>
      <c r="E300" s="293" t="s">
        <v>1314</v>
      </c>
      <c r="F300" s="294">
        <v>10000</v>
      </c>
      <c r="G300" s="143" t="str">
        <f t="shared" si="4"/>
        <v>04120810080020</v>
      </c>
    </row>
    <row r="301" spans="1:7" ht="25.5" x14ac:dyDescent="0.2">
      <c r="A301" s="292" t="s">
        <v>1502</v>
      </c>
      <c r="B301" s="293" t="s">
        <v>5</v>
      </c>
      <c r="C301" s="293" t="s">
        <v>400</v>
      </c>
      <c r="D301" s="293" t="s">
        <v>729</v>
      </c>
      <c r="E301" s="293" t="s">
        <v>1503</v>
      </c>
      <c r="F301" s="294">
        <v>10000</v>
      </c>
      <c r="G301" s="143" t="str">
        <f t="shared" si="4"/>
        <v>04120810080020200</v>
      </c>
    </row>
    <row r="302" spans="1:7" ht="25.5" x14ac:dyDescent="0.2">
      <c r="A302" s="292" t="s">
        <v>1338</v>
      </c>
      <c r="B302" s="293" t="s">
        <v>5</v>
      </c>
      <c r="C302" s="293" t="s">
        <v>400</v>
      </c>
      <c r="D302" s="293" t="s">
        <v>729</v>
      </c>
      <c r="E302" s="293" t="s">
        <v>1339</v>
      </c>
      <c r="F302" s="294">
        <v>10000</v>
      </c>
      <c r="G302" s="143" t="str">
        <f t="shared" si="4"/>
        <v>04120810080020240</v>
      </c>
    </row>
    <row r="303" spans="1:7" x14ac:dyDescent="0.2">
      <c r="A303" s="292" t="s">
        <v>1379</v>
      </c>
      <c r="B303" s="293" t="s">
        <v>5</v>
      </c>
      <c r="C303" s="293" t="s">
        <v>400</v>
      </c>
      <c r="D303" s="293" t="s">
        <v>729</v>
      </c>
      <c r="E303" s="293" t="s">
        <v>368</v>
      </c>
      <c r="F303" s="294">
        <v>10000</v>
      </c>
      <c r="G303" s="143" t="str">
        <f t="shared" si="4"/>
        <v>04120810080020244</v>
      </c>
    </row>
    <row r="304" spans="1:7" ht="102" x14ac:dyDescent="0.2">
      <c r="A304" s="292" t="s">
        <v>1746</v>
      </c>
      <c r="B304" s="293" t="s">
        <v>5</v>
      </c>
      <c r="C304" s="293" t="s">
        <v>400</v>
      </c>
      <c r="D304" s="293" t="s">
        <v>1531</v>
      </c>
      <c r="E304" s="293" t="s">
        <v>1314</v>
      </c>
      <c r="F304" s="294">
        <v>750000</v>
      </c>
      <c r="G304" s="143" t="str">
        <f t="shared" si="4"/>
        <v>041208100S6070</v>
      </c>
    </row>
    <row r="305" spans="1:7" x14ac:dyDescent="0.2">
      <c r="A305" s="292" t="s">
        <v>1504</v>
      </c>
      <c r="B305" s="293" t="s">
        <v>5</v>
      </c>
      <c r="C305" s="293" t="s">
        <v>400</v>
      </c>
      <c r="D305" s="293" t="s">
        <v>1531</v>
      </c>
      <c r="E305" s="293" t="s">
        <v>1505</v>
      </c>
      <c r="F305" s="294">
        <v>750000</v>
      </c>
      <c r="G305" s="143" t="str">
        <f t="shared" si="4"/>
        <v>041208100S6070800</v>
      </c>
    </row>
    <row r="306" spans="1:7" ht="38.25" x14ac:dyDescent="0.2">
      <c r="A306" s="292" t="s">
        <v>1348</v>
      </c>
      <c r="B306" s="293" t="s">
        <v>5</v>
      </c>
      <c r="C306" s="293" t="s">
        <v>400</v>
      </c>
      <c r="D306" s="293" t="s">
        <v>1531</v>
      </c>
      <c r="E306" s="293" t="s">
        <v>394</v>
      </c>
      <c r="F306" s="294">
        <v>750000</v>
      </c>
      <c r="G306" s="143" t="str">
        <f t="shared" si="4"/>
        <v>041208100S6070810</v>
      </c>
    </row>
    <row r="307" spans="1:7" ht="51" x14ac:dyDescent="0.2">
      <c r="A307" s="292" t="s">
        <v>1529</v>
      </c>
      <c r="B307" s="293" t="s">
        <v>5</v>
      </c>
      <c r="C307" s="293" t="s">
        <v>400</v>
      </c>
      <c r="D307" s="293" t="s">
        <v>1531</v>
      </c>
      <c r="E307" s="293" t="s">
        <v>1530</v>
      </c>
      <c r="F307" s="294">
        <v>750000</v>
      </c>
      <c r="G307" s="143" t="str">
        <f t="shared" si="4"/>
        <v>041208100S6070813</v>
      </c>
    </row>
    <row r="308" spans="1:7" ht="25.5" x14ac:dyDescent="0.2">
      <c r="A308" s="292" t="s">
        <v>488</v>
      </c>
      <c r="B308" s="293" t="s">
        <v>5</v>
      </c>
      <c r="C308" s="293" t="s">
        <v>400</v>
      </c>
      <c r="D308" s="293" t="s">
        <v>1493</v>
      </c>
      <c r="E308" s="293" t="s">
        <v>1314</v>
      </c>
      <c r="F308" s="294">
        <v>3000</v>
      </c>
      <c r="G308" s="143" t="str">
        <f t="shared" si="4"/>
        <v>04120820000000</v>
      </c>
    </row>
    <row r="309" spans="1:7" ht="89.25" x14ac:dyDescent="0.2">
      <c r="A309" s="292" t="s">
        <v>1494</v>
      </c>
      <c r="B309" s="293" t="s">
        <v>5</v>
      </c>
      <c r="C309" s="293" t="s">
        <v>400</v>
      </c>
      <c r="D309" s="293" t="s">
        <v>1495</v>
      </c>
      <c r="E309" s="293" t="s">
        <v>1314</v>
      </c>
      <c r="F309" s="294">
        <v>3000</v>
      </c>
      <c r="G309" s="143" t="str">
        <f t="shared" si="4"/>
        <v>04120820080030</v>
      </c>
    </row>
    <row r="310" spans="1:7" ht="25.5" x14ac:dyDescent="0.2">
      <c r="A310" s="292" t="s">
        <v>1502</v>
      </c>
      <c r="B310" s="293" t="s">
        <v>5</v>
      </c>
      <c r="C310" s="293" t="s">
        <v>400</v>
      </c>
      <c r="D310" s="293" t="s">
        <v>1495</v>
      </c>
      <c r="E310" s="293" t="s">
        <v>1503</v>
      </c>
      <c r="F310" s="294">
        <v>3000</v>
      </c>
      <c r="G310" s="143" t="str">
        <f t="shared" si="4"/>
        <v>04120820080030200</v>
      </c>
    </row>
    <row r="311" spans="1:7" ht="25.5" x14ac:dyDescent="0.2">
      <c r="A311" s="292" t="s">
        <v>1338</v>
      </c>
      <c r="B311" s="293" t="s">
        <v>5</v>
      </c>
      <c r="C311" s="293" t="s">
        <v>400</v>
      </c>
      <c r="D311" s="293" t="s">
        <v>1495</v>
      </c>
      <c r="E311" s="293" t="s">
        <v>1339</v>
      </c>
      <c r="F311" s="294">
        <v>3000</v>
      </c>
      <c r="G311" s="143" t="str">
        <f t="shared" si="4"/>
        <v>04120820080030240</v>
      </c>
    </row>
    <row r="312" spans="1:7" x14ac:dyDescent="0.2">
      <c r="A312" s="292" t="s">
        <v>1379</v>
      </c>
      <c r="B312" s="293" t="s">
        <v>5</v>
      </c>
      <c r="C312" s="293" t="s">
        <v>400</v>
      </c>
      <c r="D312" s="293" t="s">
        <v>1495</v>
      </c>
      <c r="E312" s="293" t="s">
        <v>368</v>
      </c>
      <c r="F312" s="294">
        <v>3000</v>
      </c>
      <c r="G312" s="143" t="str">
        <f t="shared" ref="G312:G370" si="5">CONCATENATE(C312,D312,E312)</f>
        <v>04120820080030244</v>
      </c>
    </row>
    <row r="313" spans="1:7" ht="25.5" x14ac:dyDescent="0.2">
      <c r="A313" s="292" t="s">
        <v>643</v>
      </c>
      <c r="B313" s="293" t="s">
        <v>5</v>
      </c>
      <c r="C313" s="293" t="s">
        <v>400</v>
      </c>
      <c r="D313" s="293" t="s">
        <v>1058</v>
      </c>
      <c r="E313" s="293" t="s">
        <v>1314</v>
      </c>
      <c r="F313" s="294">
        <v>500000</v>
      </c>
      <c r="G313" s="143" t="str">
        <f t="shared" si="5"/>
        <v>04121000000000</v>
      </c>
    </row>
    <row r="314" spans="1:7" ht="25.5" x14ac:dyDescent="0.2">
      <c r="A314" s="292" t="s">
        <v>1310</v>
      </c>
      <c r="B314" s="293" t="s">
        <v>5</v>
      </c>
      <c r="C314" s="293" t="s">
        <v>400</v>
      </c>
      <c r="D314" s="293" t="s">
        <v>1311</v>
      </c>
      <c r="E314" s="293" t="s">
        <v>1314</v>
      </c>
      <c r="F314" s="294">
        <v>500000</v>
      </c>
      <c r="G314" s="143" t="str">
        <f t="shared" si="5"/>
        <v>04121040000000</v>
      </c>
    </row>
    <row r="315" spans="1:7" ht="63.75" x14ac:dyDescent="0.2">
      <c r="A315" s="292" t="s">
        <v>1392</v>
      </c>
      <c r="B315" s="293" t="s">
        <v>5</v>
      </c>
      <c r="C315" s="293" t="s">
        <v>400</v>
      </c>
      <c r="D315" s="293" t="s">
        <v>1393</v>
      </c>
      <c r="E315" s="293" t="s">
        <v>1314</v>
      </c>
      <c r="F315" s="294">
        <v>500000</v>
      </c>
      <c r="G315" s="143" t="str">
        <f t="shared" si="5"/>
        <v>04121040080000</v>
      </c>
    </row>
    <row r="316" spans="1:7" ht="25.5" x14ac:dyDescent="0.2">
      <c r="A316" s="292" t="s">
        <v>1502</v>
      </c>
      <c r="B316" s="293" t="s">
        <v>5</v>
      </c>
      <c r="C316" s="293" t="s">
        <v>400</v>
      </c>
      <c r="D316" s="293" t="s">
        <v>1393</v>
      </c>
      <c r="E316" s="293" t="s">
        <v>1503</v>
      </c>
      <c r="F316" s="294">
        <v>500000</v>
      </c>
      <c r="G316" s="143" t="str">
        <f t="shared" si="5"/>
        <v>04121040080000200</v>
      </c>
    </row>
    <row r="317" spans="1:7" ht="25.5" x14ac:dyDescent="0.2">
      <c r="A317" s="292" t="s">
        <v>1338</v>
      </c>
      <c r="B317" s="293" t="s">
        <v>5</v>
      </c>
      <c r="C317" s="293" t="s">
        <v>400</v>
      </c>
      <c r="D317" s="293" t="s">
        <v>1393</v>
      </c>
      <c r="E317" s="293" t="s">
        <v>1339</v>
      </c>
      <c r="F317" s="294">
        <v>500000</v>
      </c>
      <c r="G317" s="143" t="str">
        <f t="shared" si="5"/>
        <v>04121040080000240</v>
      </c>
    </row>
    <row r="318" spans="1:7" x14ac:dyDescent="0.2">
      <c r="A318" s="292" t="s">
        <v>1379</v>
      </c>
      <c r="B318" s="293" t="s">
        <v>5</v>
      </c>
      <c r="C318" s="293" t="s">
        <v>400</v>
      </c>
      <c r="D318" s="293" t="s">
        <v>1393</v>
      </c>
      <c r="E318" s="293" t="s">
        <v>368</v>
      </c>
      <c r="F318" s="294">
        <v>500000</v>
      </c>
      <c r="G318" s="143" t="str">
        <f t="shared" si="5"/>
        <v>04121040080000244</v>
      </c>
    </row>
    <row r="319" spans="1:7" ht="25.5" x14ac:dyDescent="0.2">
      <c r="A319" s="292" t="s">
        <v>534</v>
      </c>
      <c r="B319" s="293" t="s">
        <v>5</v>
      </c>
      <c r="C319" s="293" t="s">
        <v>400</v>
      </c>
      <c r="D319" s="293" t="s">
        <v>1063</v>
      </c>
      <c r="E319" s="293" t="s">
        <v>1314</v>
      </c>
      <c r="F319" s="294">
        <v>93000</v>
      </c>
      <c r="G319" s="143" t="str">
        <f t="shared" si="5"/>
        <v>04121200000000</v>
      </c>
    </row>
    <row r="320" spans="1:7" x14ac:dyDescent="0.2">
      <c r="A320" s="292" t="s">
        <v>536</v>
      </c>
      <c r="B320" s="293" t="s">
        <v>5</v>
      </c>
      <c r="C320" s="293" t="s">
        <v>400</v>
      </c>
      <c r="D320" s="293" t="s">
        <v>1065</v>
      </c>
      <c r="E320" s="293" t="s">
        <v>1314</v>
      </c>
      <c r="F320" s="294">
        <v>93000</v>
      </c>
      <c r="G320" s="143" t="str">
        <f t="shared" si="5"/>
        <v>04121220000000</v>
      </c>
    </row>
    <row r="321" spans="1:7" ht="63.75" x14ac:dyDescent="0.2">
      <c r="A321" s="292" t="s">
        <v>1315</v>
      </c>
      <c r="B321" s="293" t="s">
        <v>5</v>
      </c>
      <c r="C321" s="293" t="s">
        <v>400</v>
      </c>
      <c r="D321" s="293" t="s">
        <v>1316</v>
      </c>
      <c r="E321" s="293" t="s">
        <v>1314</v>
      </c>
      <c r="F321" s="294">
        <v>93000</v>
      </c>
      <c r="G321" s="143" t="str">
        <f t="shared" si="5"/>
        <v>04121220080010</v>
      </c>
    </row>
    <row r="322" spans="1:7" ht="25.5" x14ac:dyDescent="0.2">
      <c r="A322" s="292" t="s">
        <v>1502</v>
      </c>
      <c r="B322" s="293" t="s">
        <v>5</v>
      </c>
      <c r="C322" s="293" t="s">
        <v>400</v>
      </c>
      <c r="D322" s="293" t="s">
        <v>1316</v>
      </c>
      <c r="E322" s="293" t="s">
        <v>1503</v>
      </c>
      <c r="F322" s="294">
        <v>93000</v>
      </c>
      <c r="G322" s="143" t="str">
        <f t="shared" si="5"/>
        <v>04121220080010200</v>
      </c>
    </row>
    <row r="323" spans="1:7" ht="25.5" x14ac:dyDescent="0.2">
      <c r="A323" s="292" t="s">
        <v>1338</v>
      </c>
      <c r="B323" s="293" t="s">
        <v>5</v>
      </c>
      <c r="C323" s="293" t="s">
        <v>400</v>
      </c>
      <c r="D323" s="293" t="s">
        <v>1316</v>
      </c>
      <c r="E323" s="293" t="s">
        <v>1339</v>
      </c>
      <c r="F323" s="294">
        <v>93000</v>
      </c>
      <c r="G323" s="143" t="str">
        <f t="shared" si="5"/>
        <v>04121220080010240</v>
      </c>
    </row>
    <row r="324" spans="1:7" x14ac:dyDescent="0.2">
      <c r="A324" s="292" t="s">
        <v>1379</v>
      </c>
      <c r="B324" s="293" t="s">
        <v>5</v>
      </c>
      <c r="C324" s="293" t="s">
        <v>400</v>
      </c>
      <c r="D324" s="293" t="s">
        <v>1316</v>
      </c>
      <c r="E324" s="293" t="s">
        <v>368</v>
      </c>
      <c r="F324" s="294">
        <v>93000</v>
      </c>
      <c r="G324" s="143" t="str">
        <f t="shared" si="5"/>
        <v>04121220080010244</v>
      </c>
    </row>
    <row r="325" spans="1:7" x14ac:dyDescent="0.2">
      <c r="A325" s="292" t="s">
        <v>255</v>
      </c>
      <c r="B325" s="293" t="s">
        <v>5</v>
      </c>
      <c r="C325" s="293" t="s">
        <v>1219</v>
      </c>
      <c r="D325" s="293" t="s">
        <v>1314</v>
      </c>
      <c r="E325" s="293" t="s">
        <v>1314</v>
      </c>
      <c r="F325" s="294">
        <v>214759360</v>
      </c>
      <c r="G325" s="143" t="str">
        <f t="shared" si="5"/>
        <v>0500</v>
      </c>
    </row>
    <row r="326" spans="1:7" x14ac:dyDescent="0.2">
      <c r="A326" s="292" t="s">
        <v>153</v>
      </c>
      <c r="B326" s="293" t="s">
        <v>5</v>
      </c>
      <c r="C326" s="293" t="s">
        <v>404</v>
      </c>
      <c r="D326" s="293" t="s">
        <v>1314</v>
      </c>
      <c r="E326" s="293" t="s">
        <v>1314</v>
      </c>
      <c r="F326" s="294">
        <v>212890320</v>
      </c>
      <c r="G326" s="143" t="str">
        <f t="shared" si="5"/>
        <v>0502</v>
      </c>
    </row>
    <row r="327" spans="1:7" ht="38.25" x14ac:dyDescent="0.2">
      <c r="A327" s="292" t="s">
        <v>493</v>
      </c>
      <c r="B327" s="293" t="s">
        <v>5</v>
      </c>
      <c r="C327" s="293" t="s">
        <v>404</v>
      </c>
      <c r="D327" s="293" t="s">
        <v>1034</v>
      </c>
      <c r="E327" s="293" t="s">
        <v>1314</v>
      </c>
      <c r="F327" s="294">
        <v>212852420</v>
      </c>
      <c r="G327" s="143" t="str">
        <f t="shared" si="5"/>
        <v>05020300000000</v>
      </c>
    </row>
    <row r="328" spans="1:7" ht="38.25" x14ac:dyDescent="0.2">
      <c r="A328" s="292" t="s">
        <v>638</v>
      </c>
      <c r="B328" s="293" t="s">
        <v>5</v>
      </c>
      <c r="C328" s="293" t="s">
        <v>404</v>
      </c>
      <c r="D328" s="293" t="s">
        <v>1035</v>
      </c>
      <c r="E328" s="293" t="s">
        <v>1314</v>
      </c>
      <c r="F328" s="294">
        <v>212852420</v>
      </c>
      <c r="G328" s="143" t="str">
        <f t="shared" si="5"/>
        <v>05020320000000</v>
      </c>
    </row>
    <row r="329" spans="1:7" ht="102" x14ac:dyDescent="0.2">
      <c r="A329" s="292" t="s">
        <v>1270</v>
      </c>
      <c r="B329" s="293" t="s">
        <v>5</v>
      </c>
      <c r="C329" s="293" t="s">
        <v>404</v>
      </c>
      <c r="D329" s="293" t="s">
        <v>736</v>
      </c>
      <c r="E329" s="293" t="s">
        <v>1314</v>
      </c>
      <c r="F329" s="294">
        <v>195751920</v>
      </c>
      <c r="G329" s="143" t="str">
        <f t="shared" si="5"/>
        <v>05020320075700</v>
      </c>
    </row>
    <row r="330" spans="1:7" x14ac:dyDescent="0.2">
      <c r="A330" s="292" t="s">
        <v>1504</v>
      </c>
      <c r="B330" s="293" t="s">
        <v>5</v>
      </c>
      <c r="C330" s="293" t="s">
        <v>404</v>
      </c>
      <c r="D330" s="293" t="s">
        <v>736</v>
      </c>
      <c r="E330" s="293" t="s">
        <v>1505</v>
      </c>
      <c r="F330" s="294">
        <v>195751920</v>
      </c>
      <c r="G330" s="143" t="str">
        <f t="shared" si="5"/>
        <v>05020320075700800</v>
      </c>
    </row>
    <row r="331" spans="1:7" ht="38.25" x14ac:dyDescent="0.2">
      <c r="A331" s="292" t="s">
        <v>1348</v>
      </c>
      <c r="B331" s="293" t="s">
        <v>5</v>
      </c>
      <c r="C331" s="293" t="s">
        <v>404</v>
      </c>
      <c r="D331" s="293" t="s">
        <v>736</v>
      </c>
      <c r="E331" s="293" t="s">
        <v>394</v>
      </c>
      <c r="F331" s="294">
        <v>195751920</v>
      </c>
      <c r="G331" s="143" t="str">
        <f t="shared" si="5"/>
        <v>05020320075700810</v>
      </c>
    </row>
    <row r="332" spans="1:7" ht="51" x14ac:dyDescent="0.2">
      <c r="A332" s="292" t="s">
        <v>1381</v>
      </c>
      <c r="B332" s="293" t="s">
        <v>5</v>
      </c>
      <c r="C332" s="293" t="s">
        <v>404</v>
      </c>
      <c r="D332" s="293" t="s">
        <v>736</v>
      </c>
      <c r="E332" s="293" t="s">
        <v>1382</v>
      </c>
      <c r="F332" s="294">
        <v>195751920</v>
      </c>
      <c r="G332" s="143" t="str">
        <f t="shared" si="5"/>
        <v>05020320075700811</v>
      </c>
    </row>
    <row r="333" spans="1:7" ht="127.5" x14ac:dyDescent="0.2">
      <c r="A333" s="292" t="s">
        <v>1532</v>
      </c>
      <c r="B333" s="293" t="s">
        <v>5</v>
      </c>
      <c r="C333" s="293" t="s">
        <v>404</v>
      </c>
      <c r="D333" s="293" t="s">
        <v>735</v>
      </c>
      <c r="E333" s="293" t="s">
        <v>1314</v>
      </c>
      <c r="F333" s="294">
        <v>17100500</v>
      </c>
      <c r="G333" s="143" t="str">
        <f t="shared" si="5"/>
        <v>05020320075770</v>
      </c>
    </row>
    <row r="334" spans="1:7" x14ac:dyDescent="0.2">
      <c r="A334" s="292" t="s">
        <v>1504</v>
      </c>
      <c r="B334" s="293" t="s">
        <v>5</v>
      </c>
      <c r="C334" s="293" t="s">
        <v>404</v>
      </c>
      <c r="D334" s="293" t="s">
        <v>735</v>
      </c>
      <c r="E334" s="293" t="s">
        <v>1505</v>
      </c>
      <c r="F334" s="294">
        <v>17100500</v>
      </c>
      <c r="G334" s="143" t="str">
        <f t="shared" si="5"/>
        <v>05020320075770800</v>
      </c>
    </row>
    <row r="335" spans="1:7" ht="38.25" x14ac:dyDescent="0.2">
      <c r="A335" s="292" t="s">
        <v>1348</v>
      </c>
      <c r="B335" s="293" t="s">
        <v>5</v>
      </c>
      <c r="C335" s="293" t="s">
        <v>404</v>
      </c>
      <c r="D335" s="293" t="s">
        <v>735</v>
      </c>
      <c r="E335" s="293" t="s">
        <v>394</v>
      </c>
      <c r="F335" s="294">
        <v>17100500</v>
      </c>
      <c r="G335" s="143" t="str">
        <f t="shared" si="5"/>
        <v>05020320075770810</v>
      </c>
    </row>
    <row r="336" spans="1:7" ht="51" x14ac:dyDescent="0.2">
      <c r="A336" s="292" t="s">
        <v>1381</v>
      </c>
      <c r="B336" s="293" t="s">
        <v>5</v>
      </c>
      <c r="C336" s="293" t="s">
        <v>404</v>
      </c>
      <c r="D336" s="293" t="s">
        <v>735</v>
      </c>
      <c r="E336" s="293" t="s">
        <v>1382</v>
      </c>
      <c r="F336" s="294">
        <v>17100500</v>
      </c>
      <c r="G336" s="143" t="str">
        <f t="shared" si="5"/>
        <v>05020320075770811</v>
      </c>
    </row>
    <row r="337" spans="1:7" ht="25.5" x14ac:dyDescent="0.2">
      <c r="A337" s="292" t="s">
        <v>648</v>
      </c>
      <c r="B337" s="293" t="s">
        <v>5</v>
      </c>
      <c r="C337" s="293" t="s">
        <v>404</v>
      </c>
      <c r="D337" s="293" t="s">
        <v>1072</v>
      </c>
      <c r="E337" s="293" t="s">
        <v>1314</v>
      </c>
      <c r="F337" s="294">
        <v>37900</v>
      </c>
      <c r="G337" s="143" t="str">
        <f t="shared" si="5"/>
        <v>05029000000000</v>
      </c>
    </row>
    <row r="338" spans="1:7" ht="25.5" x14ac:dyDescent="0.2">
      <c r="A338" s="292" t="s">
        <v>471</v>
      </c>
      <c r="B338" s="293" t="s">
        <v>5</v>
      </c>
      <c r="C338" s="293" t="s">
        <v>404</v>
      </c>
      <c r="D338" s="293" t="s">
        <v>1076</v>
      </c>
      <c r="E338" s="293" t="s">
        <v>1314</v>
      </c>
      <c r="F338" s="294">
        <v>37900</v>
      </c>
      <c r="G338" s="143" t="str">
        <f t="shared" si="5"/>
        <v>05029090000000</v>
      </c>
    </row>
    <row r="339" spans="1:7" ht="51" x14ac:dyDescent="0.2">
      <c r="A339" s="292" t="s">
        <v>737</v>
      </c>
      <c r="B339" s="293" t="s">
        <v>5</v>
      </c>
      <c r="C339" s="293" t="s">
        <v>404</v>
      </c>
      <c r="D339" s="293" t="s">
        <v>738</v>
      </c>
      <c r="E339" s="293" t="s">
        <v>1314</v>
      </c>
      <c r="F339" s="294">
        <v>37900</v>
      </c>
      <c r="G339" s="143" t="str">
        <f t="shared" si="5"/>
        <v>050290900Ш0000</v>
      </c>
    </row>
    <row r="340" spans="1:7" ht="25.5" x14ac:dyDescent="0.2">
      <c r="A340" s="292" t="s">
        <v>1502</v>
      </c>
      <c r="B340" s="293" t="s">
        <v>5</v>
      </c>
      <c r="C340" s="293" t="s">
        <v>404</v>
      </c>
      <c r="D340" s="293" t="s">
        <v>738</v>
      </c>
      <c r="E340" s="293" t="s">
        <v>1503</v>
      </c>
      <c r="F340" s="294">
        <v>37900</v>
      </c>
      <c r="G340" s="143" t="str">
        <f t="shared" si="5"/>
        <v>050290900Ш0000200</v>
      </c>
    </row>
    <row r="341" spans="1:7" ht="25.5" x14ac:dyDescent="0.2">
      <c r="A341" s="292" t="s">
        <v>1338</v>
      </c>
      <c r="B341" s="293" t="s">
        <v>5</v>
      </c>
      <c r="C341" s="293" t="s">
        <v>404</v>
      </c>
      <c r="D341" s="293" t="s">
        <v>738</v>
      </c>
      <c r="E341" s="293" t="s">
        <v>1339</v>
      </c>
      <c r="F341" s="294">
        <v>37900</v>
      </c>
      <c r="G341" s="143" t="str">
        <f t="shared" si="5"/>
        <v>050290900Ш0000240</v>
      </c>
    </row>
    <row r="342" spans="1:7" x14ac:dyDescent="0.2">
      <c r="A342" s="292" t="s">
        <v>1379</v>
      </c>
      <c r="B342" s="293" t="s">
        <v>5</v>
      </c>
      <c r="C342" s="293" t="s">
        <v>404</v>
      </c>
      <c r="D342" s="293" t="s">
        <v>738</v>
      </c>
      <c r="E342" s="293" t="s">
        <v>368</v>
      </c>
      <c r="F342" s="294">
        <v>37900</v>
      </c>
      <c r="G342" s="143" t="str">
        <f t="shared" si="5"/>
        <v>050290900Ш0000244</v>
      </c>
    </row>
    <row r="343" spans="1:7" x14ac:dyDescent="0.2">
      <c r="A343" s="292" t="s">
        <v>39</v>
      </c>
      <c r="B343" s="293" t="s">
        <v>5</v>
      </c>
      <c r="C343" s="293" t="s">
        <v>428</v>
      </c>
      <c r="D343" s="293" t="s">
        <v>1314</v>
      </c>
      <c r="E343" s="293" t="s">
        <v>1314</v>
      </c>
      <c r="F343" s="294">
        <v>1869040</v>
      </c>
      <c r="G343" s="143" t="str">
        <f t="shared" si="5"/>
        <v>0503</v>
      </c>
    </row>
    <row r="344" spans="1:7" ht="25.5" x14ac:dyDescent="0.2">
      <c r="A344" s="292" t="s">
        <v>2037</v>
      </c>
      <c r="B344" s="293" t="s">
        <v>5</v>
      </c>
      <c r="C344" s="293" t="s">
        <v>428</v>
      </c>
      <c r="D344" s="293" t="s">
        <v>2038</v>
      </c>
      <c r="E344" s="293" t="s">
        <v>1314</v>
      </c>
      <c r="F344" s="294">
        <v>1869040</v>
      </c>
      <c r="G344" s="143" t="str">
        <f t="shared" si="5"/>
        <v>05030200000000</v>
      </c>
    </row>
    <row r="345" spans="1:7" ht="25.5" x14ac:dyDescent="0.2">
      <c r="A345" s="292" t="s">
        <v>879</v>
      </c>
      <c r="B345" s="293" t="s">
        <v>5</v>
      </c>
      <c r="C345" s="293" t="s">
        <v>428</v>
      </c>
      <c r="D345" s="293" t="s">
        <v>2039</v>
      </c>
      <c r="E345" s="293" t="s">
        <v>1314</v>
      </c>
      <c r="F345" s="294">
        <v>1869040</v>
      </c>
      <c r="G345" s="143" t="str">
        <f t="shared" si="5"/>
        <v>05030210000000</v>
      </c>
    </row>
    <row r="346" spans="1:7" ht="63.75" x14ac:dyDescent="0.2">
      <c r="A346" s="292" t="s">
        <v>2040</v>
      </c>
      <c r="B346" s="293" t="s">
        <v>5</v>
      </c>
      <c r="C346" s="293" t="s">
        <v>428</v>
      </c>
      <c r="D346" s="293" t="s">
        <v>2041</v>
      </c>
      <c r="E346" s="293" t="s">
        <v>1314</v>
      </c>
      <c r="F346" s="294">
        <v>1869040</v>
      </c>
      <c r="G346" s="143" t="str">
        <f t="shared" si="5"/>
        <v>05030210080020</v>
      </c>
    </row>
    <row r="347" spans="1:7" ht="25.5" x14ac:dyDescent="0.2">
      <c r="A347" s="292" t="s">
        <v>1502</v>
      </c>
      <c r="B347" s="293" t="s">
        <v>5</v>
      </c>
      <c r="C347" s="293" t="s">
        <v>428</v>
      </c>
      <c r="D347" s="293" t="s">
        <v>2041</v>
      </c>
      <c r="E347" s="293" t="s">
        <v>1503</v>
      </c>
      <c r="F347" s="294">
        <v>1869040</v>
      </c>
      <c r="G347" s="143" t="str">
        <f t="shared" si="5"/>
        <v>05030210080020200</v>
      </c>
    </row>
    <row r="348" spans="1:7" ht="25.5" x14ac:dyDescent="0.2">
      <c r="A348" s="292" t="s">
        <v>1338</v>
      </c>
      <c r="B348" s="293" t="s">
        <v>5</v>
      </c>
      <c r="C348" s="293" t="s">
        <v>428</v>
      </c>
      <c r="D348" s="293" t="s">
        <v>2041</v>
      </c>
      <c r="E348" s="293" t="s">
        <v>1339</v>
      </c>
      <c r="F348" s="294">
        <v>1869040</v>
      </c>
      <c r="G348" s="143" t="str">
        <f t="shared" si="5"/>
        <v>05030210080020240</v>
      </c>
    </row>
    <row r="349" spans="1:7" x14ac:dyDescent="0.2">
      <c r="A349" s="292" t="s">
        <v>1379</v>
      </c>
      <c r="B349" s="293" t="s">
        <v>5</v>
      </c>
      <c r="C349" s="293" t="s">
        <v>428</v>
      </c>
      <c r="D349" s="293" t="s">
        <v>2041</v>
      </c>
      <c r="E349" s="293" t="s">
        <v>368</v>
      </c>
      <c r="F349" s="294">
        <v>1869040</v>
      </c>
      <c r="G349" s="143" t="str">
        <f t="shared" si="5"/>
        <v>05030210080020244</v>
      </c>
    </row>
    <row r="350" spans="1:7" x14ac:dyDescent="0.2">
      <c r="A350" s="292" t="s">
        <v>1938</v>
      </c>
      <c r="B350" s="293" t="s">
        <v>5</v>
      </c>
      <c r="C350" s="293" t="s">
        <v>1939</v>
      </c>
      <c r="D350" s="293" t="s">
        <v>1314</v>
      </c>
      <c r="E350" s="293" t="s">
        <v>1314</v>
      </c>
      <c r="F350" s="294">
        <v>1151500</v>
      </c>
      <c r="G350" s="143" t="str">
        <f t="shared" si="5"/>
        <v>0600</v>
      </c>
    </row>
    <row r="351" spans="1:7" ht="25.5" x14ac:dyDescent="0.2">
      <c r="A351" s="292" t="s">
        <v>2042</v>
      </c>
      <c r="B351" s="293" t="s">
        <v>5</v>
      </c>
      <c r="C351" s="293" t="s">
        <v>2043</v>
      </c>
      <c r="D351" s="293" t="s">
        <v>1314</v>
      </c>
      <c r="E351" s="293" t="s">
        <v>1314</v>
      </c>
      <c r="F351" s="294">
        <v>1151500</v>
      </c>
      <c r="G351" s="143" t="str">
        <f t="shared" si="5"/>
        <v>0603</v>
      </c>
    </row>
    <row r="352" spans="1:7" ht="25.5" x14ac:dyDescent="0.2">
      <c r="A352" s="292" t="s">
        <v>2037</v>
      </c>
      <c r="B352" s="293" t="s">
        <v>5</v>
      </c>
      <c r="C352" s="293" t="s">
        <v>2043</v>
      </c>
      <c r="D352" s="293" t="s">
        <v>2038</v>
      </c>
      <c r="E352" s="293" t="s">
        <v>1314</v>
      </c>
      <c r="F352" s="294">
        <v>1151500</v>
      </c>
      <c r="G352" s="143" t="str">
        <f t="shared" si="5"/>
        <v>06030200000000</v>
      </c>
    </row>
    <row r="353" spans="1:7" x14ac:dyDescent="0.2">
      <c r="A353" s="292" t="s">
        <v>2044</v>
      </c>
      <c r="B353" s="293" t="s">
        <v>5</v>
      </c>
      <c r="C353" s="293" t="s">
        <v>2043</v>
      </c>
      <c r="D353" s="293" t="s">
        <v>2045</v>
      </c>
      <c r="E353" s="293" t="s">
        <v>1314</v>
      </c>
      <c r="F353" s="294">
        <v>1151500</v>
      </c>
      <c r="G353" s="143" t="str">
        <f t="shared" si="5"/>
        <v>06030220000000</v>
      </c>
    </row>
    <row r="354" spans="1:7" ht="76.5" x14ac:dyDescent="0.2">
      <c r="A354" s="292" t="s">
        <v>2046</v>
      </c>
      <c r="B354" s="293" t="s">
        <v>5</v>
      </c>
      <c r="C354" s="293" t="s">
        <v>2043</v>
      </c>
      <c r="D354" s="293" t="s">
        <v>2047</v>
      </c>
      <c r="E354" s="293" t="s">
        <v>1314</v>
      </c>
      <c r="F354" s="294">
        <v>1151500</v>
      </c>
      <c r="G354" s="143" t="str">
        <f t="shared" si="5"/>
        <v>06030220075180</v>
      </c>
    </row>
    <row r="355" spans="1:7" ht="51" x14ac:dyDescent="0.2">
      <c r="A355" s="292" t="s">
        <v>1501</v>
      </c>
      <c r="B355" s="293" t="s">
        <v>5</v>
      </c>
      <c r="C355" s="293" t="s">
        <v>2043</v>
      </c>
      <c r="D355" s="293" t="s">
        <v>2047</v>
      </c>
      <c r="E355" s="293" t="s">
        <v>290</v>
      </c>
      <c r="F355" s="294">
        <v>77720</v>
      </c>
      <c r="G355" s="143" t="str">
        <f t="shared" si="5"/>
        <v>06030220075180100</v>
      </c>
    </row>
    <row r="356" spans="1:7" ht="25.5" x14ac:dyDescent="0.2">
      <c r="A356" s="292" t="s">
        <v>1345</v>
      </c>
      <c r="B356" s="293" t="s">
        <v>5</v>
      </c>
      <c r="C356" s="293" t="s">
        <v>2043</v>
      </c>
      <c r="D356" s="293" t="s">
        <v>2047</v>
      </c>
      <c r="E356" s="293" t="s">
        <v>30</v>
      </c>
      <c r="F356" s="294">
        <v>77720</v>
      </c>
      <c r="G356" s="143" t="str">
        <f t="shared" si="5"/>
        <v>06030220075180120</v>
      </c>
    </row>
    <row r="357" spans="1:7" ht="25.5" x14ac:dyDescent="0.2">
      <c r="A357" s="292" t="s">
        <v>1010</v>
      </c>
      <c r="B357" s="293" t="s">
        <v>5</v>
      </c>
      <c r="C357" s="293" t="s">
        <v>2043</v>
      </c>
      <c r="D357" s="293" t="s">
        <v>2047</v>
      </c>
      <c r="E357" s="293" t="s">
        <v>363</v>
      </c>
      <c r="F357" s="294">
        <v>59689</v>
      </c>
      <c r="G357" s="143" t="str">
        <f t="shared" si="5"/>
        <v>06030220075180121</v>
      </c>
    </row>
    <row r="358" spans="1:7" ht="38.25" x14ac:dyDescent="0.2">
      <c r="A358" s="292" t="s">
        <v>1115</v>
      </c>
      <c r="B358" s="293" t="s">
        <v>5</v>
      </c>
      <c r="C358" s="293" t="s">
        <v>2043</v>
      </c>
      <c r="D358" s="293" t="s">
        <v>2047</v>
      </c>
      <c r="E358" s="293" t="s">
        <v>1116</v>
      </c>
      <c r="F358" s="294">
        <v>18031</v>
      </c>
      <c r="G358" s="143" t="str">
        <f t="shared" si="5"/>
        <v>06030220075180129</v>
      </c>
    </row>
    <row r="359" spans="1:7" ht="25.5" x14ac:dyDescent="0.2">
      <c r="A359" s="292" t="s">
        <v>1502</v>
      </c>
      <c r="B359" s="293" t="s">
        <v>5</v>
      </c>
      <c r="C359" s="293" t="s">
        <v>2043</v>
      </c>
      <c r="D359" s="293" t="s">
        <v>2047</v>
      </c>
      <c r="E359" s="293" t="s">
        <v>1503</v>
      </c>
      <c r="F359" s="294">
        <v>1073780</v>
      </c>
      <c r="G359" s="143" t="str">
        <f t="shared" si="5"/>
        <v>06030220075180200</v>
      </c>
    </row>
    <row r="360" spans="1:7" ht="25.5" x14ac:dyDescent="0.2">
      <c r="A360" s="292" t="s">
        <v>1338</v>
      </c>
      <c r="B360" s="293" t="s">
        <v>5</v>
      </c>
      <c r="C360" s="293" t="s">
        <v>2043</v>
      </c>
      <c r="D360" s="293" t="s">
        <v>2047</v>
      </c>
      <c r="E360" s="293" t="s">
        <v>1339</v>
      </c>
      <c r="F360" s="294">
        <v>1073780</v>
      </c>
      <c r="G360" s="143" t="str">
        <f t="shared" si="5"/>
        <v>06030220075180240</v>
      </c>
    </row>
    <row r="361" spans="1:7" x14ac:dyDescent="0.2">
      <c r="A361" s="292" t="s">
        <v>1379</v>
      </c>
      <c r="B361" s="293" t="s">
        <v>5</v>
      </c>
      <c r="C361" s="293" t="s">
        <v>2043</v>
      </c>
      <c r="D361" s="293" t="s">
        <v>2047</v>
      </c>
      <c r="E361" s="293" t="s">
        <v>368</v>
      </c>
      <c r="F361" s="294">
        <v>1073780</v>
      </c>
      <c r="G361" s="143" t="str">
        <f t="shared" si="5"/>
        <v>06030220075180244</v>
      </c>
    </row>
    <row r="362" spans="1:7" x14ac:dyDescent="0.2">
      <c r="A362" s="292" t="s">
        <v>266</v>
      </c>
      <c r="B362" s="293" t="s">
        <v>5</v>
      </c>
      <c r="C362" s="293" t="s">
        <v>1226</v>
      </c>
      <c r="D362" s="293" t="s">
        <v>1314</v>
      </c>
      <c r="E362" s="293" t="s">
        <v>1314</v>
      </c>
      <c r="F362" s="294">
        <v>150000</v>
      </c>
      <c r="G362" s="143" t="str">
        <f t="shared" si="5"/>
        <v>0800</v>
      </c>
    </row>
    <row r="363" spans="1:7" x14ac:dyDescent="0.2">
      <c r="A363" s="292" t="s">
        <v>222</v>
      </c>
      <c r="B363" s="293" t="s">
        <v>5</v>
      </c>
      <c r="C363" s="293" t="s">
        <v>432</v>
      </c>
      <c r="D363" s="293" t="s">
        <v>1314</v>
      </c>
      <c r="E363" s="293" t="s">
        <v>1314</v>
      </c>
      <c r="F363" s="294">
        <v>150000</v>
      </c>
      <c r="G363" s="143" t="str">
        <f t="shared" si="5"/>
        <v>0801</v>
      </c>
    </row>
    <row r="364" spans="1:7" ht="38.25" x14ac:dyDescent="0.2">
      <c r="A364" s="292" t="s">
        <v>2048</v>
      </c>
      <c r="B364" s="293" t="s">
        <v>5</v>
      </c>
      <c r="C364" s="293" t="s">
        <v>432</v>
      </c>
      <c r="D364" s="293" t="s">
        <v>2049</v>
      </c>
      <c r="E364" s="293" t="s">
        <v>1314</v>
      </c>
      <c r="F364" s="294">
        <v>150000</v>
      </c>
      <c r="G364" s="143" t="str">
        <f t="shared" si="5"/>
        <v>08011300000000</v>
      </c>
    </row>
    <row r="365" spans="1:7" ht="25.5" x14ac:dyDescent="0.2">
      <c r="A365" s="292" t="s">
        <v>2050</v>
      </c>
      <c r="B365" s="293" t="s">
        <v>5</v>
      </c>
      <c r="C365" s="293" t="s">
        <v>432</v>
      </c>
      <c r="D365" s="293" t="s">
        <v>2051</v>
      </c>
      <c r="E365" s="293" t="s">
        <v>1314</v>
      </c>
      <c r="F365" s="294">
        <v>150000</v>
      </c>
      <c r="G365" s="143" t="str">
        <f t="shared" si="5"/>
        <v>08011310000000</v>
      </c>
    </row>
    <row r="366" spans="1:7" ht="76.5" x14ac:dyDescent="0.2">
      <c r="A366" s="292" t="s">
        <v>2052</v>
      </c>
      <c r="B366" s="293" t="s">
        <v>5</v>
      </c>
      <c r="C366" s="293" t="s">
        <v>432</v>
      </c>
      <c r="D366" s="293" t="s">
        <v>2053</v>
      </c>
      <c r="E366" s="293" t="s">
        <v>1314</v>
      </c>
      <c r="F366" s="294">
        <v>150000</v>
      </c>
      <c r="G366" s="143" t="str">
        <f t="shared" si="5"/>
        <v>08011310080010</v>
      </c>
    </row>
    <row r="367" spans="1:7" ht="25.5" x14ac:dyDescent="0.2">
      <c r="A367" s="292" t="s">
        <v>1510</v>
      </c>
      <c r="B367" s="293" t="s">
        <v>5</v>
      </c>
      <c r="C367" s="293" t="s">
        <v>432</v>
      </c>
      <c r="D367" s="293" t="s">
        <v>2053</v>
      </c>
      <c r="E367" s="293" t="s">
        <v>1511</v>
      </c>
      <c r="F367" s="294">
        <v>150000</v>
      </c>
      <c r="G367" s="143" t="str">
        <f t="shared" si="5"/>
        <v>08011310080010600</v>
      </c>
    </row>
    <row r="368" spans="1:7" ht="25.5" x14ac:dyDescent="0.2">
      <c r="A368" s="292" t="s">
        <v>2054</v>
      </c>
      <c r="B368" s="293" t="s">
        <v>5</v>
      </c>
      <c r="C368" s="293" t="s">
        <v>432</v>
      </c>
      <c r="D368" s="293" t="s">
        <v>2053</v>
      </c>
      <c r="E368" s="293" t="s">
        <v>2055</v>
      </c>
      <c r="F368" s="294">
        <v>150000</v>
      </c>
      <c r="G368" s="143" t="str">
        <f t="shared" si="5"/>
        <v>08011310080010630</v>
      </c>
    </row>
    <row r="369" spans="1:7" ht="25.5" x14ac:dyDescent="0.2">
      <c r="A369" s="292" t="s">
        <v>2056</v>
      </c>
      <c r="B369" s="293" t="s">
        <v>5</v>
      </c>
      <c r="C369" s="293" t="s">
        <v>432</v>
      </c>
      <c r="D369" s="293" t="s">
        <v>2053</v>
      </c>
      <c r="E369" s="293" t="s">
        <v>2057</v>
      </c>
      <c r="F369" s="294">
        <v>150000</v>
      </c>
      <c r="G369" s="143" t="str">
        <f t="shared" si="5"/>
        <v>08011310080010633</v>
      </c>
    </row>
    <row r="370" spans="1:7" x14ac:dyDescent="0.2">
      <c r="A370" s="292" t="s">
        <v>148</v>
      </c>
      <c r="B370" s="293" t="s">
        <v>5</v>
      </c>
      <c r="C370" s="293" t="s">
        <v>1221</v>
      </c>
      <c r="D370" s="293" t="s">
        <v>1314</v>
      </c>
      <c r="E370" s="293" t="s">
        <v>1314</v>
      </c>
      <c r="F370" s="294">
        <v>3311407</v>
      </c>
      <c r="G370" s="143" t="str">
        <f t="shared" si="5"/>
        <v>1000</v>
      </c>
    </row>
    <row r="371" spans="1:7" x14ac:dyDescent="0.2">
      <c r="A371" s="292" t="s">
        <v>104</v>
      </c>
      <c r="B371" s="293" t="s">
        <v>5</v>
      </c>
      <c r="C371" s="293" t="s">
        <v>415</v>
      </c>
      <c r="D371" s="293" t="s">
        <v>1314</v>
      </c>
      <c r="E371" s="293" t="s">
        <v>1314</v>
      </c>
      <c r="F371" s="294">
        <v>2405107</v>
      </c>
      <c r="G371" s="143" t="str">
        <f t="shared" ref="G371:G431" si="6">CONCATENATE(C371,D371,E371)</f>
        <v>1001</v>
      </c>
    </row>
    <row r="372" spans="1:7" ht="25.5" x14ac:dyDescent="0.2">
      <c r="A372" s="292" t="s">
        <v>648</v>
      </c>
      <c r="B372" s="293" t="s">
        <v>5</v>
      </c>
      <c r="C372" s="293" t="s">
        <v>415</v>
      </c>
      <c r="D372" s="293" t="s">
        <v>1072</v>
      </c>
      <c r="E372" s="293" t="s">
        <v>1314</v>
      </c>
      <c r="F372" s="294">
        <v>2405107</v>
      </c>
      <c r="G372" s="143" t="str">
        <f t="shared" si="6"/>
        <v>10019000000000</v>
      </c>
    </row>
    <row r="373" spans="1:7" ht="25.5" x14ac:dyDescent="0.2">
      <c r="A373" s="292" t="s">
        <v>471</v>
      </c>
      <c r="B373" s="293" t="s">
        <v>5</v>
      </c>
      <c r="C373" s="293" t="s">
        <v>415</v>
      </c>
      <c r="D373" s="293" t="s">
        <v>1076</v>
      </c>
      <c r="E373" s="293" t="s">
        <v>1314</v>
      </c>
      <c r="F373" s="294">
        <v>2405107</v>
      </c>
      <c r="G373" s="143" t="str">
        <f t="shared" si="6"/>
        <v>10019090000000</v>
      </c>
    </row>
    <row r="374" spans="1:7" ht="25.5" x14ac:dyDescent="0.2">
      <c r="A374" s="292" t="s">
        <v>471</v>
      </c>
      <c r="B374" s="293" t="s">
        <v>5</v>
      </c>
      <c r="C374" s="293" t="s">
        <v>415</v>
      </c>
      <c r="D374" s="293" t="s">
        <v>852</v>
      </c>
      <c r="E374" s="293" t="s">
        <v>1314</v>
      </c>
      <c r="F374" s="294">
        <v>2405107</v>
      </c>
      <c r="G374" s="143" t="str">
        <f t="shared" si="6"/>
        <v>10019090080000</v>
      </c>
    </row>
    <row r="375" spans="1:7" x14ac:dyDescent="0.2">
      <c r="A375" s="292" t="s">
        <v>1506</v>
      </c>
      <c r="B375" s="293" t="s">
        <v>5</v>
      </c>
      <c r="C375" s="293" t="s">
        <v>415</v>
      </c>
      <c r="D375" s="293" t="s">
        <v>852</v>
      </c>
      <c r="E375" s="293" t="s">
        <v>1507</v>
      </c>
      <c r="F375" s="294">
        <v>2405107</v>
      </c>
      <c r="G375" s="143" t="str">
        <f t="shared" si="6"/>
        <v>10019090080000300</v>
      </c>
    </row>
    <row r="376" spans="1:7" x14ac:dyDescent="0.2">
      <c r="A376" s="292" t="s">
        <v>1346</v>
      </c>
      <c r="B376" s="293" t="s">
        <v>5</v>
      </c>
      <c r="C376" s="293" t="s">
        <v>415</v>
      </c>
      <c r="D376" s="293" t="s">
        <v>852</v>
      </c>
      <c r="E376" s="293" t="s">
        <v>1347</v>
      </c>
      <c r="F376" s="294">
        <v>2405107</v>
      </c>
      <c r="G376" s="143" t="str">
        <f t="shared" si="6"/>
        <v>10019090080000310</v>
      </c>
    </row>
    <row r="377" spans="1:7" x14ac:dyDescent="0.2">
      <c r="A377" s="292" t="s">
        <v>416</v>
      </c>
      <c r="B377" s="293" t="s">
        <v>5</v>
      </c>
      <c r="C377" s="293" t="s">
        <v>415</v>
      </c>
      <c r="D377" s="293" t="s">
        <v>852</v>
      </c>
      <c r="E377" s="293" t="s">
        <v>417</v>
      </c>
      <c r="F377" s="294">
        <v>2405107</v>
      </c>
      <c r="G377" s="143" t="str">
        <f t="shared" si="6"/>
        <v>10019090080000312</v>
      </c>
    </row>
    <row r="378" spans="1:7" x14ac:dyDescent="0.2">
      <c r="A378" s="292" t="s">
        <v>65</v>
      </c>
      <c r="B378" s="293" t="s">
        <v>5</v>
      </c>
      <c r="C378" s="293" t="s">
        <v>434</v>
      </c>
      <c r="D378" s="293" t="s">
        <v>1314</v>
      </c>
      <c r="E378" s="293" t="s">
        <v>1314</v>
      </c>
      <c r="F378" s="294">
        <v>906300</v>
      </c>
      <c r="G378" s="143" t="str">
        <f t="shared" si="6"/>
        <v>1006</v>
      </c>
    </row>
    <row r="379" spans="1:7" ht="25.5" x14ac:dyDescent="0.2">
      <c r="A379" s="292" t="s">
        <v>646</v>
      </c>
      <c r="B379" s="293" t="s">
        <v>5</v>
      </c>
      <c r="C379" s="293" t="s">
        <v>434</v>
      </c>
      <c r="D379" s="293" t="s">
        <v>1067</v>
      </c>
      <c r="E379" s="293" t="s">
        <v>1314</v>
      </c>
      <c r="F379" s="303">
        <v>906300</v>
      </c>
      <c r="G379" s="143" t="str">
        <f t="shared" si="6"/>
        <v>10068000000000</v>
      </c>
    </row>
    <row r="380" spans="1:7" ht="38.25" x14ac:dyDescent="0.2">
      <c r="A380" s="292" t="s">
        <v>647</v>
      </c>
      <c r="B380" s="293" t="s">
        <v>5</v>
      </c>
      <c r="C380" s="293" t="s">
        <v>434</v>
      </c>
      <c r="D380" s="293" t="s">
        <v>1069</v>
      </c>
      <c r="E380" s="293" t="s">
        <v>1314</v>
      </c>
      <c r="F380" s="303">
        <v>906300</v>
      </c>
      <c r="G380" s="143" t="str">
        <f t="shared" si="6"/>
        <v>10068020000000</v>
      </c>
    </row>
    <row r="381" spans="1:7" ht="63.75" x14ac:dyDescent="0.2">
      <c r="A381" s="292" t="s">
        <v>1533</v>
      </c>
      <c r="B381" s="293" t="s">
        <v>5</v>
      </c>
      <c r="C381" s="293" t="s">
        <v>434</v>
      </c>
      <c r="D381" s="293" t="s">
        <v>1534</v>
      </c>
      <c r="E381" s="293" t="s">
        <v>1314</v>
      </c>
      <c r="F381" s="303">
        <v>906300</v>
      </c>
      <c r="G381" s="143" t="str">
        <f t="shared" si="6"/>
        <v>10068020002890</v>
      </c>
    </row>
    <row r="382" spans="1:7" ht="51" x14ac:dyDescent="0.2">
      <c r="A382" s="292" t="s">
        <v>1501</v>
      </c>
      <c r="B382" s="293" t="s">
        <v>5</v>
      </c>
      <c r="C382" s="293" t="s">
        <v>434</v>
      </c>
      <c r="D382" s="293" t="s">
        <v>1534</v>
      </c>
      <c r="E382" s="293" t="s">
        <v>290</v>
      </c>
      <c r="F382" s="303">
        <v>896300</v>
      </c>
      <c r="G382" s="143" t="str">
        <f t="shared" si="6"/>
        <v>10068020002890100</v>
      </c>
    </row>
    <row r="383" spans="1:7" ht="25.5" x14ac:dyDescent="0.2">
      <c r="A383" s="292" t="s">
        <v>1345</v>
      </c>
      <c r="B383" s="293" t="s">
        <v>5</v>
      </c>
      <c r="C383" s="293" t="s">
        <v>434</v>
      </c>
      <c r="D383" s="293" t="s">
        <v>1534</v>
      </c>
      <c r="E383" s="293" t="s">
        <v>30</v>
      </c>
      <c r="F383" s="294">
        <v>896300</v>
      </c>
      <c r="G383" s="143" t="str">
        <f t="shared" si="6"/>
        <v>10068020002890120</v>
      </c>
    </row>
    <row r="384" spans="1:7" ht="25.5" x14ac:dyDescent="0.2">
      <c r="A384" s="292" t="s">
        <v>1010</v>
      </c>
      <c r="B384" s="293" t="s">
        <v>5</v>
      </c>
      <c r="C384" s="293" t="s">
        <v>434</v>
      </c>
      <c r="D384" s="293" t="s">
        <v>1534</v>
      </c>
      <c r="E384" s="293" t="s">
        <v>363</v>
      </c>
      <c r="F384" s="294">
        <v>596893</v>
      </c>
      <c r="G384" s="143" t="str">
        <f t="shared" si="6"/>
        <v>10068020002890121</v>
      </c>
    </row>
    <row r="385" spans="1:7" ht="38.25" x14ac:dyDescent="0.2">
      <c r="A385" s="292" t="s">
        <v>364</v>
      </c>
      <c r="B385" s="293" t="s">
        <v>5</v>
      </c>
      <c r="C385" s="293" t="s">
        <v>434</v>
      </c>
      <c r="D385" s="293" t="s">
        <v>1534</v>
      </c>
      <c r="E385" s="293" t="s">
        <v>365</v>
      </c>
      <c r="F385" s="294">
        <v>119100</v>
      </c>
      <c r="G385" s="143" t="str">
        <f t="shared" si="6"/>
        <v>10068020002890122</v>
      </c>
    </row>
    <row r="386" spans="1:7" ht="38.25" x14ac:dyDescent="0.2">
      <c r="A386" s="292" t="s">
        <v>1115</v>
      </c>
      <c r="B386" s="293" t="s">
        <v>5</v>
      </c>
      <c r="C386" s="293" t="s">
        <v>434</v>
      </c>
      <c r="D386" s="293" t="s">
        <v>1534</v>
      </c>
      <c r="E386" s="293" t="s">
        <v>1116</v>
      </c>
      <c r="F386" s="294">
        <v>180307</v>
      </c>
      <c r="G386" s="143" t="str">
        <f t="shared" si="6"/>
        <v>10068020002890129</v>
      </c>
    </row>
    <row r="387" spans="1:7" ht="25.5" x14ac:dyDescent="0.2">
      <c r="A387" s="292" t="s">
        <v>1502</v>
      </c>
      <c r="B387" s="293" t="s">
        <v>5</v>
      </c>
      <c r="C387" s="293" t="s">
        <v>434</v>
      </c>
      <c r="D387" s="293" t="s">
        <v>1534</v>
      </c>
      <c r="E387" s="293" t="s">
        <v>1503</v>
      </c>
      <c r="F387" s="294">
        <v>10000</v>
      </c>
      <c r="G387" s="143" t="str">
        <f t="shared" si="6"/>
        <v>10068020002890200</v>
      </c>
    </row>
    <row r="388" spans="1:7" ht="25.5" x14ac:dyDescent="0.2">
      <c r="A388" s="292" t="s">
        <v>1338</v>
      </c>
      <c r="B388" s="293" t="s">
        <v>5</v>
      </c>
      <c r="C388" s="293" t="s">
        <v>434</v>
      </c>
      <c r="D388" s="293" t="s">
        <v>1534</v>
      </c>
      <c r="E388" s="293" t="s">
        <v>1339</v>
      </c>
      <c r="F388" s="294">
        <v>10000</v>
      </c>
      <c r="G388" s="143" t="str">
        <f t="shared" si="6"/>
        <v>10068020002890240</v>
      </c>
    </row>
    <row r="389" spans="1:7" x14ac:dyDescent="0.2">
      <c r="A389" s="292" t="s">
        <v>1379</v>
      </c>
      <c r="B389" s="293" t="s">
        <v>5</v>
      </c>
      <c r="C389" s="293" t="s">
        <v>434</v>
      </c>
      <c r="D389" s="293" t="s">
        <v>1534</v>
      </c>
      <c r="E389" s="293" t="s">
        <v>368</v>
      </c>
      <c r="F389" s="294">
        <v>10000</v>
      </c>
      <c r="G389" s="143" t="str">
        <f t="shared" si="6"/>
        <v>10068020002890244</v>
      </c>
    </row>
    <row r="390" spans="1:7" ht="25.5" x14ac:dyDescent="0.2">
      <c r="A390" s="292" t="s">
        <v>1123</v>
      </c>
      <c r="B390" s="293" t="s">
        <v>394</v>
      </c>
      <c r="C390" s="293" t="s">
        <v>1314</v>
      </c>
      <c r="D390" s="293" t="s">
        <v>1314</v>
      </c>
      <c r="E390" s="293" t="s">
        <v>1314</v>
      </c>
      <c r="F390" s="294">
        <v>8441000</v>
      </c>
      <c r="G390" s="143" t="str">
        <f t="shared" si="6"/>
        <v/>
      </c>
    </row>
    <row r="391" spans="1:7" x14ac:dyDescent="0.2">
      <c r="A391" s="292" t="s">
        <v>250</v>
      </c>
      <c r="B391" s="293" t="s">
        <v>394</v>
      </c>
      <c r="C391" s="293" t="s">
        <v>1212</v>
      </c>
      <c r="D391" s="293" t="s">
        <v>1314</v>
      </c>
      <c r="E391" s="293" t="s">
        <v>1314</v>
      </c>
      <c r="F391" s="294">
        <v>8441000</v>
      </c>
      <c r="G391" s="143" t="str">
        <f t="shared" si="6"/>
        <v>0100</v>
      </c>
    </row>
    <row r="392" spans="1:7" x14ac:dyDescent="0.2">
      <c r="A392" s="292" t="s">
        <v>233</v>
      </c>
      <c r="B392" s="293" t="s">
        <v>394</v>
      </c>
      <c r="C392" s="293" t="s">
        <v>376</v>
      </c>
      <c r="D392" s="293" t="s">
        <v>1314</v>
      </c>
      <c r="E392" s="293" t="s">
        <v>1314</v>
      </c>
      <c r="F392" s="294">
        <v>8441000</v>
      </c>
      <c r="G392" s="143" t="str">
        <f t="shared" si="6"/>
        <v>0113</v>
      </c>
    </row>
    <row r="393" spans="1:7" ht="25.5" x14ac:dyDescent="0.2">
      <c r="A393" s="292" t="s">
        <v>648</v>
      </c>
      <c r="B393" s="293" t="s">
        <v>394</v>
      </c>
      <c r="C393" s="293" t="s">
        <v>376</v>
      </c>
      <c r="D393" s="293" t="s">
        <v>1072</v>
      </c>
      <c r="E393" s="293" t="s">
        <v>1314</v>
      </c>
      <c r="F393" s="294">
        <v>8441000</v>
      </c>
      <c r="G393" s="143" t="str">
        <f t="shared" si="6"/>
        <v>01139000000000</v>
      </c>
    </row>
    <row r="394" spans="1:7" ht="25.5" x14ac:dyDescent="0.2">
      <c r="A394" s="292" t="s">
        <v>1124</v>
      </c>
      <c r="B394" s="293" t="s">
        <v>394</v>
      </c>
      <c r="C394" s="293" t="s">
        <v>376</v>
      </c>
      <c r="D394" s="293" t="s">
        <v>1125</v>
      </c>
      <c r="E394" s="293" t="s">
        <v>1314</v>
      </c>
      <c r="F394" s="294">
        <v>8441000</v>
      </c>
      <c r="G394" s="143" t="str">
        <f t="shared" si="6"/>
        <v>01139070000000</v>
      </c>
    </row>
    <row r="395" spans="1:7" ht="25.5" x14ac:dyDescent="0.2">
      <c r="A395" s="292" t="s">
        <v>1124</v>
      </c>
      <c r="B395" s="293" t="s">
        <v>394</v>
      </c>
      <c r="C395" s="293" t="s">
        <v>376</v>
      </c>
      <c r="D395" s="293" t="s">
        <v>1146</v>
      </c>
      <c r="E395" s="293" t="s">
        <v>1314</v>
      </c>
      <c r="F395" s="294">
        <v>8066647</v>
      </c>
      <c r="G395" s="143" t="str">
        <f t="shared" si="6"/>
        <v>01139070040000</v>
      </c>
    </row>
    <row r="396" spans="1:7" ht="51" x14ac:dyDescent="0.2">
      <c r="A396" s="292" t="s">
        <v>1501</v>
      </c>
      <c r="B396" s="293" t="s">
        <v>394</v>
      </c>
      <c r="C396" s="293" t="s">
        <v>376</v>
      </c>
      <c r="D396" s="293" t="s">
        <v>1146</v>
      </c>
      <c r="E396" s="293" t="s">
        <v>290</v>
      </c>
      <c r="F396" s="294">
        <v>7673647</v>
      </c>
      <c r="G396" s="143" t="str">
        <f t="shared" si="6"/>
        <v>01139070040000100</v>
      </c>
    </row>
    <row r="397" spans="1:7" ht="25.5" x14ac:dyDescent="0.2">
      <c r="A397" s="292" t="s">
        <v>1345</v>
      </c>
      <c r="B397" s="293" t="s">
        <v>394</v>
      </c>
      <c r="C397" s="293" t="s">
        <v>376</v>
      </c>
      <c r="D397" s="293" t="s">
        <v>1146</v>
      </c>
      <c r="E397" s="293" t="s">
        <v>30</v>
      </c>
      <c r="F397" s="294">
        <v>7673647</v>
      </c>
      <c r="G397" s="143" t="str">
        <f t="shared" si="6"/>
        <v>01139070040000120</v>
      </c>
    </row>
    <row r="398" spans="1:7" ht="25.5" x14ac:dyDescent="0.2">
      <c r="A398" s="292" t="s">
        <v>1010</v>
      </c>
      <c r="B398" s="293" t="s">
        <v>394</v>
      </c>
      <c r="C398" s="293" t="s">
        <v>376</v>
      </c>
      <c r="D398" s="293" t="s">
        <v>1146</v>
      </c>
      <c r="E398" s="293" t="s">
        <v>363</v>
      </c>
      <c r="F398" s="294">
        <v>5880835</v>
      </c>
      <c r="G398" s="143" t="str">
        <f t="shared" si="6"/>
        <v>01139070040000121</v>
      </c>
    </row>
    <row r="399" spans="1:7" ht="38.25" x14ac:dyDescent="0.2">
      <c r="A399" s="292" t="s">
        <v>364</v>
      </c>
      <c r="B399" s="293" t="s">
        <v>394</v>
      </c>
      <c r="C399" s="293" t="s">
        <v>376</v>
      </c>
      <c r="D399" s="293" t="s">
        <v>1146</v>
      </c>
      <c r="E399" s="293" t="s">
        <v>365</v>
      </c>
      <c r="F399" s="294">
        <v>16800</v>
      </c>
      <c r="G399" s="143" t="str">
        <f t="shared" si="6"/>
        <v>01139070040000122</v>
      </c>
    </row>
    <row r="400" spans="1:7" ht="38.25" x14ac:dyDescent="0.2">
      <c r="A400" s="292" t="s">
        <v>1115</v>
      </c>
      <c r="B400" s="293" t="s">
        <v>394</v>
      </c>
      <c r="C400" s="293" t="s">
        <v>376</v>
      </c>
      <c r="D400" s="293" t="s">
        <v>1146</v>
      </c>
      <c r="E400" s="293" t="s">
        <v>1116</v>
      </c>
      <c r="F400" s="294">
        <v>1776012</v>
      </c>
      <c r="G400" s="143" t="str">
        <f t="shared" si="6"/>
        <v>01139070040000129</v>
      </c>
    </row>
    <row r="401" spans="1:7" ht="25.5" x14ac:dyDescent="0.2">
      <c r="A401" s="292" t="s">
        <v>1502</v>
      </c>
      <c r="B401" s="293" t="s">
        <v>394</v>
      </c>
      <c r="C401" s="293" t="s">
        <v>376</v>
      </c>
      <c r="D401" s="293" t="s">
        <v>1146</v>
      </c>
      <c r="E401" s="293" t="s">
        <v>1503</v>
      </c>
      <c r="F401" s="294">
        <v>393000</v>
      </c>
      <c r="G401" s="143" t="str">
        <f t="shared" si="6"/>
        <v>01139070040000200</v>
      </c>
    </row>
    <row r="402" spans="1:7" ht="25.5" x14ac:dyDescent="0.2">
      <c r="A402" s="292" t="s">
        <v>1338</v>
      </c>
      <c r="B402" s="293" t="s">
        <v>394</v>
      </c>
      <c r="C402" s="293" t="s">
        <v>376</v>
      </c>
      <c r="D402" s="293" t="s">
        <v>1146</v>
      </c>
      <c r="E402" s="293" t="s">
        <v>1339</v>
      </c>
      <c r="F402" s="294">
        <v>393000</v>
      </c>
      <c r="G402" s="143" t="str">
        <f t="shared" si="6"/>
        <v>01139070040000240</v>
      </c>
    </row>
    <row r="403" spans="1:7" x14ac:dyDescent="0.2">
      <c r="A403" s="292" t="s">
        <v>1379</v>
      </c>
      <c r="B403" s="293" t="s">
        <v>394</v>
      </c>
      <c r="C403" s="293" t="s">
        <v>376</v>
      </c>
      <c r="D403" s="293" t="s">
        <v>1146</v>
      </c>
      <c r="E403" s="293" t="s">
        <v>368</v>
      </c>
      <c r="F403" s="294">
        <v>393000</v>
      </c>
      <c r="G403" s="143" t="str">
        <f t="shared" si="6"/>
        <v>01139070040000244</v>
      </c>
    </row>
    <row r="404" spans="1:7" ht="38.25" x14ac:dyDescent="0.2">
      <c r="A404" s="292" t="s">
        <v>1223</v>
      </c>
      <c r="B404" s="293" t="s">
        <v>394</v>
      </c>
      <c r="C404" s="293" t="s">
        <v>376</v>
      </c>
      <c r="D404" s="293" t="s">
        <v>1224</v>
      </c>
      <c r="E404" s="293" t="s">
        <v>1314</v>
      </c>
      <c r="F404" s="294">
        <v>374353</v>
      </c>
      <c r="G404" s="143" t="str">
        <f t="shared" si="6"/>
        <v>01139070047000</v>
      </c>
    </row>
    <row r="405" spans="1:7" ht="51" x14ac:dyDescent="0.2">
      <c r="A405" s="292" t="s">
        <v>1501</v>
      </c>
      <c r="B405" s="293" t="s">
        <v>394</v>
      </c>
      <c r="C405" s="293" t="s">
        <v>376</v>
      </c>
      <c r="D405" s="293" t="s">
        <v>1224</v>
      </c>
      <c r="E405" s="293" t="s">
        <v>290</v>
      </c>
      <c r="F405" s="294">
        <v>374353</v>
      </c>
      <c r="G405" s="143" t="str">
        <f t="shared" si="6"/>
        <v>01139070047000100</v>
      </c>
    </row>
    <row r="406" spans="1:7" ht="25.5" x14ac:dyDescent="0.2">
      <c r="A406" s="292" t="s">
        <v>1345</v>
      </c>
      <c r="B406" s="293" t="s">
        <v>394</v>
      </c>
      <c r="C406" s="293" t="s">
        <v>376</v>
      </c>
      <c r="D406" s="293" t="s">
        <v>1224</v>
      </c>
      <c r="E406" s="293" t="s">
        <v>30</v>
      </c>
      <c r="F406" s="294">
        <v>374353</v>
      </c>
      <c r="G406" s="143" t="str">
        <f t="shared" si="6"/>
        <v>01139070047000120</v>
      </c>
    </row>
    <row r="407" spans="1:7" ht="38.25" x14ac:dyDescent="0.2">
      <c r="A407" s="292" t="s">
        <v>364</v>
      </c>
      <c r="B407" s="293" t="s">
        <v>394</v>
      </c>
      <c r="C407" s="293" t="s">
        <v>376</v>
      </c>
      <c r="D407" s="293" t="s">
        <v>1224</v>
      </c>
      <c r="E407" s="293" t="s">
        <v>365</v>
      </c>
      <c r="F407" s="294">
        <v>374353</v>
      </c>
      <c r="G407" s="143" t="str">
        <f t="shared" si="6"/>
        <v>01139070047000122</v>
      </c>
    </row>
    <row r="408" spans="1:7" ht="25.5" x14ac:dyDescent="0.2">
      <c r="A408" s="292" t="s">
        <v>270</v>
      </c>
      <c r="B408" s="293" t="s">
        <v>214</v>
      </c>
      <c r="C408" s="293" t="s">
        <v>1314</v>
      </c>
      <c r="D408" s="293" t="s">
        <v>1314</v>
      </c>
      <c r="E408" s="293" t="s">
        <v>1314</v>
      </c>
      <c r="F408" s="294">
        <v>17809092</v>
      </c>
      <c r="G408" s="143" t="str">
        <f t="shared" si="6"/>
        <v/>
      </c>
    </row>
    <row r="409" spans="1:7" x14ac:dyDescent="0.2">
      <c r="A409" s="292" t="s">
        <v>255</v>
      </c>
      <c r="B409" s="293" t="s">
        <v>214</v>
      </c>
      <c r="C409" s="293" t="s">
        <v>1219</v>
      </c>
      <c r="D409" s="293" t="s">
        <v>1314</v>
      </c>
      <c r="E409" s="293" t="s">
        <v>1314</v>
      </c>
      <c r="F409" s="294">
        <v>17609092</v>
      </c>
      <c r="G409" s="143" t="str">
        <f t="shared" si="6"/>
        <v>0500</v>
      </c>
    </row>
    <row r="410" spans="1:7" x14ac:dyDescent="0.2">
      <c r="A410" s="292" t="s">
        <v>3</v>
      </c>
      <c r="B410" s="293" t="s">
        <v>214</v>
      </c>
      <c r="C410" s="293" t="s">
        <v>426</v>
      </c>
      <c r="D410" s="293" t="s">
        <v>1314</v>
      </c>
      <c r="E410" s="293" t="s">
        <v>1314</v>
      </c>
      <c r="F410" s="294">
        <v>450000</v>
      </c>
      <c r="G410" s="143" t="str">
        <f t="shared" si="6"/>
        <v>0501</v>
      </c>
    </row>
    <row r="411" spans="1:7" ht="25.5" x14ac:dyDescent="0.2">
      <c r="A411" s="292" t="s">
        <v>643</v>
      </c>
      <c r="B411" s="293" t="s">
        <v>214</v>
      </c>
      <c r="C411" s="293" t="s">
        <v>426</v>
      </c>
      <c r="D411" s="293" t="s">
        <v>1058</v>
      </c>
      <c r="E411" s="293" t="s">
        <v>1314</v>
      </c>
      <c r="F411" s="294">
        <v>450000</v>
      </c>
      <c r="G411" s="143" t="str">
        <f t="shared" si="6"/>
        <v>05011000000000</v>
      </c>
    </row>
    <row r="412" spans="1:7" ht="25.5" x14ac:dyDescent="0.2">
      <c r="A412" s="292" t="s">
        <v>976</v>
      </c>
      <c r="B412" s="293" t="s">
        <v>214</v>
      </c>
      <c r="C412" s="293" t="s">
        <v>426</v>
      </c>
      <c r="D412" s="293" t="s">
        <v>1543</v>
      </c>
      <c r="E412" s="293" t="s">
        <v>1314</v>
      </c>
      <c r="F412" s="294">
        <v>450000</v>
      </c>
      <c r="G412" s="143" t="str">
        <f t="shared" si="6"/>
        <v>05011030000000</v>
      </c>
    </row>
    <row r="413" spans="1:7" ht="63.75" x14ac:dyDescent="0.2">
      <c r="A413" s="292" t="s">
        <v>980</v>
      </c>
      <c r="B413" s="293" t="s">
        <v>214</v>
      </c>
      <c r="C413" s="293" t="s">
        <v>426</v>
      </c>
      <c r="D413" s="293" t="s">
        <v>979</v>
      </c>
      <c r="E413" s="293" t="s">
        <v>1314</v>
      </c>
      <c r="F413" s="294">
        <v>450000</v>
      </c>
      <c r="G413" s="143" t="str">
        <f t="shared" si="6"/>
        <v>05011030080000</v>
      </c>
    </row>
    <row r="414" spans="1:7" ht="25.5" x14ac:dyDescent="0.2">
      <c r="A414" s="292" t="s">
        <v>1502</v>
      </c>
      <c r="B414" s="293" t="s">
        <v>214</v>
      </c>
      <c r="C414" s="293" t="s">
        <v>426</v>
      </c>
      <c r="D414" s="293" t="s">
        <v>979</v>
      </c>
      <c r="E414" s="293" t="s">
        <v>1503</v>
      </c>
      <c r="F414" s="294">
        <v>450000</v>
      </c>
      <c r="G414" s="143" t="str">
        <f t="shared" si="6"/>
        <v>05011030080000200</v>
      </c>
    </row>
    <row r="415" spans="1:7" ht="25.5" x14ac:dyDescent="0.2">
      <c r="A415" s="292" t="s">
        <v>1338</v>
      </c>
      <c r="B415" s="293" t="s">
        <v>214</v>
      </c>
      <c r="C415" s="293" t="s">
        <v>426</v>
      </c>
      <c r="D415" s="293" t="s">
        <v>979</v>
      </c>
      <c r="E415" s="293" t="s">
        <v>1339</v>
      </c>
      <c r="F415" s="294">
        <v>450000</v>
      </c>
      <c r="G415" s="143" t="str">
        <f t="shared" si="6"/>
        <v>05011030080000240</v>
      </c>
    </row>
    <row r="416" spans="1:7" ht="25.5" x14ac:dyDescent="0.2">
      <c r="A416" s="292" t="s">
        <v>383</v>
      </c>
      <c r="B416" s="293" t="s">
        <v>214</v>
      </c>
      <c r="C416" s="293" t="s">
        <v>426</v>
      </c>
      <c r="D416" s="293" t="s">
        <v>979</v>
      </c>
      <c r="E416" s="293" t="s">
        <v>384</v>
      </c>
      <c r="F416" s="294">
        <v>450000</v>
      </c>
      <c r="G416" s="143" t="str">
        <f t="shared" si="6"/>
        <v>05011030080000243</v>
      </c>
    </row>
    <row r="417" spans="1:7" x14ac:dyDescent="0.2">
      <c r="A417" s="292" t="s">
        <v>153</v>
      </c>
      <c r="B417" s="293" t="s">
        <v>214</v>
      </c>
      <c r="C417" s="293" t="s">
        <v>404</v>
      </c>
      <c r="D417" s="293" t="s">
        <v>1314</v>
      </c>
      <c r="E417" s="293" t="s">
        <v>1314</v>
      </c>
      <c r="F417" s="294">
        <v>11532216</v>
      </c>
      <c r="G417" s="143" t="str">
        <f t="shared" si="6"/>
        <v>0502</v>
      </c>
    </row>
    <row r="418" spans="1:7" ht="38.25" x14ac:dyDescent="0.2">
      <c r="A418" s="292" t="s">
        <v>493</v>
      </c>
      <c r="B418" s="293" t="s">
        <v>214</v>
      </c>
      <c r="C418" s="293" t="s">
        <v>404</v>
      </c>
      <c r="D418" s="293" t="s">
        <v>1034</v>
      </c>
      <c r="E418" s="293" t="s">
        <v>1314</v>
      </c>
      <c r="F418" s="294">
        <v>11532216</v>
      </c>
      <c r="G418" s="143" t="str">
        <f t="shared" si="6"/>
        <v>05020300000000</v>
      </c>
    </row>
    <row r="419" spans="1:7" ht="38.25" x14ac:dyDescent="0.2">
      <c r="A419" s="292" t="s">
        <v>640</v>
      </c>
      <c r="B419" s="293" t="s">
        <v>214</v>
      </c>
      <c r="C419" s="293" t="s">
        <v>404</v>
      </c>
      <c r="D419" s="293" t="s">
        <v>1037</v>
      </c>
      <c r="E419" s="293" t="s">
        <v>1314</v>
      </c>
      <c r="F419" s="294">
        <v>10993216</v>
      </c>
      <c r="G419" s="143" t="str">
        <f t="shared" si="6"/>
        <v>05020350000000</v>
      </c>
    </row>
    <row r="420" spans="1:7" ht="89.25" x14ac:dyDescent="0.2">
      <c r="A420" s="292" t="s">
        <v>427</v>
      </c>
      <c r="B420" s="293" t="s">
        <v>214</v>
      </c>
      <c r="C420" s="293" t="s">
        <v>404</v>
      </c>
      <c r="D420" s="293" t="s">
        <v>750</v>
      </c>
      <c r="E420" s="293" t="s">
        <v>1314</v>
      </c>
      <c r="F420" s="294">
        <v>4200000</v>
      </c>
      <c r="G420" s="143" t="str">
        <f t="shared" si="6"/>
        <v>05020350080000</v>
      </c>
    </row>
    <row r="421" spans="1:7" ht="25.5" x14ac:dyDescent="0.2">
      <c r="A421" s="292" t="s">
        <v>1502</v>
      </c>
      <c r="B421" s="293" t="s">
        <v>214</v>
      </c>
      <c r="C421" s="293" t="s">
        <v>404</v>
      </c>
      <c r="D421" s="293" t="s">
        <v>750</v>
      </c>
      <c r="E421" s="293" t="s">
        <v>1503</v>
      </c>
      <c r="F421" s="294">
        <v>4200000</v>
      </c>
      <c r="G421" s="143" t="str">
        <f t="shared" si="6"/>
        <v>05020350080000200</v>
      </c>
    </row>
    <row r="422" spans="1:7" ht="25.5" x14ac:dyDescent="0.2">
      <c r="A422" s="292" t="s">
        <v>1338</v>
      </c>
      <c r="B422" s="293" t="s">
        <v>214</v>
      </c>
      <c r="C422" s="293" t="s">
        <v>404</v>
      </c>
      <c r="D422" s="293" t="s">
        <v>750</v>
      </c>
      <c r="E422" s="293" t="s">
        <v>1339</v>
      </c>
      <c r="F422" s="294">
        <v>4200000</v>
      </c>
      <c r="G422" s="143" t="str">
        <f t="shared" si="6"/>
        <v>05020350080000240</v>
      </c>
    </row>
    <row r="423" spans="1:7" x14ac:dyDescent="0.2">
      <c r="A423" s="292" t="s">
        <v>1379</v>
      </c>
      <c r="B423" s="293" t="s">
        <v>214</v>
      </c>
      <c r="C423" s="293" t="s">
        <v>404</v>
      </c>
      <c r="D423" s="293" t="s">
        <v>750</v>
      </c>
      <c r="E423" s="293" t="s">
        <v>368</v>
      </c>
      <c r="F423" s="294">
        <v>4200000</v>
      </c>
      <c r="G423" s="143" t="str">
        <f t="shared" si="6"/>
        <v>05020350080000244</v>
      </c>
    </row>
    <row r="424" spans="1:7" ht="89.25" x14ac:dyDescent="0.2">
      <c r="A424" s="292" t="s">
        <v>1727</v>
      </c>
      <c r="B424" s="293" t="s">
        <v>214</v>
      </c>
      <c r="C424" s="293" t="s">
        <v>404</v>
      </c>
      <c r="D424" s="293" t="s">
        <v>1728</v>
      </c>
      <c r="E424" s="293" t="s">
        <v>1314</v>
      </c>
      <c r="F424" s="294">
        <v>5728000</v>
      </c>
      <c r="G424" s="143" t="str">
        <f t="shared" si="6"/>
        <v>0502035008Ф000</v>
      </c>
    </row>
    <row r="425" spans="1:7" ht="25.5" x14ac:dyDescent="0.2">
      <c r="A425" s="292" t="s">
        <v>1502</v>
      </c>
      <c r="B425" s="293" t="s">
        <v>214</v>
      </c>
      <c r="C425" s="293" t="s">
        <v>404</v>
      </c>
      <c r="D425" s="293" t="s">
        <v>1728</v>
      </c>
      <c r="E425" s="293" t="s">
        <v>1503</v>
      </c>
      <c r="F425" s="294">
        <v>5728000</v>
      </c>
      <c r="G425" s="143" t="str">
        <f t="shared" si="6"/>
        <v>0502035008Ф000200</v>
      </c>
    </row>
    <row r="426" spans="1:7" ht="25.5" x14ac:dyDescent="0.2">
      <c r="A426" s="292" t="s">
        <v>1338</v>
      </c>
      <c r="B426" s="293" t="s">
        <v>214</v>
      </c>
      <c r="C426" s="293" t="s">
        <v>404</v>
      </c>
      <c r="D426" s="293" t="s">
        <v>1728</v>
      </c>
      <c r="E426" s="293" t="s">
        <v>1339</v>
      </c>
      <c r="F426" s="294">
        <v>5728000</v>
      </c>
      <c r="G426" s="143" t="str">
        <f t="shared" si="6"/>
        <v>0502035008Ф000240</v>
      </c>
    </row>
    <row r="427" spans="1:7" x14ac:dyDescent="0.2">
      <c r="A427" s="292" t="s">
        <v>1379</v>
      </c>
      <c r="B427" s="293" t="s">
        <v>214</v>
      </c>
      <c r="C427" s="293" t="s">
        <v>404</v>
      </c>
      <c r="D427" s="293" t="s">
        <v>1728</v>
      </c>
      <c r="E427" s="293" t="s">
        <v>368</v>
      </c>
      <c r="F427" s="294">
        <v>5728000</v>
      </c>
      <c r="G427" s="143" t="str">
        <f t="shared" si="6"/>
        <v>0502035008Ф000244</v>
      </c>
    </row>
    <row r="428" spans="1:7" ht="204" x14ac:dyDescent="0.2">
      <c r="A428" s="292" t="s">
        <v>1744</v>
      </c>
      <c r="B428" s="293" t="s">
        <v>214</v>
      </c>
      <c r="C428" s="293" t="s">
        <v>404</v>
      </c>
      <c r="D428" s="293" t="s">
        <v>1729</v>
      </c>
      <c r="E428" s="293" t="s">
        <v>1314</v>
      </c>
      <c r="F428" s="294">
        <v>1065216</v>
      </c>
      <c r="G428" s="143" t="str">
        <f t="shared" si="6"/>
        <v>050203500S5710</v>
      </c>
    </row>
    <row r="429" spans="1:7" ht="25.5" x14ac:dyDescent="0.2">
      <c r="A429" s="292" t="s">
        <v>1502</v>
      </c>
      <c r="B429" s="293" t="s">
        <v>214</v>
      </c>
      <c r="C429" s="293" t="s">
        <v>404</v>
      </c>
      <c r="D429" s="293" t="s">
        <v>1729</v>
      </c>
      <c r="E429" s="293" t="s">
        <v>1503</v>
      </c>
      <c r="F429" s="294">
        <v>1065216</v>
      </c>
      <c r="G429" s="143" t="str">
        <f t="shared" si="6"/>
        <v>050203500S5710200</v>
      </c>
    </row>
    <row r="430" spans="1:7" ht="25.5" x14ac:dyDescent="0.2">
      <c r="A430" s="292" t="s">
        <v>1338</v>
      </c>
      <c r="B430" s="293" t="s">
        <v>214</v>
      </c>
      <c r="C430" s="293" t="s">
        <v>404</v>
      </c>
      <c r="D430" s="293" t="s">
        <v>1729</v>
      </c>
      <c r="E430" s="293" t="s">
        <v>1339</v>
      </c>
      <c r="F430" s="294">
        <v>1065216</v>
      </c>
      <c r="G430" s="143" t="str">
        <f t="shared" si="6"/>
        <v>050203500S5710240</v>
      </c>
    </row>
    <row r="431" spans="1:7" ht="25.5" x14ac:dyDescent="0.2">
      <c r="A431" s="292" t="s">
        <v>383</v>
      </c>
      <c r="B431" s="293" t="s">
        <v>214</v>
      </c>
      <c r="C431" s="293" t="s">
        <v>404</v>
      </c>
      <c r="D431" s="293" t="s">
        <v>1729</v>
      </c>
      <c r="E431" s="293" t="s">
        <v>384</v>
      </c>
      <c r="F431" s="294">
        <v>1065216</v>
      </c>
      <c r="G431" s="143" t="str">
        <f t="shared" si="6"/>
        <v>050203500S5710243</v>
      </c>
    </row>
    <row r="432" spans="1:7" ht="25.5" x14ac:dyDescent="0.2">
      <c r="A432" s="292" t="s">
        <v>1535</v>
      </c>
      <c r="B432" s="293" t="s">
        <v>214</v>
      </c>
      <c r="C432" s="293" t="s">
        <v>404</v>
      </c>
      <c r="D432" s="293" t="s">
        <v>1536</v>
      </c>
      <c r="E432" s="293" t="s">
        <v>1314</v>
      </c>
      <c r="F432" s="294">
        <v>539000</v>
      </c>
      <c r="G432" s="143" t="str">
        <f t="shared" ref="G432:G495" si="7">CONCATENATE(C432,D432,E432)</f>
        <v>05020370000000</v>
      </c>
    </row>
    <row r="433" spans="1:7" ht="114.75" x14ac:dyDescent="0.2">
      <c r="A433" s="292" t="s">
        <v>1747</v>
      </c>
      <c r="B433" s="293" t="s">
        <v>214</v>
      </c>
      <c r="C433" s="293" t="s">
        <v>404</v>
      </c>
      <c r="D433" s="293" t="s">
        <v>1537</v>
      </c>
      <c r="E433" s="293" t="s">
        <v>1314</v>
      </c>
      <c r="F433" s="294">
        <v>539000</v>
      </c>
      <c r="G433" s="143" t="str">
        <f t="shared" si="7"/>
        <v>050203700S5720</v>
      </c>
    </row>
    <row r="434" spans="1:7" ht="25.5" x14ac:dyDescent="0.2">
      <c r="A434" s="292" t="s">
        <v>1508</v>
      </c>
      <c r="B434" s="293" t="s">
        <v>214</v>
      </c>
      <c r="C434" s="293" t="s">
        <v>404</v>
      </c>
      <c r="D434" s="293" t="s">
        <v>1537</v>
      </c>
      <c r="E434" s="293" t="s">
        <v>1509</v>
      </c>
      <c r="F434" s="294">
        <v>539000</v>
      </c>
      <c r="G434" s="143" t="str">
        <f t="shared" si="7"/>
        <v>050203700S5720400</v>
      </c>
    </row>
    <row r="435" spans="1:7" x14ac:dyDescent="0.2">
      <c r="A435" s="292" t="s">
        <v>1349</v>
      </c>
      <c r="B435" s="293" t="s">
        <v>214</v>
      </c>
      <c r="C435" s="293" t="s">
        <v>404</v>
      </c>
      <c r="D435" s="293" t="s">
        <v>1537</v>
      </c>
      <c r="E435" s="293" t="s">
        <v>79</v>
      </c>
      <c r="F435" s="294">
        <v>539000</v>
      </c>
      <c r="G435" s="143" t="str">
        <f t="shared" si="7"/>
        <v>050203700S5720410</v>
      </c>
    </row>
    <row r="436" spans="1:7" ht="38.25" x14ac:dyDescent="0.2">
      <c r="A436" s="292" t="s">
        <v>1390</v>
      </c>
      <c r="B436" s="293" t="s">
        <v>214</v>
      </c>
      <c r="C436" s="293" t="s">
        <v>404</v>
      </c>
      <c r="D436" s="293" t="s">
        <v>1537</v>
      </c>
      <c r="E436" s="293" t="s">
        <v>1391</v>
      </c>
      <c r="F436" s="294">
        <v>539000</v>
      </c>
      <c r="G436" s="143" t="str">
        <f t="shared" si="7"/>
        <v>050203700S5720414</v>
      </c>
    </row>
    <row r="437" spans="1:7" ht="25.5" x14ac:dyDescent="0.2">
      <c r="A437" s="292" t="s">
        <v>158</v>
      </c>
      <c r="B437" s="293" t="s">
        <v>214</v>
      </c>
      <c r="C437" s="293" t="s">
        <v>429</v>
      </c>
      <c r="D437" s="293" t="s">
        <v>1314</v>
      </c>
      <c r="E437" s="293" t="s">
        <v>1314</v>
      </c>
      <c r="F437" s="294">
        <v>5626876</v>
      </c>
      <c r="G437" s="143" t="str">
        <f t="shared" si="7"/>
        <v>0505</v>
      </c>
    </row>
    <row r="438" spans="1:7" ht="25.5" x14ac:dyDescent="0.2">
      <c r="A438" s="292" t="s">
        <v>648</v>
      </c>
      <c r="B438" s="293" t="s">
        <v>214</v>
      </c>
      <c r="C438" s="293" t="s">
        <v>429</v>
      </c>
      <c r="D438" s="293" t="s">
        <v>1072</v>
      </c>
      <c r="E438" s="293" t="s">
        <v>1314</v>
      </c>
      <c r="F438" s="294">
        <v>5626876</v>
      </c>
      <c r="G438" s="143" t="str">
        <f t="shared" si="7"/>
        <v>05059000000000</v>
      </c>
    </row>
    <row r="439" spans="1:7" ht="38.25" x14ac:dyDescent="0.2">
      <c r="A439" s="292" t="s">
        <v>430</v>
      </c>
      <c r="B439" s="293" t="s">
        <v>214</v>
      </c>
      <c r="C439" s="293" t="s">
        <v>429</v>
      </c>
      <c r="D439" s="293" t="s">
        <v>1074</v>
      </c>
      <c r="E439" s="293" t="s">
        <v>1314</v>
      </c>
      <c r="F439" s="294">
        <v>5626876</v>
      </c>
      <c r="G439" s="143" t="str">
        <f t="shared" si="7"/>
        <v>05059050000000</v>
      </c>
    </row>
    <row r="440" spans="1:7" ht="38.25" x14ac:dyDescent="0.2">
      <c r="A440" s="292" t="s">
        <v>430</v>
      </c>
      <c r="B440" s="293" t="s">
        <v>214</v>
      </c>
      <c r="C440" s="293" t="s">
        <v>429</v>
      </c>
      <c r="D440" s="293" t="s">
        <v>751</v>
      </c>
      <c r="E440" s="293" t="s">
        <v>1314</v>
      </c>
      <c r="F440" s="294">
        <v>5376876</v>
      </c>
      <c r="G440" s="143" t="str">
        <f t="shared" si="7"/>
        <v>05059050040000</v>
      </c>
    </row>
    <row r="441" spans="1:7" ht="51" x14ac:dyDescent="0.2">
      <c r="A441" s="292" t="s">
        <v>1501</v>
      </c>
      <c r="B441" s="293" t="s">
        <v>214</v>
      </c>
      <c r="C441" s="293" t="s">
        <v>429</v>
      </c>
      <c r="D441" s="293" t="s">
        <v>751</v>
      </c>
      <c r="E441" s="293" t="s">
        <v>290</v>
      </c>
      <c r="F441" s="294">
        <v>5003677</v>
      </c>
      <c r="G441" s="143" t="str">
        <f t="shared" si="7"/>
        <v>05059050040000100</v>
      </c>
    </row>
    <row r="442" spans="1:7" x14ac:dyDescent="0.2">
      <c r="A442" s="292" t="s">
        <v>1331</v>
      </c>
      <c r="B442" s="293" t="s">
        <v>214</v>
      </c>
      <c r="C442" s="293" t="s">
        <v>429</v>
      </c>
      <c r="D442" s="293" t="s">
        <v>751</v>
      </c>
      <c r="E442" s="293" t="s">
        <v>140</v>
      </c>
      <c r="F442" s="294">
        <v>5003677</v>
      </c>
      <c r="G442" s="143" t="str">
        <f t="shared" si="7"/>
        <v>05059050040000110</v>
      </c>
    </row>
    <row r="443" spans="1:7" x14ac:dyDescent="0.2">
      <c r="A443" s="292" t="s">
        <v>1216</v>
      </c>
      <c r="B443" s="293" t="s">
        <v>214</v>
      </c>
      <c r="C443" s="293" t="s">
        <v>429</v>
      </c>
      <c r="D443" s="293" t="s">
        <v>751</v>
      </c>
      <c r="E443" s="293" t="s">
        <v>382</v>
      </c>
      <c r="F443" s="294">
        <v>3781702</v>
      </c>
      <c r="G443" s="143" t="str">
        <f t="shared" si="7"/>
        <v>05059050040000111</v>
      </c>
    </row>
    <row r="444" spans="1:7" ht="25.5" x14ac:dyDescent="0.2">
      <c r="A444" s="292" t="s">
        <v>1225</v>
      </c>
      <c r="B444" s="293" t="s">
        <v>214</v>
      </c>
      <c r="C444" s="293" t="s">
        <v>429</v>
      </c>
      <c r="D444" s="293" t="s">
        <v>751</v>
      </c>
      <c r="E444" s="293" t="s">
        <v>431</v>
      </c>
      <c r="F444" s="294">
        <v>79901</v>
      </c>
      <c r="G444" s="143" t="str">
        <f t="shared" si="7"/>
        <v>05059050040000112</v>
      </c>
    </row>
    <row r="445" spans="1:7" ht="38.25" x14ac:dyDescent="0.2">
      <c r="A445" s="292" t="s">
        <v>1217</v>
      </c>
      <c r="B445" s="293" t="s">
        <v>214</v>
      </c>
      <c r="C445" s="293" t="s">
        <v>429</v>
      </c>
      <c r="D445" s="293" t="s">
        <v>751</v>
      </c>
      <c r="E445" s="293" t="s">
        <v>1117</v>
      </c>
      <c r="F445" s="294">
        <v>1142074</v>
      </c>
      <c r="G445" s="143" t="str">
        <f t="shared" si="7"/>
        <v>05059050040000119</v>
      </c>
    </row>
    <row r="446" spans="1:7" ht="25.5" x14ac:dyDescent="0.2">
      <c r="A446" s="292" t="s">
        <v>1502</v>
      </c>
      <c r="B446" s="293" t="s">
        <v>214</v>
      </c>
      <c r="C446" s="293" t="s">
        <v>429</v>
      </c>
      <c r="D446" s="293" t="s">
        <v>751</v>
      </c>
      <c r="E446" s="293" t="s">
        <v>1503</v>
      </c>
      <c r="F446" s="294">
        <v>373199</v>
      </c>
      <c r="G446" s="143" t="str">
        <f t="shared" si="7"/>
        <v>05059050040000200</v>
      </c>
    </row>
    <row r="447" spans="1:7" ht="25.5" x14ac:dyDescent="0.2">
      <c r="A447" s="292" t="s">
        <v>1338</v>
      </c>
      <c r="B447" s="293" t="s">
        <v>214</v>
      </c>
      <c r="C447" s="293" t="s">
        <v>429</v>
      </c>
      <c r="D447" s="293" t="s">
        <v>751</v>
      </c>
      <c r="E447" s="293" t="s">
        <v>1339</v>
      </c>
      <c r="F447" s="294">
        <v>373199</v>
      </c>
      <c r="G447" s="143" t="str">
        <f t="shared" si="7"/>
        <v>05059050040000240</v>
      </c>
    </row>
    <row r="448" spans="1:7" x14ac:dyDescent="0.2">
      <c r="A448" s="292" t="s">
        <v>1379</v>
      </c>
      <c r="B448" s="293" t="s">
        <v>214</v>
      </c>
      <c r="C448" s="293" t="s">
        <v>429</v>
      </c>
      <c r="D448" s="293" t="s">
        <v>751</v>
      </c>
      <c r="E448" s="293" t="s">
        <v>368</v>
      </c>
      <c r="F448" s="294">
        <v>373199</v>
      </c>
      <c r="G448" s="143" t="str">
        <f t="shared" si="7"/>
        <v>05059050040000244</v>
      </c>
    </row>
    <row r="449" spans="1:7" ht="51" x14ac:dyDescent="0.2">
      <c r="A449" s="292" t="s">
        <v>610</v>
      </c>
      <c r="B449" s="293" t="s">
        <v>214</v>
      </c>
      <c r="C449" s="293" t="s">
        <v>429</v>
      </c>
      <c r="D449" s="293" t="s">
        <v>752</v>
      </c>
      <c r="E449" s="293" t="s">
        <v>1314</v>
      </c>
      <c r="F449" s="294">
        <v>250000</v>
      </c>
      <c r="G449" s="143" t="str">
        <f t="shared" si="7"/>
        <v>05059050047000</v>
      </c>
    </row>
    <row r="450" spans="1:7" ht="51" x14ac:dyDescent="0.2">
      <c r="A450" s="292" t="s">
        <v>1501</v>
      </c>
      <c r="B450" s="293" t="s">
        <v>214</v>
      </c>
      <c r="C450" s="293" t="s">
        <v>429</v>
      </c>
      <c r="D450" s="293" t="s">
        <v>752</v>
      </c>
      <c r="E450" s="293" t="s">
        <v>290</v>
      </c>
      <c r="F450" s="294">
        <v>250000</v>
      </c>
      <c r="G450" s="143" t="str">
        <f t="shared" si="7"/>
        <v>05059050047000100</v>
      </c>
    </row>
    <row r="451" spans="1:7" x14ac:dyDescent="0.2">
      <c r="A451" s="292" t="s">
        <v>1331</v>
      </c>
      <c r="B451" s="293" t="s">
        <v>214</v>
      </c>
      <c r="C451" s="293" t="s">
        <v>429</v>
      </c>
      <c r="D451" s="293" t="s">
        <v>752</v>
      </c>
      <c r="E451" s="293" t="s">
        <v>140</v>
      </c>
      <c r="F451" s="294">
        <v>250000</v>
      </c>
      <c r="G451" s="143" t="str">
        <f t="shared" si="7"/>
        <v>05059050047000110</v>
      </c>
    </row>
    <row r="452" spans="1:7" ht="25.5" x14ac:dyDescent="0.2">
      <c r="A452" s="292" t="s">
        <v>1225</v>
      </c>
      <c r="B452" s="293" t="s">
        <v>214</v>
      </c>
      <c r="C452" s="293" t="s">
        <v>429</v>
      </c>
      <c r="D452" s="293" t="s">
        <v>752</v>
      </c>
      <c r="E452" s="293" t="s">
        <v>431</v>
      </c>
      <c r="F452" s="294">
        <v>250000</v>
      </c>
      <c r="G452" s="143" t="str">
        <f t="shared" si="7"/>
        <v>05059050047000112</v>
      </c>
    </row>
    <row r="453" spans="1:7" x14ac:dyDescent="0.2">
      <c r="A453" s="292" t="s">
        <v>1938</v>
      </c>
      <c r="B453" s="293" t="s">
        <v>214</v>
      </c>
      <c r="C453" s="293" t="s">
        <v>1939</v>
      </c>
      <c r="D453" s="293" t="s">
        <v>1314</v>
      </c>
      <c r="E453" s="293" t="s">
        <v>1314</v>
      </c>
      <c r="F453" s="294">
        <v>200000</v>
      </c>
      <c r="G453" s="143" t="str">
        <f t="shared" si="7"/>
        <v>0600</v>
      </c>
    </row>
    <row r="454" spans="1:7" x14ac:dyDescent="0.2">
      <c r="A454" s="292" t="s">
        <v>1940</v>
      </c>
      <c r="B454" s="293" t="s">
        <v>214</v>
      </c>
      <c r="C454" s="293" t="s">
        <v>1941</v>
      </c>
      <c r="D454" s="293" t="s">
        <v>1314</v>
      </c>
      <c r="E454" s="293" t="s">
        <v>1314</v>
      </c>
      <c r="F454" s="303">
        <v>200000</v>
      </c>
      <c r="G454" s="143" t="str">
        <f t="shared" si="7"/>
        <v>0605</v>
      </c>
    </row>
    <row r="455" spans="1:7" ht="25.5" x14ac:dyDescent="0.2">
      <c r="A455" s="292" t="s">
        <v>2037</v>
      </c>
      <c r="B455" s="293" t="s">
        <v>214</v>
      </c>
      <c r="C455" s="293" t="s">
        <v>1941</v>
      </c>
      <c r="D455" s="293" t="s">
        <v>2038</v>
      </c>
      <c r="E455" s="293" t="s">
        <v>1314</v>
      </c>
      <c r="F455" s="303">
        <v>200000</v>
      </c>
      <c r="G455" s="143" t="str">
        <f t="shared" si="7"/>
        <v>06050200000000</v>
      </c>
    </row>
    <row r="456" spans="1:7" ht="25.5" x14ac:dyDescent="0.2">
      <c r="A456" s="292" t="s">
        <v>879</v>
      </c>
      <c r="B456" s="293" t="s">
        <v>214</v>
      </c>
      <c r="C456" s="293" t="s">
        <v>1941</v>
      </c>
      <c r="D456" s="293" t="s">
        <v>2039</v>
      </c>
      <c r="E456" s="293" t="s">
        <v>1314</v>
      </c>
      <c r="F456" s="303">
        <v>200000</v>
      </c>
      <c r="G456" s="143" t="str">
        <f t="shared" si="7"/>
        <v>06050210000000</v>
      </c>
    </row>
    <row r="457" spans="1:7" ht="63.75" x14ac:dyDescent="0.2">
      <c r="A457" s="292" t="s">
        <v>2058</v>
      </c>
      <c r="B457" s="293" t="s">
        <v>214</v>
      </c>
      <c r="C457" s="293" t="s">
        <v>1941</v>
      </c>
      <c r="D457" s="293" t="s">
        <v>2059</v>
      </c>
      <c r="E457" s="293" t="s">
        <v>1314</v>
      </c>
      <c r="F457" s="303">
        <v>200000</v>
      </c>
      <c r="G457" s="143" t="str">
        <f t="shared" si="7"/>
        <v>060502100S4940</v>
      </c>
    </row>
    <row r="458" spans="1:7" ht="25.5" x14ac:dyDescent="0.2">
      <c r="A458" s="292" t="s">
        <v>1502</v>
      </c>
      <c r="B458" s="293" t="s">
        <v>214</v>
      </c>
      <c r="C458" s="293" t="s">
        <v>1941</v>
      </c>
      <c r="D458" s="293" t="s">
        <v>2059</v>
      </c>
      <c r="E458" s="293" t="s">
        <v>1503</v>
      </c>
      <c r="F458" s="294">
        <v>200000</v>
      </c>
      <c r="G458" s="143" t="str">
        <f t="shared" si="7"/>
        <v>060502100S4940200</v>
      </c>
    </row>
    <row r="459" spans="1:7" ht="25.5" x14ac:dyDescent="0.2">
      <c r="A459" s="292" t="s">
        <v>1338</v>
      </c>
      <c r="B459" s="293" t="s">
        <v>214</v>
      </c>
      <c r="C459" s="293" t="s">
        <v>1941</v>
      </c>
      <c r="D459" s="293" t="s">
        <v>2059</v>
      </c>
      <c r="E459" s="293" t="s">
        <v>1339</v>
      </c>
      <c r="F459" s="294">
        <v>200000</v>
      </c>
      <c r="G459" s="143" t="str">
        <f t="shared" si="7"/>
        <v>060502100S4940240</v>
      </c>
    </row>
    <row r="460" spans="1:7" x14ac:dyDescent="0.2">
      <c r="A460" s="292" t="s">
        <v>1379</v>
      </c>
      <c r="B460" s="293" t="s">
        <v>214</v>
      </c>
      <c r="C460" s="293" t="s">
        <v>1941</v>
      </c>
      <c r="D460" s="293" t="s">
        <v>2059</v>
      </c>
      <c r="E460" s="293" t="s">
        <v>368</v>
      </c>
      <c r="F460" s="294">
        <v>200000</v>
      </c>
      <c r="G460" s="143" t="str">
        <f t="shared" si="7"/>
        <v>060502100S4940244</v>
      </c>
    </row>
    <row r="461" spans="1:7" ht="38.25" x14ac:dyDescent="0.2">
      <c r="A461" s="292" t="s">
        <v>1538</v>
      </c>
      <c r="B461" s="293" t="s">
        <v>246</v>
      </c>
      <c r="C461" s="293" t="s">
        <v>1314</v>
      </c>
      <c r="D461" s="293" t="s">
        <v>1314</v>
      </c>
      <c r="E461" s="293" t="s">
        <v>1314</v>
      </c>
      <c r="F461" s="294">
        <v>286578300</v>
      </c>
      <c r="G461" s="143" t="str">
        <f t="shared" si="7"/>
        <v/>
      </c>
    </row>
    <row r="462" spans="1:7" x14ac:dyDescent="0.2">
      <c r="A462" s="292" t="s">
        <v>147</v>
      </c>
      <c r="B462" s="293" t="s">
        <v>246</v>
      </c>
      <c r="C462" s="293" t="s">
        <v>1220</v>
      </c>
      <c r="D462" s="293" t="s">
        <v>1314</v>
      </c>
      <c r="E462" s="293" t="s">
        <v>1314</v>
      </c>
      <c r="F462" s="294">
        <v>57259612</v>
      </c>
      <c r="G462" s="143" t="str">
        <f t="shared" si="7"/>
        <v>0700</v>
      </c>
    </row>
    <row r="463" spans="1:7" x14ac:dyDescent="0.2">
      <c r="A463" s="292" t="s">
        <v>1147</v>
      </c>
      <c r="B463" s="293" t="s">
        <v>246</v>
      </c>
      <c r="C463" s="293" t="s">
        <v>1148</v>
      </c>
      <c r="D463" s="293" t="s">
        <v>1314</v>
      </c>
      <c r="E463" s="293" t="s">
        <v>1314</v>
      </c>
      <c r="F463" s="294">
        <v>46679179</v>
      </c>
      <c r="G463" s="143" t="str">
        <f t="shared" si="7"/>
        <v>0703</v>
      </c>
    </row>
    <row r="464" spans="1:7" ht="25.5" x14ac:dyDescent="0.2">
      <c r="A464" s="292" t="s">
        <v>502</v>
      </c>
      <c r="B464" s="293" t="s">
        <v>246</v>
      </c>
      <c r="C464" s="293" t="s">
        <v>1148</v>
      </c>
      <c r="D464" s="293" t="s">
        <v>1041</v>
      </c>
      <c r="E464" s="293" t="s">
        <v>1314</v>
      </c>
      <c r="F464" s="294">
        <v>46679179</v>
      </c>
      <c r="G464" s="143" t="str">
        <f t="shared" si="7"/>
        <v>07030500000000</v>
      </c>
    </row>
    <row r="465" spans="1:7" x14ac:dyDescent="0.2">
      <c r="A465" s="292" t="s">
        <v>641</v>
      </c>
      <c r="B465" s="293" t="s">
        <v>246</v>
      </c>
      <c r="C465" s="293" t="s">
        <v>1148</v>
      </c>
      <c r="D465" s="293" t="s">
        <v>1043</v>
      </c>
      <c r="E465" s="293" t="s">
        <v>1314</v>
      </c>
      <c r="F465" s="294">
        <v>150000</v>
      </c>
      <c r="G465" s="143" t="str">
        <f t="shared" si="7"/>
        <v>07030520000000</v>
      </c>
    </row>
    <row r="466" spans="1:7" ht="51" x14ac:dyDescent="0.2">
      <c r="A466" s="292" t="s">
        <v>550</v>
      </c>
      <c r="B466" s="293" t="s">
        <v>246</v>
      </c>
      <c r="C466" s="293" t="s">
        <v>1148</v>
      </c>
      <c r="D466" s="293" t="s">
        <v>759</v>
      </c>
      <c r="E466" s="293" t="s">
        <v>1314</v>
      </c>
      <c r="F466" s="294">
        <v>150000</v>
      </c>
      <c r="G466" s="143" t="str">
        <f t="shared" si="7"/>
        <v>07030520080520</v>
      </c>
    </row>
    <row r="467" spans="1:7" ht="25.5" x14ac:dyDescent="0.2">
      <c r="A467" s="292" t="s">
        <v>1510</v>
      </c>
      <c r="B467" s="293" t="s">
        <v>246</v>
      </c>
      <c r="C467" s="293" t="s">
        <v>1148</v>
      </c>
      <c r="D467" s="293" t="s">
        <v>759</v>
      </c>
      <c r="E467" s="293" t="s">
        <v>1511</v>
      </c>
      <c r="F467" s="294">
        <v>150000</v>
      </c>
      <c r="G467" s="143" t="str">
        <f t="shared" si="7"/>
        <v>07030520080520600</v>
      </c>
    </row>
    <row r="468" spans="1:7" x14ac:dyDescent="0.2">
      <c r="A468" s="292" t="s">
        <v>1340</v>
      </c>
      <c r="B468" s="293" t="s">
        <v>246</v>
      </c>
      <c r="C468" s="293" t="s">
        <v>1148</v>
      </c>
      <c r="D468" s="293" t="s">
        <v>759</v>
      </c>
      <c r="E468" s="293" t="s">
        <v>1341</v>
      </c>
      <c r="F468" s="294">
        <v>150000</v>
      </c>
      <c r="G468" s="143" t="str">
        <f t="shared" si="7"/>
        <v>07030520080520610</v>
      </c>
    </row>
    <row r="469" spans="1:7" x14ac:dyDescent="0.2">
      <c r="A469" s="292" t="s">
        <v>406</v>
      </c>
      <c r="B469" s="293" t="s">
        <v>246</v>
      </c>
      <c r="C469" s="293" t="s">
        <v>1148</v>
      </c>
      <c r="D469" s="293" t="s">
        <v>759</v>
      </c>
      <c r="E469" s="293" t="s">
        <v>407</v>
      </c>
      <c r="F469" s="294">
        <v>150000</v>
      </c>
      <c r="G469" s="143" t="str">
        <f t="shared" si="7"/>
        <v>07030520080520612</v>
      </c>
    </row>
    <row r="470" spans="1:7" ht="25.5" x14ac:dyDescent="0.2">
      <c r="A470" s="292" t="s">
        <v>642</v>
      </c>
      <c r="B470" s="293" t="s">
        <v>246</v>
      </c>
      <c r="C470" s="293" t="s">
        <v>1148</v>
      </c>
      <c r="D470" s="293" t="s">
        <v>1044</v>
      </c>
      <c r="E470" s="293" t="s">
        <v>1314</v>
      </c>
      <c r="F470" s="294">
        <v>46529179</v>
      </c>
      <c r="G470" s="143" t="str">
        <f t="shared" si="7"/>
        <v>07030530000000</v>
      </c>
    </row>
    <row r="471" spans="1:7" ht="102" x14ac:dyDescent="0.2">
      <c r="A471" s="292" t="s">
        <v>551</v>
      </c>
      <c r="B471" s="293" t="s">
        <v>246</v>
      </c>
      <c r="C471" s="293" t="s">
        <v>1148</v>
      </c>
      <c r="D471" s="293" t="s">
        <v>760</v>
      </c>
      <c r="E471" s="293" t="s">
        <v>1314</v>
      </c>
      <c r="F471" s="294">
        <v>36207429</v>
      </c>
      <c r="G471" s="143" t="str">
        <f t="shared" si="7"/>
        <v>07030530040000</v>
      </c>
    </row>
    <row r="472" spans="1:7" ht="25.5" x14ac:dyDescent="0.2">
      <c r="A472" s="292" t="s">
        <v>1510</v>
      </c>
      <c r="B472" s="293" t="s">
        <v>246</v>
      </c>
      <c r="C472" s="293" t="s">
        <v>1148</v>
      </c>
      <c r="D472" s="293" t="s">
        <v>760</v>
      </c>
      <c r="E472" s="293" t="s">
        <v>1511</v>
      </c>
      <c r="F472" s="294">
        <v>36207429</v>
      </c>
      <c r="G472" s="143" t="str">
        <f t="shared" si="7"/>
        <v>07030530040000600</v>
      </c>
    </row>
    <row r="473" spans="1:7" x14ac:dyDescent="0.2">
      <c r="A473" s="292" t="s">
        <v>1340</v>
      </c>
      <c r="B473" s="293" t="s">
        <v>246</v>
      </c>
      <c r="C473" s="293" t="s">
        <v>1148</v>
      </c>
      <c r="D473" s="293" t="s">
        <v>760</v>
      </c>
      <c r="E473" s="293" t="s">
        <v>1341</v>
      </c>
      <c r="F473" s="294">
        <v>36207429</v>
      </c>
      <c r="G473" s="143" t="str">
        <f t="shared" si="7"/>
        <v>07030530040000610</v>
      </c>
    </row>
    <row r="474" spans="1:7" ht="51" x14ac:dyDescent="0.2">
      <c r="A474" s="292" t="s">
        <v>387</v>
      </c>
      <c r="B474" s="293" t="s">
        <v>246</v>
      </c>
      <c r="C474" s="293" t="s">
        <v>1148</v>
      </c>
      <c r="D474" s="293" t="s">
        <v>760</v>
      </c>
      <c r="E474" s="293" t="s">
        <v>388</v>
      </c>
      <c r="F474" s="294">
        <v>36207429</v>
      </c>
      <c r="G474" s="143" t="str">
        <f t="shared" si="7"/>
        <v>07030530040000611</v>
      </c>
    </row>
    <row r="475" spans="1:7" ht="127.5" x14ac:dyDescent="0.2">
      <c r="A475" s="292" t="s">
        <v>552</v>
      </c>
      <c r="B475" s="293" t="s">
        <v>246</v>
      </c>
      <c r="C475" s="293" t="s">
        <v>1148</v>
      </c>
      <c r="D475" s="293" t="s">
        <v>761</v>
      </c>
      <c r="E475" s="293" t="s">
        <v>1314</v>
      </c>
      <c r="F475" s="294">
        <v>6052400</v>
      </c>
      <c r="G475" s="143" t="str">
        <f t="shared" si="7"/>
        <v>07030530041000</v>
      </c>
    </row>
    <row r="476" spans="1:7" ht="25.5" x14ac:dyDescent="0.2">
      <c r="A476" s="292" t="s">
        <v>1510</v>
      </c>
      <c r="B476" s="293" t="s">
        <v>246</v>
      </c>
      <c r="C476" s="293" t="s">
        <v>1148</v>
      </c>
      <c r="D476" s="293" t="s">
        <v>761</v>
      </c>
      <c r="E476" s="293" t="s">
        <v>1511</v>
      </c>
      <c r="F476" s="294">
        <v>6052400</v>
      </c>
      <c r="G476" s="143" t="str">
        <f t="shared" si="7"/>
        <v>07030530041000600</v>
      </c>
    </row>
    <row r="477" spans="1:7" x14ac:dyDescent="0.2">
      <c r="A477" s="292" t="s">
        <v>1340</v>
      </c>
      <c r="B477" s="293" t="s">
        <v>246</v>
      </c>
      <c r="C477" s="293" t="s">
        <v>1148</v>
      </c>
      <c r="D477" s="293" t="s">
        <v>761</v>
      </c>
      <c r="E477" s="293" t="s">
        <v>1341</v>
      </c>
      <c r="F477" s="294">
        <v>6052400</v>
      </c>
      <c r="G477" s="143" t="str">
        <f t="shared" si="7"/>
        <v>07030530041000610</v>
      </c>
    </row>
    <row r="478" spans="1:7" ht="51" x14ac:dyDescent="0.2">
      <c r="A478" s="292" t="s">
        <v>387</v>
      </c>
      <c r="B478" s="293" t="s">
        <v>246</v>
      </c>
      <c r="C478" s="293" t="s">
        <v>1148</v>
      </c>
      <c r="D478" s="293" t="s">
        <v>761</v>
      </c>
      <c r="E478" s="293" t="s">
        <v>388</v>
      </c>
      <c r="F478" s="294">
        <v>6052400</v>
      </c>
      <c r="G478" s="143" t="str">
        <f t="shared" si="7"/>
        <v>07030530041000611</v>
      </c>
    </row>
    <row r="479" spans="1:7" ht="102" x14ac:dyDescent="0.2">
      <c r="A479" s="292" t="s">
        <v>613</v>
      </c>
      <c r="B479" s="293" t="s">
        <v>246</v>
      </c>
      <c r="C479" s="293" t="s">
        <v>1148</v>
      </c>
      <c r="D479" s="293" t="s">
        <v>762</v>
      </c>
      <c r="E479" s="293" t="s">
        <v>1314</v>
      </c>
      <c r="F479" s="294">
        <v>217112</v>
      </c>
      <c r="G479" s="143" t="str">
        <f t="shared" si="7"/>
        <v>07030530045000</v>
      </c>
    </row>
    <row r="480" spans="1:7" ht="25.5" x14ac:dyDescent="0.2">
      <c r="A480" s="292" t="s">
        <v>1510</v>
      </c>
      <c r="B480" s="293" t="s">
        <v>246</v>
      </c>
      <c r="C480" s="293" t="s">
        <v>1148</v>
      </c>
      <c r="D480" s="293" t="s">
        <v>762</v>
      </c>
      <c r="E480" s="293" t="s">
        <v>1511</v>
      </c>
      <c r="F480" s="294">
        <v>217112</v>
      </c>
      <c r="G480" s="143" t="str">
        <f t="shared" si="7"/>
        <v>07030530045000600</v>
      </c>
    </row>
    <row r="481" spans="1:7" x14ac:dyDescent="0.2">
      <c r="A481" s="292" t="s">
        <v>1340</v>
      </c>
      <c r="B481" s="293" t="s">
        <v>246</v>
      </c>
      <c r="C481" s="293" t="s">
        <v>1148</v>
      </c>
      <c r="D481" s="293" t="s">
        <v>762</v>
      </c>
      <c r="E481" s="293" t="s">
        <v>1341</v>
      </c>
      <c r="F481" s="294">
        <v>217112</v>
      </c>
      <c r="G481" s="143" t="str">
        <f t="shared" si="7"/>
        <v>07030530045000610</v>
      </c>
    </row>
    <row r="482" spans="1:7" ht="51" x14ac:dyDescent="0.2">
      <c r="A482" s="292" t="s">
        <v>387</v>
      </c>
      <c r="B482" s="293" t="s">
        <v>246</v>
      </c>
      <c r="C482" s="293" t="s">
        <v>1148</v>
      </c>
      <c r="D482" s="293" t="s">
        <v>762</v>
      </c>
      <c r="E482" s="293" t="s">
        <v>388</v>
      </c>
      <c r="F482" s="294">
        <v>217112</v>
      </c>
      <c r="G482" s="143" t="str">
        <f t="shared" si="7"/>
        <v>07030530045000611</v>
      </c>
    </row>
    <row r="483" spans="1:7" ht="89.25" x14ac:dyDescent="0.2">
      <c r="A483" s="292" t="s">
        <v>553</v>
      </c>
      <c r="B483" s="293" t="s">
        <v>246</v>
      </c>
      <c r="C483" s="293" t="s">
        <v>1148</v>
      </c>
      <c r="D483" s="293" t="s">
        <v>763</v>
      </c>
      <c r="E483" s="293" t="s">
        <v>1314</v>
      </c>
      <c r="F483" s="294">
        <v>605000</v>
      </c>
      <c r="G483" s="143" t="str">
        <f t="shared" si="7"/>
        <v>07030530047000</v>
      </c>
    </row>
    <row r="484" spans="1:7" ht="25.5" x14ac:dyDescent="0.2">
      <c r="A484" s="292" t="s">
        <v>1510</v>
      </c>
      <c r="B484" s="293" t="s">
        <v>246</v>
      </c>
      <c r="C484" s="293" t="s">
        <v>1148</v>
      </c>
      <c r="D484" s="293" t="s">
        <v>763</v>
      </c>
      <c r="E484" s="293" t="s">
        <v>1511</v>
      </c>
      <c r="F484" s="303">
        <v>605000</v>
      </c>
      <c r="G484" s="143" t="str">
        <f t="shared" si="7"/>
        <v>07030530047000600</v>
      </c>
    </row>
    <row r="485" spans="1:7" x14ac:dyDescent="0.2">
      <c r="A485" s="292" t="s">
        <v>1340</v>
      </c>
      <c r="B485" s="293" t="s">
        <v>246</v>
      </c>
      <c r="C485" s="293" t="s">
        <v>1148</v>
      </c>
      <c r="D485" s="293" t="s">
        <v>763</v>
      </c>
      <c r="E485" s="293" t="s">
        <v>1341</v>
      </c>
      <c r="F485" s="303">
        <v>605000</v>
      </c>
      <c r="G485" s="143" t="str">
        <f t="shared" si="7"/>
        <v>07030530047000610</v>
      </c>
    </row>
    <row r="486" spans="1:7" x14ac:dyDescent="0.2">
      <c r="A486" s="292" t="s">
        <v>406</v>
      </c>
      <c r="B486" s="293" t="s">
        <v>246</v>
      </c>
      <c r="C486" s="293" t="s">
        <v>1148</v>
      </c>
      <c r="D486" s="293" t="s">
        <v>763</v>
      </c>
      <c r="E486" s="293" t="s">
        <v>407</v>
      </c>
      <c r="F486" s="303">
        <v>605000</v>
      </c>
      <c r="G486" s="143" t="str">
        <f t="shared" si="7"/>
        <v>07030530047000612</v>
      </c>
    </row>
    <row r="487" spans="1:7" ht="89.25" x14ac:dyDescent="0.2">
      <c r="A487" s="292" t="s">
        <v>614</v>
      </c>
      <c r="B487" s="293" t="s">
        <v>246</v>
      </c>
      <c r="C487" s="293" t="s">
        <v>1148</v>
      </c>
      <c r="D487" s="293" t="s">
        <v>764</v>
      </c>
      <c r="E487" s="293" t="s">
        <v>1314</v>
      </c>
      <c r="F487" s="303">
        <v>3017238</v>
      </c>
      <c r="G487" s="143" t="str">
        <f t="shared" si="7"/>
        <v>0703053004Г000</v>
      </c>
    </row>
    <row r="488" spans="1:7" ht="25.5" x14ac:dyDescent="0.2">
      <c r="A488" s="292" t="s">
        <v>1510</v>
      </c>
      <c r="B488" s="293" t="s">
        <v>246</v>
      </c>
      <c r="C488" s="293" t="s">
        <v>1148</v>
      </c>
      <c r="D488" s="293" t="s">
        <v>764</v>
      </c>
      <c r="E488" s="293" t="s">
        <v>1511</v>
      </c>
      <c r="F488" s="294">
        <v>3017238</v>
      </c>
      <c r="G488" s="143" t="str">
        <f t="shared" si="7"/>
        <v>0703053004Г000600</v>
      </c>
    </row>
    <row r="489" spans="1:7" x14ac:dyDescent="0.2">
      <c r="A489" s="292" t="s">
        <v>1340</v>
      </c>
      <c r="B489" s="293" t="s">
        <v>246</v>
      </c>
      <c r="C489" s="293" t="s">
        <v>1148</v>
      </c>
      <c r="D489" s="293" t="s">
        <v>764</v>
      </c>
      <c r="E489" s="293" t="s">
        <v>1341</v>
      </c>
      <c r="F489" s="294">
        <v>3017238</v>
      </c>
      <c r="G489" s="143" t="str">
        <f t="shared" si="7"/>
        <v>0703053004Г000610</v>
      </c>
    </row>
    <row r="490" spans="1:7" ht="51" x14ac:dyDescent="0.2">
      <c r="A490" s="292" t="s">
        <v>387</v>
      </c>
      <c r="B490" s="293" t="s">
        <v>246</v>
      </c>
      <c r="C490" s="293" t="s">
        <v>1148</v>
      </c>
      <c r="D490" s="293" t="s">
        <v>764</v>
      </c>
      <c r="E490" s="293" t="s">
        <v>388</v>
      </c>
      <c r="F490" s="294">
        <v>3017238</v>
      </c>
      <c r="G490" s="143" t="str">
        <f t="shared" si="7"/>
        <v>0703053004Г000611</v>
      </c>
    </row>
    <row r="491" spans="1:7" ht="63.75" x14ac:dyDescent="0.2">
      <c r="A491" s="292" t="s">
        <v>1910</v>
      </c>
      <c r="B491" s="293" t="s">
        <v>246</v>
      </c>
      <c r="C491" s="293" t="s">
        <v>1148</v>
      </c>
      <c r="D491" s="293" t="s">
        <v>1911</v>
      </c>
      <c r="E491" s="293" t="s">
        <v>1314</v>
      </c>
      <c r="F491" s="294">
        <v>49000</v>
      </c>
      <c r="G491" s="143" t="str">
        <f t="shared" si="7"/>
        <v>0703053004М000</v>
      </c>
    </row>
    <row r="492" spans="1:7" ht="25.5" x14ac:dyDescent="0.2">
      <c r="A492" s="292" t="s">
        <v>1510</v>
      </c>
      <c r="B492" s="293" t="s">
        <v>246</v>
      </c>
      <c r="C492" s="293" t="s">
        <v>1148</v>
      </c>
      <c r="D492" s="293" t="s">
        <v>1911</v>
      </c>
      <c r="E492" s="293" t="s">
        <v>1511</v>
      </c>
      <c r="F492" s="294">
        <v>49000</v>
      </c>
      <c r="G492" s="143" t="str">
        <f t="shared" si="7"/>
        <v>0703053004М000600</v>
      </c>
    </row>
    <row r="493" spans="1:7" x14ac:dyDescent="0.2">
      <c r="A493" s="292" t="s">
        <v>1340</v>
      </c>
      <c r="B493" s="293" t="s">
        <v>246</v>
      </c>
      <c r="C493" s="293" t="s">
        <v>1148</v>
      </c>
      <c r="D493" s="293" t="s">
        <v>1911</v>
      </c>
      <c r="E493" s="293" t="s">
        <v>1341</v>
      </c>
      <c r="F493" s="294">
        <v>49000</v>
      </c>
      <c r="G493" s="143" t="str">
        <f t="shared" si="7"/>
        <v>0703053004М000610</v>
      </c>
    </row>
    <row r="494" spans="1:7" ht="51" x14ac:dyDescent="0.2">
      <c r="A494" s="292" t="s">
        <v>387</v>
      </c>
      <c r="B494" s="293" t="s">
        <v>246</v>
      </c>
      <c r="C494" s="293" t="s">
        <v>1148</v>
      </c>
      <c r="D494" s="293" t="s">
        <v>1911</v>
      </c>
      <c r="E494" s="293" t="s">
        <v>388</v>
      </c>
      <c r="F494" s="303">
        <v>49000</v>
      </c>
      <c r="G494" s="143" t="str">
        <f t="shared" si="7"/>
        <v>0703053004М000611</v>
      </c>
    </row>
    <row r="495" spans="1:7" ht="89.25" x14ac:dyDescent="0.2">
      <c r="A495" s="292" t="s">
        <v>1016</v>
      </c>
      <c r="B495" s="293" t="s">
        <v>246</v>
      </c>
      <c r="C495" s="293" t="s">
        <v>1148</v>
      </c>
      <c r="D495" s="293" t="s">
        <v>1017</v>
      </c>
      <c r="E495" s="293" t="s">
        <v>1314</v>
      </c>
      <c r="F495" s="294">
        <v>381000</v>
      </c>
      <c r="G495" s="143" t="str">
        <f t="shared" si="7"/>
        <v>0703053004Э000</v>
      </c>
    </row>
    <row r="496" spans="1:7" ht="25.5" x14ac:dyDescent="0.2">
      <c r="A496" s="292" t="s">
        <v>1510</v>
      </c>
      <c r="B496" s="293" t="s">
        <v>246</v>
      </c>
      <c r="C496" s="293" t="s">
        <v>1148</v>
      </c>
      <c r="D496" s="293" t="s">
        <v>1017</v>
      </c>
      <c r="E496" s="293" t="s">
        <v>1511</v>
      </c>
      <c r="F496" s="294">
        <v>381000</v>
      </c>
      <c r="G496" s="143" t="str">
        <f t="shared" ref="G496:G559" si="8">CONCATENATE(C496,D496,E496)</f>
        <v>0703053004Э000600</v>
      </c>
    </row>
    <row r="497" spans="1:7" x14ac:dyDescent="0.2">
      <c r="A497" s="292" t="s">
        <v>1340</v>
      </c>
      <c r="B497" s="293" t="s">
        <v>246</v>
      </c>
      <c r="C497" s="293" t="s">
        <v>1148</v>
      </c>
      <c r="D497" s="293" t="s">
        <v>1017</v>
      </c>
      <c r="E497" s="293" t="s">
        <v>1341</v>
      </c>
      <c r="F497" s="294">
        <v>381000</v>
      </c>
      <c r="G497" s="143" t="str">
        <f t="shared" si="8"/>
        <v>0703053004Э000610</v>
      </c>
    </row>
    <row r="498" spans="1:7" ht="51" x14ac:dyDescent="0.2">
      <c r="A498" s="292" t="s">
        <v>387</v>
      </c>
      <c r="B498" s="293" t="s">
        <v>246</v>
      </c>
      <c r="C498" s="293" t="s">
        <v>1148</v>
      </c>
      <c r="D498" s="293" t="s">
        <v>1017</v>
      </c>
      <c r="E498" s="293" t="s">
        <v>388</v>
      </c>
      <c r="F498" s="294">
        <v>381000</v>
      </c>
      <c r="G498" s="143" t="str">
        <f t="shared" si="8"/>
        <v>0703053004Э000611</v>
      </c>
    </row>
    <row r="499" spans="1:7" x14ac:dyDescent="0.2">
      <c r="A499" s="292" t="s">
        <v>1145</v>
      </c>
      <c r="B499" s="293" t="s">
        <v>246</v>
      </c>
      <c r="C499" s="293" t="s">
        <v>405</v>
      </c>
      <c r="D499" s="293" t="s">
        <v>1314</v>
      </c>
      <c r="E499" s="293" t="s">
        <v>1314</v>
      </c>
      <c r="F499" s="294">
        <v>10580433</v>
      </c>
      <c r="G499" s="143" t="str">
        <f t="shared" si="8"/>
        <v>0707</v>
      </c>
    </row>
    <row r="500" spans="1:7" x14ac:dyDescent="0.2">
      <c r="A500" s="292" t="s">
        <v>507</v>
      </c>
      <c r="B500" s="293" t="s">
        <v>246</v>
      </c>
      <c r="C500" s="293" t="s">
        <v>405</v>
      </c>
      <c r="D500" s="293" t="s">
        <v>1045</v>
      </c>
      <c r="E500" s="293" t="s">
        <v>1314</v>
      </c>
      <c r="F500" s="294">
        <v>10580433</v>
      </c>
      <c r="G500" s="143" t="str">
        <f t="shared" si="8"/>
        <v>07070600000000</v>
      </c>
    </row>
    <row r="501" spans="1:7" ht="25.5" x14ac:dyDescent="0.2">
      <c r="A501" s="292" t="s">
        <v>508</v>
      </c>
      <c r="B501" s="293" t="s">
        <v>246</v>
      </c>
      <c r="C501" s="293" t="s">
        <v>405</v>
      </c>
      <c r="D501" s="293" t="s">
        <v>1046</v>
      </c>
      <c r="E501" s="293" t="s">
        <v>1314</v>
      </c>
      <c r="F501" s="294">
        <v>538350</v>
      </c>
      <c r="G501" s="143" t="str">
        <f t="shared" si="8"/>
        <v>07070610000000</v>
      </c>
    </row>
    <row r="502" spans="1:7" ht="51" x14ac:dyDescent="0.2">
      <c r="A502" s="292" t="s">
        <v>1014</v>
      </c>
      <c r="B502" s="293" t="s">
        <v>246</v>
      </c>
      <c r="C502" s="293" t="s">
        <v>405</v>
      </c>
      <c r="D502" s="293" t="s">
        <v>1015</v>
      </c>
      <c r="E502" s="293" t="s">
        <v>1314</v>
      </c>
      <c r="F502" s="294">
        <v>50000</v>
      </c>
      <c r="G502" s="143" t="str">
        <f t="shared" si="8"/>
        <v>07070610080000</v>
      </c>
    </row>
    <row r="503" spans="1:7" ht="25.5" x14ac:dyDescent="0.2">
      <c r="A503" s="292" t="s">
        <v>1510</v>
      </c>
      <c r="B503" s="293" t="s">
        <v>246</v>
      </c>
      <c r="C503" s="293" t="s">
        <v>405</v>
      </c>
      <c r="D503" s="293" t="s">
        <v>1015</v>
      </c>
      <c r="E503" s="293" t="s">
        <v>1511</v>
      </c>
      <c r="F503" s="294">
        <v>50000</v>
      </c>
      <c r="G503" s="143" t="str">
        <f t="shared" si="8"/>
        <v>07070610080000600</v>
      </c>
    </row>
    <row r="504" spans="1:7" x14ac:dyDescent="0.2">
      <c r="A504" s="292" t="s">
        <v>1340</v>
      </c>
      <c r="B504" s="293" t="s">
        <v>246</v>
      </c>
      <c r="C504" s="293" t="s">
        <v>405</v>
      </c>
      <c r="D504" s="293" t="s">
        <v>1015</v>
      </c>
      <c r="E504" s="293" t="s">
        <v>1341</v>
      </c>
      <c r="F504" s="294">
        <v>50000</v>
      </c>
      <c r="G504" s="143" t="str">
        <f t="shared" si="8"/>
        <v>07070610080000610</v>
      </c>
    </row>
    <row r="505" spans="1:7" x14ac:dyDescent="0.2">
      <c r="A505" s="292" t="s">
        <v>406</v>
      </c>
      <c r="B505" s="293" t="s">
        <v>246</v>
      </c>
      <c r="C505" s="293" t="s">
        <v>405</v>
      </c>
      <c r="D505" s="293" t="s">
        <v>1015</v>
      </c>
      <c r="E505" s="293" t="s">
        <v>407</v>
      </c>
      <c r="F505" s="294">
        <v>50000</v>
      </c>
      <c r="G505" s="143" t="str">
        <f t="shared" si="8"/>
        <v>07070610080000612</v>
      </c>
    </row>
    <row r="506" spans="1:7" ht="63.75" x14ac:dyDescent="0.2">
      <c r="A506" s="292" t="s">
        <v>1681</v>
      </c>
      <c r="B506" s="293" t="s">
        <v>246</v>
      </c>
      <c r="C506" s="293" t="s">
        <v>405</v>
      </c>
      <c r="D506" s="293" t="s">
        <v>1682</v>
      </c>
      <c r="E506" s="293" t="s">
        <v>1314</v>
      </c>
      <c r="F506" s="294">
        <v>282030</v>
      </c>
      <c r="G506" s="143" t="str">
        <f t="shared" si="8"/>
        <v>07070610080010</v>
      </c>
    </row>
    <row r="507" spans="1:7" ht="25.5" x14ac:dyDescent="0.2">
      <c r="A507" s="292" t="s">
        <v>1510</v>
      </c>
      <c r="B507" s="293" t="s">
        <v>246</v>
      </c>
      <c r="C507" s="293" t="s">
        <v>405</v>
      </c>
      <c r="D507" s="293" t="s">
        <v>1682</v>
      </c>
      <c r="E507" s="293" t="s">
        <v>1511</v>
      </c>
      <c r="F507" s="294">
        <v>282030</v>
      </c>
      <c r="G507" s="143" t="str">
        <f t="shared" si="8"/>
        <v>07070610080010600</v>
      </c>
    </row>
    <row r="508" spans="1:7" x14ac:dyDescent="0.2">
      <c r="A508" s="292" t="s">
        <v>1340</v>
      </c>
      <c r="B508" s="293" t="s">
        <v>246</v>
      </c>
      <c r="C508" s="293" t="s">
        <v>405</v>
      </c>
      <c r="D508" s="293" t="s">
        <v>1682</v>
      </c>
      <c r="E508" s="293" t="s">
        <v>1341</v>
      </c>
      <c r="F508" s="294">
        <v>282030</v>
      </c>
      <c r="G508" s="143" t="str">
        <f t="shared" si="8"/>
        <v>07070610080010610</v>
      </c>
    </row>
    <row r="509" spans="1:7" x14ac:dyDescent="0.2">
      <c r="A509" s="292" t="s">
        <v>406</v>
      </c>
      <c r="B509" s="293" t="s">
        <v>246</v>
      </c>
      <c r="C509" s="293" t="s">
        <v>405</v>
      </c>
      <c r="D509" s="293" t="s">
        <v>1682</v>
      </c>
      <c r="E509" s="293" t="s">
        <v>407</v>
      </c>
      <c r="F509" s="294">
        <v>282030</v>
      </c>
      <c r="G509" s="143" t="str">
        <f t="shared" si="8"/>
        <v>07070610080010612</v>
      </c>
    </row>
    <row r="510" spans="1:7" ht="51" x14ac:dyDescent="0.2">
      <c r="A510" s="292" t="s">
        <v>1748</v>
      </c>
      <c r="B510" s="293" t="s">
        <v>246</v>
      </c>
      <c r="C510" s="293" t="s">
        <v>405</v>
      </c>
      <c r="D510" s="293" t="s">
        <v>739</v>
      </c>
      <c r="E510" s="293" t="s">
        <v>1314</v>
      </c>
      <c r="F510" s="294">
        <v>206320</v>
      </c>
      <c r="G510" s="143" t="str">
        <f t="shared" si="8"/>
        <v>070706100S4560</v>
      </c>
    </row>
    <row r="511" spans="1:7" ht="25.5" x14ac:dyDescent="0.2">
      <c r="A511" s="292" t="s">
        <v>1510</v>
      </c>
      <c r="B511" s="293" t="s">
        <v>246</v>
      </c>
      <c r="C511" s="293" t="s">
        <v>405</v>
      </c>
      <c r="D511" s="293" t="s">
        <v>739</v>
      </c>
      <c r="E511" s="293" t="s">
        <v>1511</v>
      </c>
      <c r="F511" s="294">
        <v>206320</v>
      </c>
      <c r="G511" s="143" t="str">
        <f t="shared" si="8"/>
        <v>070706100S4560600</v>
      </c>
    </row>
    <row r="512" spans="1:7" x14ac:dyDescent="0.2">
      <c r="A512" s="292" t="s">
        <v>1340</v>
      </c>
      <c r="B512" s="293" t="s">
        <v>246</v>
      </c>
      <c r="C512" s="293" t="s">
        <v>405</v>
      </c>
      <c r="D512" s="293" t="s">
        <v>739</v>
      </c>
      <c r="E512" s="293" t="s">
        <v>1341</v>
      </c>
      <c r="F512" s="294">
        <v>206320</v>
      </c>
      <c r="G512" s="143" t="str">
        <f t="shared" si="8"/>
        <v>070706100S4560610</v>
      </c>
    </row>
    <row r="513" spans="1:7" x14ac:dyDescent="0.2">
      <c r="A513" s="292" t="s">
        <v>406</v>
      </c>
      <c r="B513" s="293" t="s">
        <v>246</v>
      </c>
      <c r="C513" s="293" t="s">
        <v>405</v>
      </c>
      <c r="D513" s="293" t="s">
        <v>739</v>
      </c>
      <c r="E513" s="293" t="s">
        <v>407</v>
      </c>
      <c r="F513" s="294">
        <v>206320</v>
      </c>
      <c r="G513" s="143" t="str">
        <f t="shared" si="8"/>
        <v>070706100S4560612</v>
      </c>
    </row>
    <row r="514" spans="1:7" ht="25.5" x14ac:dyDescent="0.2">
      <c r="A514" s="292" t="s">
        <v>510</v>
      </c>
      <c r="B514" s="293" t="s">
        <v>246</v>
      </c>
      <c r="C514" s="293" t="s">
        <v>405</v>
      </c>
      <c r="D514" s="293" t="s">
        <v>1153</v>
      </c>
      <c r="E514" s="293" t="s">
        <v>1314</v>
      </c>
      <c r="F514" s="294">
        <v>170000</v>
      </c>
      <c r="G514" s="143" t="str">
        <f t="shared" si="8"/>
        <v>07070620000000</v>
      </c>
    </row>
    <row r="515" spans="1:7" ht="38.25" x14ac:dyDescent="0.2">
      <c r="A515" s="292" t="s">
        <v>409</v>
      </c>
      <c r="B515" s="293" t="s">
        <v>246</v>
      </c>
      <c r="C515" s="293" t="s">
        <v>405</v>
      </c>
      <c r="D515" s="293" t="s">
        <v>740</v>
      </c>
      <c r="E515" s="293" t="s">
        <v>1314</v>
      </c>
      <c r="F515" s="294">
        <v>150000</v>
      </c>
      <c r="G515" s="143" t="str">
        <f t="shared" si="8"/>
        <v>07070620080000</v>
      </c>
    </row>
    <row r="516" spans="1:7" ht="25.5" x14ac:dyDescent="0.2">
      <c r="A516" s="292" t="s">
        <v>1510</v>
      </c>
      <c r="B516" s="293" t="s">
        <v>246</v>
      </c>
      <c r="C516" s="293" t="s">
        <v>405</v>
      </c>
      <c r="D516" s="293" t="s">
        <v>740</v>
      </c>
      <c r="E516" s="293" t="s">
        <v>1511</v>
      </c>
      <c r="F516" s="294">
        <v>150000</v>
      </c>
      <c r="G516" s="143" t="str">
        <f t="shared" si="8"/>
        <v>07070620080000600</v>
      </c>
    </row>
    <row r="517" spans="1:7" x14ac:dyDescent="0.2">
      <c r="A517" s="292" t="s">
        <v>1340</v>
      </c>
      <c r="B517" s="293" t="s">
        <v>246</v>
      </c>
      <c r="C517" s="293" t="s">
        <v>405</v>
      </c>
      <c r="D517" s="293" t="s">
        <v>740</v>
      </c>
      <c r="E517" s="293" t="s">
        <v>1341</v>
      </c>
      <c r="F517" s="294">
        <v>150000</v>
      </c>
      <c r="G517" s="143" t="str">
        <f t="shared" si="8"/>
        <v>07070620080000610</v>
      </c>
    </row>
    <row r="518" spans="1:7" x14ac:dyDescent="0.2">
      <c r="A518" s="292" t="s">
        <v>406</v>
      </c>
      <c r="B518" s="293" t="s">
        <v>246</v>
      </c>
      <c r="C518" s="293" t="s">
        <v>405</v>
      </c>
      <c r="D518" s="293" t="s">
        <v>740</v>
      </c>
      <c r="E518" s="293" t="s">
        <v>407</v>
      </c>
      <c r="F518" s="294">
        <v>150000</v>
      </c>
      <c r="G518" s="143" t="str">
        <f t="shared" si="8"/>
        <v>07070620080000612</v>
      </c>
    </row>
    <row r="519" spans="1:7" ht="76.5" x14ac:dyDescent="0.2">
      <c r="A519" s="292" t="s">
        <v>1750</v>
      </c>
      <c r="B519" s="293" t="s">
        <v>246</v>
      </c>
      <c r="C519" s="293" t="s">
        <v>405</v>
      </c>
      <c r="D519" s="293" t="s">
        <v>1733</v>
      </c>
      <c r="E519" s="293" t="s">
        <v>1314</v>
      </c>
      <c r="F519" s="294">
        <v>20000</v>
      </c>
      <c r="G519" s="143" t="str">
        <f t="shared" si="8"/>
        <v>070706200S4540</v>
      </c>
    </row>
    <row r="520" spans="1:7" ht="25.5" x14ac:dyDescent="0.2">
      <c r="A520" s="292" t="s">
        <v>1510</v>
      </c>
      <c r="B520" s="293" t="s">
        <v>246</v>
      </c>
      <c r="C520" s="293" t="s">
        <v>405</v>
      </c>
      <c r="D520" s="293" t="s">
        <v>1733</v>
      </c>
      <c r="E520" s="293" t="s">
        <v>1511</v>
      </c>
      <c r="F520" s="294">
        <v>20000</v>
      </c>
      <c r="G520" s="143" t="str">
        <f t="shared" si="8"/>
        <v>070706200S4540600</v>
      </c>
    </row>
    <row r="521" spans="1:7" x14ac:dyDescent="0.2">
      <c r="A521" s="292" t="s">
        <v>1340</v>
      </c>
      <c r="B521" s="293" t="s">
        <v>246</v>
      </c>
      <c r="C521" s="293" t="s">
        <v>405</v>
      </c>
      <c r="D521" s="293" t="s">
        <v>1733</v>
      </c>
      <c r="E521" s="293" t="s">
        <v>1341</v>
      </c>
      <c r="F521" s="294">
        <v>20000</v>
      </c>
      <c r="G521" s="143" t="str">
        <f t="shared" si="8"/>
        <v>070706200S4540610</v>
      </c>
    </row>
    <row r="522" spans="1:7" x14ac:dyDescent="0.2">
      <c r="A522" s="292" t="s">
        <v>406</v>
      </c>
      <c r="B522" s="293" t="s">
        <v>246</v>
      </c>
      <c r="C522" s="293" t="s">
        <v>405</v>
      </c>
      <c r="D522" s="293" t="s">
        <v>1733</v>
      </c>
      <c r="E522" s="293" t="s">
        <v>407</v>
      </c>
      <c r="F522" s="294">
        <v>20000</v>
      </c>
      <c r="G522" s="143" t="str">
        <f t="shared" si="8"/>
        <v>070706200S4540612</v>
      </c>
    </row>
    <row r="523" spans="1:7" ht="25.5" x14ac:dyDescent="0.2">
      <c r="A523" s="292" t="s">
        <v>488</v>
      </c>
      <c r="B523" s="293" t="s">
        <v>246</v>
      </c>
      <c r="C523" s="293" t="s">
        <v>405</v>
      </c>
      <c r="D523" s="293" t="s">
        <v>1048</v>
      </c>
      <c r="E523" s="293" t="s">
        <v>1314</v>
      </c>
      <c r="F523" s="294">
        <v>9672083</v>
      </c>
      <c r="G523" s="143" t="str">
        <f t="shared" si="8"/>
        <v>07070640000000</v>
      </c>
    </row>
    <row r="524" spans="1:7" ht="89.25" x14ac:dyDescent="0.2">
      <c r="A524" s="292" t="s">
        <v>411</v>
      </c>
      <c r="B524" s="293" t="s">
        <v>246</v>
      </c>
      <c r="C524" s="293" t="s">
        <v>405</v>
      </c>
      <c r="D524" s="293" t="s">
        <v>742</v>
      </c>
      <c r="E524" s="293" t="s">
        <v>1314</v>
      </c>
      <c r="F524" s="294">
        <v>6655583</v>
      </c>
      <c r="G524" s="143" t="str">
        <f t="shared" si="8"/>
        <v>07070640040000</v>
      </c>
    </row>
    <row r="525" spans="1:7" ht="25.5" x14ac:dyDescent="0.2">
      <c r="A525" s="292" t="s">
        <v>1510</v>
      </c>
      <c r="B525" s="293" t="s">
        <v>246</v>
      </c>
      <c r="C525" s="293" t="s">
        <v>405</v>
      </c>
      <c r="D525" s="293" t="s">
        <v>742</v>
      </c>
      <c r="E525" s="293" t="s">
        <v>1511</v>
      </c>
      <c r="F525" s="294">
        <v>6655583</v>
      </c>
      <c r="G525" s="143" t="str">
        <f t="shared" si="8"/>
        <v>07070640040000600</v>
      </c>
    </row>
    <row r="526" spans="1:7" x14ac:dyDescent="0.2">
      <c r="A526" s="292" t="s">
        <v>1340</v>
      </c>
      <c r="B526" s="293" t="s">
        <v>246</v>
      </c>
      <c r="C526" s="293" t="s">
        <v>405</v>
      </c>
      <c r="D526" s="293" t="s">
        <v>742</v>
      </c>
      <c r="E526" s="293" t="s">
        <v>1341</v>
      </c>
      <c r="F526" s="294">
        <v>6655583</v>
      </c>
      <c r="G526" s="143" t="str">
        <f t="shared" si="8"/>
        <v>07070640040000610</v>
      </c>
    </row>
    <row r="527" spans="1:7" ht="51" x14ac:dyDescent="0.2">
      <c r="A527" s="292" t="s">
        <v>387</v>
      </c>
      <c r="B527" s="293" t="s">
        <v>246</v>
      </c>
      <c r="C527" s="293" t="s">
        <v>405</v>
      </c>
      <c r="D527" s="293" t="s">
        <v>742</v>
      </c>
      <c r="E527" s="293" t="s">
        <v>388</v>
      </c>
      <c r="F527" s="294">
        <v>6655583</v>
      </c>
      <c r="G527" s="143" t="str">
        <f t="shared" si="8"/>
        <v>07070640040000611</v>
      </c>
    </row>
    <row r="528" spans="1:7" ht="114.75" x14ac:dyDescent="0.2">
      <c r="A528" s="292" t="s">
        <v>412</v>
      </c>
      <c r="B528" s="293" t="s">
        <v>246</v>
      </c>
      <c r="C528" s="293" t="s">
        <v>405</v>
      </c>
      <c r="D528" s="293" t="s">
        <v>743</v>
      </c>
      <c r="E528" s="293" t="s">
        <v>1314</v>
      </c>
      <c r="F528" s="294">
        <v>1000000</v>
      </c>
      <c r="G528" s="143" t="str">
        <f t="shared" si="8"/>
        <v>07070640041000</v>
      </c>
    </row>
    <row r="529" spans="1:7" ht="25.5" x14ac:dyDescent="0.2">
      <c r="A529" s="292" t="s">
        <v>1510</v>
      </c>
      <c r="B529" s="293" t="s">
        <v>246</v>
      </c>
      <c r="C529" s="293" t="s">
        <v>405</v>
      </c>
      <c r="D529" s="293" t="s">
        <v>743</v>
      </c>
      <c r="E529" s="293" t="s">
        <v>1511</v>
      </c>
      <c r="F529" s="294">
        <v>1000000</v>
      </c>
      <c r="G529" s="143" t="str">
        <f t="shared" si="8"/>
        <v>07070640041000600</v>
      </c>
    </row>
    <row r="530" spans="1:7" x14ac:dyDescent="0.2">
      <c r="A530" s="292" t="s">
        <v>1340</v>
      </c>
      <c r="B530" s="293" t="s">
        <v>246</v>
      </c>
      <c r="C530" s="293" t="s">
        <v>405</v>
      </c>
      <c r="D530" s="293" t="s">
        <v>743</v>
      </c>
      <c r="E530" s="293" t="s">
        <v>1341</v>
      </c>
      <c r="F530" s="303">
        <v>1000000</v>
      </c>
      <c r="G530" s="143" t="str">
        <f t="shared" si="8"/>
        <v>07070640041000610</v>
      </c>
    </row>
    <row r="531" spans="1:7" ht="51" x14ac:dyDescent="0.2">
      <c r="A531" s="292" t="s">
        <v>387</v>
      </c>
      <c r="B531" s="293" t="s">
        <v>246</v>
      </c>
      <c r="C531" s="293" t="s">
        <v>405</v>
      </c>
      <c r="D531" s="293" t="s">
        <v>743</v>
      </c>
      <c r="E531" s="293" t="s">
        <v>388</v>
      </c>
      <c r="F531" s="303">
        <v>1000000</v>
      </c>
      <c r="G531" s="143" t="str">
        <f t="shared" si="8"/>
        <v>07070640041000611</v>
      </c>
    </row>
    <row r="532" spans="1:7" ht="89.25" x14ac:dyDescent="0.2">
      <c r="A532" s="292" t="s">
        <v>964</v>
      </c>
      <c r="B532" s="293" t="s">
        <v>246</v>
      </c>
      <c r="C532" s="293" t="s">
        <v>405</v>
      </c>
      <c r="D532" s="293" t="s">
        <v>963</v>
      </c>
      <c r="E532" s="293" t="s">
        <v>1314</v>
      </c>
      <c r="F532" s="303">
        <v>30000</v>
      </c>
      <c r="G532" s="143" t="str">
        <f t="shared" si="8"/>
        <v>07070640047000</v>
      </c>
    </row>
    <row r="533" spans="1:7" ht="25.5" x14ac:dyDescent="0.2">
      <c r="A533" s="292" t="s">
        <v>1510</v>
      </c>
      <c r="B533" s="293" t="s">
        <v>246</v>
      </c>
      <c r="C533" s="293" t="s">
        <v>405</v>
      </c>
      <c r="D533" s="293" t="s">
        <v>963</v>
      </c>
      <c r="E533" s="293" t="s">
        <v>1511</v>
      </c>
      <c r="F533" s="303">
        <v>30000</v>
      </c>
      <c r="G533" s="143" t="str">
        <f t="shared" si="8"/>
        <v>07070640047000600</v>
      </c>
    </row>
    <row r="534" spans="1:7" x14ac:dyDescent="0.2">
      <c r="A534" s="292" t="s">
        <v>1340</v>
      </c>
      <c r="B534" s="293" t="s">
        <v>246</v>
      </c>
      <c r="C534" s="293" t="s">
        <v>405</v>
      </c>
      <c r="D534" s="293" t="s">
        <v>963</v>
      </c>
      <c r="E534" s="293" t="s">
        <v>1341</v>
      </c>
      <c r="F534" s="294">
        <v>30000</v>
      </c>
      <c r="G534" s="143" t="str">
        <f t="shared" si="8"/>
        <v>07070640047000610</v>
      </c>
    </row>
    <row r="535" spans="1:7" x14ac:dyDescent="0.2">
      <c r="A535" s="292" t="s">
        <v>406</v>
      </c>
      <c r="B535" s="293" t="s">
        <v>246</v>
      </c>
      <c r="C535" s="293" t="s">
        <v>405</v>
      </c>
      <c r="D535" s="293" t="s">
        <v>963</v>
      </c>
      <c r="E535" s="293" t="s">
        <v>407</v>
      </c>
      <c r="F535" s="294">
        <v>30000</v>
      </c>
      <c r="G535" s="143" t="str">
        <f t="shared" si="8"/>
        <v>07070640047000612</v>
      </c>
    </row>
    <row r="536" spans="1:7" ht="76.5" x14ac:dyDescent="0.2">
      <c r="A536" s="292" t="s">
        <v>1362</v>
      </c>
      <c r="B536" s="293" t="s">
        <v>246</v>
      </c>
      <c r="C536" s="293" t="s">
        <v>405</v>
      </c>
      <c r="D536" s="293" t="s">
        <v>1363</v>
      </c>
      <c r="E536" s="293" t="s">
        <v>1314</v>
      </c>
      <c r="F536" s="294">
        <v>700000</v>
      </c>
      <c r="G536" s="143" t="str">
        <f t="shared" si="8"/>
        <v>0707064004Г000</v>
      </c>
    </row>
    <row r="537" spans="1:7" ht="25.5" x14ac:dyDescent="0.2">
      <c r="A537" s="292" t="s">
        <v>1510</v>
      </c>
      <c r="B537" s="293" t="s">
        <v>246</v>
      </c>
      <c r="C537" s="293" t="s">
        <v>405</v>
      </c>
      <c r="D537" s="293" t="s">
        <v>1363</v>
      </c>
      <c r="E537" s="293" t="s">
        <v>1511</v>
      </c>
      <c r="F537" s="294">
        <v>700000</v>
      </c>
      <c r="G537" s="143" t="str">
        <f t="shared" si="8"/>
        <v>0707064004Г000600</v>
      </c>
    </row>
    <row r="538" spans="1:7" x14ac:dyDescent="0.2">
      <c r="A538" s="292" t="s">
        <v>1340</v>
      </c>
      <c r="B538" s="293" t="s">
        <v>246</v>
      </c>
      <c r="C538" s="293" t="s">
        <v>405</v>
      </c>
      <c r="D538" s="293" t="s">
        <v>1363</v>
      </c>
      <c r="E538" s="293" t="s">
        <v>1341</v>
      </c>
      <c r="F538" s="294">
        <v>700000</v>
      </c>
      <c r="G538" s="143" t="str">
        <f t="shared" si="8"/>
        <v>0707064004Г000610</v>
      </c>
    </row>
    <row r="539" spans="1:7" ht="51" x14ac:dyDescent="0.2">
      <c r="A539" s="292" t="s">
        <v>387</v>
      </c>
      <c r="B539" s="293" t="s">
        <v>246</v>
      </c>
      <c r="C539" s="293" t="s">
        <v>405</v>
      </c>
      <c r="D539" s="293" t="s">
        <v>1363</v>
      </c>
      <c r="E539" s="293" t="s">
        <v>388</v>
      </c>
      <c r="F539" s="294">
        <v>700000</v>
      </c>
      <c r="G539" s="143" t="str">
        <f t="shared" si="8"/>
        <v>0707064004Г000611</v>
      </c>
    </row>
    <row r="540" spans="1:7" ht="76.5" x14ac:dyDescent="0.2">
      <c r="A540" s="292" t="s">
        <v>1912</v>
      </c>
      <c r="B540" s="293" t="s">
        <v>246</v>
      </c>
      <c r="C540" s="293" t="s">
        <v>405</v>
      </c>
      <c r="D540" s="293" t="s">
        <v>1913</v>
      </c>
      <c r="E540" s="293" t="s">
        <v>1314</v>
      </c>
      <c r="F540" s="294">
        <v>42000</v>
      </c>
      <c r="G540" s="143" t="str">
        <f t="shared" si="8"/>
        <v>0707064004М000</v>
      </c>
    </row>
    <row r="541" spans="1:7" ht="25.5" x14ac:dyDescent="0.2">
      <c r="A541" s="292" t="s">
        <v>1510</v>
      </c>
      <c r="B541" s="293" t="s">
        <v>246</v>
      </c>
      <c r="C541" s="293" t="s">
        <v>405</v>
      </c>
      <c r="D541" s="293" t="s">
        <v>1913</v>
      </c>
      <c r="E541" s="293" t="s">
        <v>1511</v>
      </c>
      <c r="F541" s="294">
        <v>42000</v>
      </c>
      <c r="G541" s="143" t="str">
        <f t="shared" si="8"/>
        <v>0707064004М000600</v>
      </c>
    </row>
    <row r="542" spans="1:7" x14ac:dyDescent="0.2">
      <c r="A542" s="292" t="s">
        <v>1340</v>
      </c>
      <c r="B542" s="293" t="s">
        <v>246</v>
      </c>
      <c r="C542" s="293" t="s">
        <v>405</v>
      </c>
      <c r="D542" s="293" t="s">
        <v>1913</v>
      </c>
      <c r="E542" s="293" t="s">
        <v>1341</v>
      </c>
      <c r="F542" s="294">
        <v>42000</v>
      </c>
      <c r="G542" s="143" t="str">
        <f t="shared" si="8"/>
        <v>0707064004М000610</v>
      </c>
    </row>
    <row r="543" spans="1:7" ht="51" x14ac:dyDescent="0.2">
      <c r="A543" s="292" t="s">
        <v>387</v>
      </c>
      <c r="B543" s="293" t="s">
        <v>246</v>
      </c>
      <c r="C543" s="293" t="s">
        <v>405</v>
      </c>
      <c r="D543" s="293" t="s">
        <v>1913</v>
      </c>
      <c r="E543" s="293" t="s">
        <v>388</v>
      </c>
      <c r="F543" s="294">
        <v>42000</v>
      </c>
      <c r="G543" s="143" t="str">
        <f t="shared" si="8"/>
        <v>0707064004М000611</v>
      </c>
    </row>
    <row r="544" spans="1:7" ht="63.75" x14ac:dyDescent="0.2">
      <c r="A544" s="292" t="s">
        <v>1364</v>
      </c>
      <c r="B544" s="293" t="s">
        <v>246</v>
      </c>
      <c r="C544" s="293" t="s">
        <v>405</v>
      </c>
      <c r="D544" s="293" t="s">
        <v>1365</v>
      </c>
      <c r="E544" s="293" t="s">
        <v>1314</v>
      </c>
      <c r="F544" s="294">
        <v>250000</v>
      </c>
      <c r="G544" s="143" t="str">
        <f t="shared" si="8"/>
        <v>0707064004Э000</v>
      </c>
    </row>
    <row r="545" spans="1:7" ht="25.5" x14ac:dyDescent="0.2">
      <c r="A545" s="292" t="s">
        <v>1510</v>
      </c>
      <c r="B545" s="293" t="s">
        <v>246</v>
      </c>
      <c r="C545" s="293" t="s">
        <v>405</v>
      </c>
      <c r="D545" s="293" t="s">
        <v>1365</v>
      </c>
      <c r="E545" s="293" t="s">
        <v>1511</v>
      </c>
      <c r="F545" s="294">
        <v>250000</v>
      </c>
      <c r="G545" s="143" t="str">
        <f t="shared" si="8"/>
        <v>0707064004Э000600</v>
      </c>
    </row>
    <row r="546" spans="1:7" x14ac:dyDescent="0.2">
      <c r="A546" s="292" t="s">
        <v>1340</v>
      </c>
      <c r="B546" s="293" t="s">
        <v>246</v>
      </c>
      <c r="C546" s="293" t="s">
        <v>405</v>
      </c>
      <c r="D546" s="293" t="s">
        <v>1365</v>
      </c>
      <c r="E546" s="293" t="s">
        <v>1341</v>
      </c>
      <c r="F546" s="294">
        <v>250000</v>
      </c>
      <c r="G546" s="143" t="str">
        <f t="shared" si="8"/>
        <v>0707064004Э000610</v>
      </c>
    </row>
    <row r="547" spans="1:7" ht="51" x14ac:dyDescent="0.2">
      <c r="A547" s="292" t="s">
        <v>387</v>
      </c>
      <c r="B547" s="293" t="s">
        <v>246</v>
      </c>
      <c r="C547" s="293" t="s">
        <v>405</v>
      </c>
      <c r="D547" s="293" t="s">
        <v>1365</v>
      </c>
      <c r="E547" s="293" t="s">
        <v>388</v>
      </c>
      <c r="F547" s="294">
        <v>250000</v>
      </c>
      <c r="G547" s="143" t="str">
        <f t="shared" si="8"/>
        <v>0707064004Э000611</v>
      </c>
    </row>
    <row r="548" spans="1:7" ht="63.75" x14ac:dyDescent="0.2">
      <c r="A548" s="292" t="s">
        <v>410</v>
      </c>
      <c r="B548" s="293" t="s">
        <v>246</v>
      </c>
      <c r="C548" s="293" t="s">
        <v>405</v>
      </c>
      <c r="D548" s="293" t="s">
        <v>1539</v>
      </c>
      <c r="E548" s="293" t="s">
        <v>1314</v>
      </c>
      <c r="F548" s="294">
        <v>994500</v>
      </c>
      <c r="G548" s="143" t="str">
        <f t="shared" si="8"/>
        <v>070706400S4560</v>
      </c>
    </row>
    <row r="549" spans="1:7" ht="25.5" x14ac:dyDescent="0.2">
      <c r="A549" s="292" t="s">
        <v>1510</v>
      </c>
      <c r="B549" s="293" t="s">
        <v>246</v>
      </c>
      <c r="C549" s="293" t="s">
        <v>405</v>
      </c>
      <c r="D549" s="293" t="s">
        <v>1539</v>
      </c>
      <c r="E549" s="293" t="s">
        <v>1511</v>
      </c>
      <c r="F549" s="294">
        <v>994500</v>
      </c>
      <c r="G549" s="143" t="str">
        <f t="shared" si="8"/>
        <v>070706400S4560600</v>
      </c>
    </row>
    <row r="550" spans="1:7" x14ac:dyDescent="0.2">
      <c r="A550" s="292" t="s">
        <v>1340</v>
      </c>
      <c r="B550" s="293" t="s">
        <v>246</v>
      </c>
      <c r="C550" s="293" t="s">
        <v>405</v>
      </c>
      <c r="D550" s="293" t="s">
        <v>1539</v>
      </c>
      <c r="E550" s="293" t="s">
        <v>1341</v>
      </c>
      <c r="F550" s="294">
        <v>994500</v>
      </c>
      <c r="G550" s="143" t="str">
        <f t="shared" si="8"/>
        <v>070706400S4560610</v>
      </c>
    </row>
    <row r="551" spans="1:7" x14ac:dyDescent="0.2">
      <c r="A551" s="292" t="s">
        <v>406</v>
      </c>
      <c r="B551" s="293" t="s">
        <v>246</v>
      </c>
      <c r="C551" s="293" t="s">
        <v>405</v>
      </c>
      <c r="D551" s="293" t="s">
        <v>1539</v>
      </c>
      <c r="E551" s="293" t="s">
        <v>407</v>
      </c>
      <c r="F551" s="294">
        <v>994500</v>
      </c>
      <c r="G551" s="143" t="str">
        <f t="shared" si="8"/>
        <v>070706400S4560612</v>
      </c>
    </row>
    <row r="552" spans="1:7" ht="25.5" x14ac:dyDescent="0.2">
      <c r="A552" s="292" t="s">
        <v>2060</v>
      </c>
      <c r="B552" s="293" t="s">
        <v>246</v>
      </c>
      <c r="C552" s="293" t="s">
        <v>405</v>
      </c>
      <c r="D552" s="293" t="s">
        <v>2061</v>
      </c>
      <c r="E552" s="293" t="s">
        <v>1314</v>
      </c>
      <c r="F552" s="294">
        <v>200000</v>
      </c>
      <c r="G552" s="143" t="str">
        <f t="shared" si="8"/>
        <v>07070650000000</v>
      </c>
    </row>
    <row r="553" spans="1:7" ht="76.5" x14ac:dyDescent="0.2">
      <c r="A553" s="292" t="s">
        <v>2062</v>
      </c>
      <c r="B553" s="293" t="s">
        <v>246</v>
      </c>
      <c r="C553" s="293" t="s">
        <v>405</v>
      </c>
      <c r="D553" s="293" t="s">
        <v>2063</v>
      </c>
      <c r="E553" s="293" t="s">
        <v>1314</v>
      </c>
      <c r="F553" s="294">
        <v>150000</v>
      </c>
      <c r="G553" s="143" t="str">
        <f t="shared" si="8"/>
        <v>07070650080010</v>
      </c>
    </row>
    <row r="554" spans="1:7" ht="25.5" x14ac:dyDescent="0.2">
      <c r="A554" s="292" t="s">
        <v>1510</v>
      </c>
      <c r="B554" s="293" t="s">
        <v>246</v>
      </c>
      <c r="C554" s="293" t="s">
        <v>405</v>
      </c>
      <c r="D554" s="293" t="s">
        <v>2063</v>
      </c>
      <c r="E554" s="293" t="s">
        <v>1511</v>
      </c>
      <c r="F554" s="294">
        <v>150000</v>
      </c>
      <c r="G554" s="143" t="str">
        <f t="shared" si="8"/>
        <v>07070650080010600</v>
      </c>
    </row>
    <row r="555" spans="1:7" x14ac:dyDescent="0.2">
      <c r="A555" s="292" t="s">
        <v>1340</v>
      </c>
      <c r="B555" s="293" t="s">
        <v>246</v>
      </c>
      <c r="C555" s="293" t="s">
        <v>405</v>
      </c>
      <c r="D555" s="293" t="s">
        <v>2063</v>
      </c>
      <c r="E555" s="293" t="s">
        <v>1341</v>
      </c>
      <c r="F555" s="294">
        <v>150000</v>
      </c>
      <c r="G555" s="143" t="str">
        <f t="shared" si="8"/>
        <v>07070650080010610</v>
      </c>
    </row>
    <row r="556" spans="1:7" x14ac:dyDescent="0.2">
      <c r="A556" s="292" t="s">
        <v>406</v>
      </c>
      <c r="B556" s="293" t="s">
        <v>246</v>
      </c>
      <c r="C556" s="293" t="s">
        <v>405</v>
      </c>
      <c r="D556" s="293" t="s">
        <v>2063</v>
      </c>
      <c r="E556" s="293" t="s">
        <v>407</v>
      </c>
      <c r="F556" s="294">
        <v>150000</v>
      </c>
      <c r="G556" s="143" t="str">
        <f t="shared" si="8"/>
        <v>07070650080010612</v>
      </c>
    </row>
    <row r="557" spans="1:7" ht="63.75" x14ac:dyDescent="0.2">
      <c r="A557" s="292" t="s">
        <v>2064</v>
      </c>
      <c r="B557" s="293" t="s">
        <v>246</v>
      </c>
      <c r="C557" s="293" t="s">
        <v>405</v>
      </c>
      <c r="D557" s="293" t="s">
        <v>2065</v>
      </c>
      <c r="E557" s="293" t="s">
        <v>1314</v>
      </c>
      <c r="F557" s="294">
        <v>50000</v>
      </c>
      <c r="G557" s="143" t="str">
        <f t="shared" si="8"/>
        <v>07070650080020</v>
      </c>
    </row>
    <row r="558" spans="1:7" ht="25.5" x14ac:dyDescent="0.2">
      <c r="A558" s="292" t="s">
        <v>1510</v>
      </c>
      <c r="B558" s="293" t="s">
        <v>246</v>
      </c>
      <c r="C558" s="293" t="s">
        <v>405</v>
      </c>
      <c r="D558" s="293" t="s">
        <v>2065</v>
      </c>
      <c r="E558" s="293" t="s">
        <v>1511</v>
      </c>
      <c r="F558" s="294">
        <v>50000</v>
      </c>
      <c r="G558" s="143" t="str">
        <f t="shared" si="8"/>
        <v>07070650080020600</v>
      </c>
    </row>
    <row r="559" spans="1:7" x14ac:dyDescent="0.2">
      <c r="A559" s="292" t="s">
        <v>1340</v>
      </c>
      <c r="B559" s="293" t="s">
        <v>246</v>
      </c>
      <c r="C559" s="293" t="s">
        <v>405</v>
      </c>
      <c r="D559" s="293" t="s">
        <v>2065</v>
      </c>
      <c r="E559" s="293" t="s">
        <v>1341</v>
      </c>
      <c r="F559" s="294">
        <v>50000</v>
      </c>
      <c r="G559" s="143" t="str">
        <f t="shared" si="8"/>
        <v>07070650080020610</v>
      </c>
    </row>
    <row r="560" spans="1:7" x14ac:dyDescent="0.2">
      <c r="A560" s="292" t="s">
        <v>406</v>
      </c>
      <c r="B560" s="293" t="s">
        <v>246</v>
      </c>
      <c r="C560" s="293" t="s">
        <v>405</v>
      </c>
      <c r="D560" s="293" t="s">
        <v>2065</v>
      </c>
      <c r="E560" s="293" t="s">
        <v>407</v>
      </c>
      <c r="F560" s="294">
        <v>50000</v>
      </c>
      <c r="G560" s="143" t="str">
        <f t="shared" ref="G560:G575" si="9">CONCATENATE(C560,D560,E560)</f>
        <v>07070650080020612</v>
      </c>
    </row>
    <row r="561" spans="1:7" x14ac:dyDescent="0.2">
      <c r="A561" s="292" t="s">
        <v>266</v>
      </c>
      <c r="B561" s="293" t="s">
        <v>246</v>
      </c>
      <c r="C561" s="293" t="s">
        <v>1226</v>
      </c>
      <c r="D561" s="293" t="s">
        <v>1314</v>
      </c>
      <c r="E561" s="293" t="s">
        <v>1314</v>
      </c>
      <c r="F561" s="294">
        <v>215447616</v>
      </c>
      <c r="G561" s="143" t="str">
        <f t="shared" si="9"/>
        <v>0800</v>
      </c>
    </row>
    <row r="562" spans="1:7" x14ac:dyDescent="0.2">
      <c r="A562" s="292" t="s">
        <v>222</v>
      </c>
      <c r="B562" s="293" t="s">
        <v>246</v>
      </c>
      <c r="C562" s="293" t="s">
        <v>432</v>
      </c>
      <c r="D562" s="293" t="s">
        <v>1314</v>
      </c>
      <c r="E562" s="293" t="s">
        <v>1314</v>
      </c>
      <c r="F562" s="294">
        <v>136471367</v>
      </c>
      <c r="G562" s="143" t="str">
        <f t="shared" si="9"/>
        <v>0801</v>
      </c>
    </row>
    <row r="563" spans="1:7" ht="38.25" x14ac:dyDescent="0.2">
      <c r="A563" s="292" t="s">
        <v>493</v>
      </c>
      <c r="B563" s="293" t="s">
        <v>246</v>
      </c>
      <c r="C563" s="293" t="s">
        <v>432</v>
      </c>
      <c r="D563" s="293" t="s">
        <v>1034</v>
      </c>
      <c r="E563" s="293" t="s">
        <v>1314</v>
      </c>
      <c r="F563" s="294">
        <v>1750000</v>
      </c>
      <c r="G563" s="143" t="str">
        <f t="shared" si="9"/>
        <v>08010300000000</v>
      </c>
    </row>
    <row r="564" spans="1:7" ht="38.25" x14ac:dyDescent="0.2">
      <c r="A564" s="292" t="s">
        <v>495</v>
      </c>
      <c r="B564" s="293" t="s">
        <v>246</v>
      </c>
      <c r="C564" s="293" t="s">
        <v>432</v>
      </c>
      <c r="D564" s="293" t="s">
        <v>1496</v>
      </c>
      <c r="E564" s="293" t="s">
        <v>1314</v>
      </c>
      <c r="F564" s="294">
        <v>1750000</v>
      </c>
      <c r="G564" s="143" t="str">
        <f t="shared" si="9"/>
        <v>08010340000000</v>
      </c>
    </row>
    <row r="565" spans="1:7" ht="76.5" x14ac:dyDescent="0.2">
      <c r="A565" s="292" t="s">
        <v>436</v>
      </c>
      <c r="B565" s="293" t="s">
        <v>246</v>
      </c>
      <c r="C565" s="293" t="s">
        <v>432</v>
      </c>
      <c r="D565" s="293" t="s">
        <v>822</v>
      </c>
      <c r="E565" s="293" t="s">
        <v>1314</v>
      </c>
      <c r="F565" s="294">
        <v>1750000</v>
      </c>
      <c r="G565" s="143" t="str">
        <f t="shared" si="9"/>
        <v>08010340080000</v>
      </c>
    </row>
    <row r="566" spans="1:7" ht="25.5" x14ac:dyDescent="0.2">
      <c r="A566" s="292" t="s">
        <v>1510</v>
      </c>
      <c r="B566" s="293" t="s">
        <v>246</v>
      </c>
      <c r="C566" s="293" t="s">
        <v>432</v>
      </c>
      <c r="D566" s="293" t="s">
        <v>822</v>
      </c>
      <c r="E566" s="293" t="s">
        <v>1511</v>
      </c>
      <c r="F566" s="294">
        <v>1750000</v>
      </c>
      <c r="G566" s="143" t="str">
        <f t="shared" si="9"/>
        <v>08010340080000600</v>
      </c>
    </row>
    <row r="567" spans="1:7" x14ac:dyDescent="0.2">
      <c r="A567" s="292" t="s">
        <v>1340</v>
      </c>
      <c r="B567" s="293" t="s">
        <v>246</v>
      </c>
      <c r="C567" s="293" t="s">
        <v>432</v>
      </c>
      <c r="D567" s="293" t="s">
        <v>822</v>
      </c>
      <c r="E567" s="293" t="s">
        <v>1341</v>
      </c>
      <c r="F567" s="294">
        <v>1750000</v>
      </c>
      <c r="G567" s="143" t="str">
        <f t="shared" si="9"/>
        <v>08010340080000610</v>
      </c>
    </row>
    <row r="568" spans="1:7" x14ac:dyDescent="0.2">
      <c r="A568" s="292" t="s">
        <v>406</v>
      </c>
      <c r="B568" s="293" t="s">
        <v>246</v>
      </c>
      <c r="C568" s="293" t="s">
        <v>432</v>
      </c>
      <c r="D568" s="293" t="s">
        <v>822</v>
      </c>
      <c r="E568" s="293" t="s">
        <v>407</v>
      </c>
      <c r="F568" s="294">
        <v>1750000</v>
      </c>
      <c r="G568" s="143" t="str">
        <f t="shared" si="9"/>
        <v>08010340080000612</v>
      </c>
    </row>
    <row r="569" spans="1:7" ht="25.5" x14ac:dyDescent="0.2">
      <c r="A569" s="292" t="s">
        <v>502</v>
      </c>
      <c r="B569" s="293" t="s">
        <v>246</v>
      </c>
      <c r="C569" s="293" t="s">
        <v>432</v>
      </c>
      <c r="D569" s="293" t="s">
        <v>1041</v>
      </c>
      <c r="E569" s="293" t="s">
        <v>1314</v>
      </c>
      <c r="F569" s="294">
        <v>134621367</v>
      </c>
      <c r="G569" s="143" t="str">
        <f t="shared" si="9"/>
        <v>08010500000000</v>
      </c>
    </row>
    <row r="570" spans="1:7" x14ac:dyDescent="0.2">
      <c r="A570" s="292" t="s">
        <v>503</v>
      </c>
      <c r="B570" s="293" t="s">
        <v>246</v>
      </c>
      <c r="C570" s="293" t="s">
        <v>432</v>
      </c>
      <c r="D570" s="293" t="s">
        <v>1042</v>
      </c>
      <c r="E570" s="293" t="s">
        <v>1314</v>
      </c>
      <c r="F570" s="294">
        <v>41303567</v>
      </c>
      <c r="G570" s="143" t="str">
        <f t="shared" si="9"/>
        <v>08010510000000</v>
      </c>
    </row>
    <row r="571" spans="1:7" ht="89.25" x14ac:dyDescent="0.2">
      <c r="A571" s="292" t="s">
        <v>437</v>
      </c>
      <c r="B571" s="293" t="s">
        <v>246</v>
      </c>
      <c r="C571" s="293" t="s">
        <v>432</v>
      </c>
      <c r="D571" s="293" t="s">
        <v>765</v>
      </c>
      <c r="E571" s="293" t="s">
        <v>1314</v>
      </c>
      <c r="F571" s="294">
        <v>36145763</v>
      </c>
      <c r="G571" s="143" t="str">
        <f t="shared" si="9"/>
        <v>08010510040000</v>
      </c>
    </row>
    <row r="572" spans="1:7" ht="25.5" x14ac:dyDescent="0.2">
      <c r="A572" s="292" t="s">
        <v>1510</v>
      </c>
      <c r="B572" s="293" t="s">
        <v>246</v>
      </c>
      <c r="C572" s="293" t="s">
        <v>432</v>
      </c>
      <c r="D572" s="293" t="s">
        <v>765</v>
      </c>
      <c r="E572" s="293" t="s">
        <v>1511</v>
      </c>
      <c r="F572" s="294">
        <v>36145763</v>
      </c>
      <c r="G572" s="143" t="str">
        <f t="shared" si="9"/>
        <v>08010510040000600</v>
      </c>
    </row>
    <row r="573" spans="1:7" x14ac:dyDescent="0.2">
      <c r="A573" s="292" t="s">
        <v>1340</v>
      </c>
      <c r="B573" s="293" t="s">
        <v>246</v>
      </c>
      <c r="C573" s="293" t="s">
        <v>432</v>
      </c>
      <c r="D573" s="293" t="s">
        <v>765</v>
      </c>
      <c r="E573" s="293" t="s">
        <v>1341</v>
      </c>
      <c r="F573" s="294">
        <v>36145763</v>
      </c>
      <c r="G573" s="143" t="str">
        <f t="shared" si="9"/>
        <v>08010510040000610</v>
      </c>
    </row>
    <row r="574" spans="1:7" ht="51" x14ac:dyDescent="0.2">
      <c r="A574" s="292" t="s">
        <v>387</v>
      </c>
      <c r="B574" s="293" t="s">
        <v>246</v>
      </c>
      <c r="C574" s="293" t="s">
        <v>432</v>
      </c>
      <c r="D574" s="293" t="s">
        <v>765</v>
      </c>
      <c r="E574" s="293" t="s">
        <v>388</v>
      </c>
      <c r="F574" s="294">
        <v>36145763</v>
      </c>
      <c r="G574" s="143" t="str">
        <f t="shared" si="9"/>
        <v>08010510040000611</v>
      </c>
    </row>
    <row r="575" spans="1:7" ht="114.75" x14ac:dyDescent="0.2">
      <c r="A575" s="292" t="s">
        <v>438</v>
      </c>
      <c r="B575" s="293" t="s">
        <v>246</v>
      </c>
      <c r="C575" s="293" t="s">
        <v>432</v>
      </c>
      <c r="D575" s="293" t="s">
        <v>766</v>
      </c>
      <c r="E575" s="293" t="s">
        <v>1314</v>
      </c>
      <c r="F575" s="294">
        <v>50000</v>
      </c>
      <c r="G575" s="143" t="str">
        <f t="shared" si="9"/>
        <v>08010510041000</v>
      </c>
    </row>
    <row r="576" spans="1:7" ht="25.5" x14ac:dyDescent="0.2">
      <c r="A576" s="292" t="s">
        <v>1510</v>
      </c>
      <c r="B576" s="293" t="s">
        <v>246</v>
      </c>
      <c r="C576" s="293" t="s">
        <v>432</v>
      </c>
      <c r="D576" s="293" t="s">
        <v>766</v>
      </c>
      <c r="E576" s="293" t="s">
        <v>1511</v>
      </c>
      <c r="F576" s="294">
        <v>50000</v>
      </c>
      <c r="G576" s="143" t="str">
        <f t="shared" ref="G576:G616" si="10">CONCATENATE(C576,D576,E576)</f>
        <v>08010510041000600</v>
      </c>
    </row>
    <row r="577" spans="1:7" x14ac:dyDescent="0.2">
      <c r="A577" s="292" t="s">
        <v>1340</v>
      </c>
      <c r="B577" s="293" t="s">
        <v>246</v>
      </c>
      <c r="C577" s="293" t="s">
        <v>432</v>
      </c>
      <c r="D577" s="293" t="s">
        <v>766</v>
      </c>
      <c r="E577" s="293" t="s">
        <v>1341</v>
      </c>
      <c r="F577" s="294">
        <v>50000</v>
      </c>
      <c r="G577" s="143" t="str">
        <f t="shared" si="10"/>
        <v>08010510041000610</v>
      </c>
    </row>
    <row r="578" spans="1:7" ht="51" x14ac:dyDescent="0.2">
      <c r="A578" s="292" t="s">
        <v>387</v>
      </c>
      <c r="B578" s="293" t="s">
        <v>246</v>
      </c>
      <c r="C578" s="293" t="s">
        <v>432</v>
      </c>
      <c r="D578" s="293" t="s">
        <v>766</v>
      </c>
      <c r="E578" s="293" t="s">
        <v>388</v>
      </c>
      <c r="F578" s="294">
        <v>50000</v>
      </c>
      <c r="G578" s="143" t="str">
        <f t="shared" si="10"/>
        <v>08010510041000611</v>
      </c>
    </row>
    <row r="579" spans="1:7" ht="76.5" x14ac:dyDescent="0.2">
      <c r="A579" s="292" t="s">
        <v>555</v>
      </c>
      <c r="B579" s="293" t="s">
        <v>246</v>
      </c>
      <c r="C579" s="293" t="s">
        <v>432</v>
      </c>
      <c r="D579" s="293" t="s">
        <v>767</v>
      </c>
      <c r="E579" s="293" t="s">
        <v>1314</v>
      </c>
      <c r="F579" s="294">
        <v>350000</v>
      </c>
      <c r="G579" s="143" t="str">
        <f t="shared" si="10"/>
        <v>08010510047000</v>
      </c>
    </row>
    <row r="580" spans="1:7" ht="25.5" x14ac:dyDescent="0.2">
      <c r="A580" s="292" t="s">
        <v>1510</v>
      </c>
      <c r="B580" s="293" t="s">
        <v>246</v>
      </c>
      <c r="C580" s="293" t="s">
        <v>432</v>
      </c>
      <c r="D580" s="293" t="s">
        <v>767</v>
      </c>
      <c r="E580" s="293" t="s">
        <v>1511</v>
      </c>
      <c r="F580" s="294">
        <v>350000</v>
      </c>
      <c r="G580" s="143" t="str">
        <f t="shared" si="10"/>
        <v>08010510047000600</v>
      </c>
    </row>
    <row r="581" spans="1:7" x14ac:dyDescent="0.2">
      <c r="A581" s="292" t="s">
        <v>1340</v>
      </c>
      <c r="B581" s="293" t="s">
        <v>246</v>
      </c>
      <c r="C581" s="293" t="s">
        <v>432</v>
      </c>
      <c r="D581" s="293" t="s">
        <v>767</v>
      </c>
      <c r="E581" s="293" t="s">
        <v>1341</v>
      </c>
      <c r="F581" s="294">
        <v>350000</v>
      </c>
      <c r="G581" s="143" t="str">
        <f t="shared" si="10"/>
        <v>08010510047000610</v>
      </c>
    </row>
    <row r="582" spans="1:7" x14ac:dyDescent="0.2">
      <c r="A582" s="292" t="s">
        <v>406</v>
      </c>
      <c r="B582" s="293" t="s">
        <v>246</v>
      </c>
      <c r="C582" s="293" t="s">
        <v>432</v>
      </c>
      <c r="D582" s="293" t="s">
        <v>767</v>
      </c>
      <c r="E582" s="293" t="s">
        <v>407</v>
      </c>
      <c r="F582" s="294">
        <v>350000</v>
      </c>
      <c r="G582" s="143" t="str">
        <f t="shared" si="10"/>
        <v>08010510047000612</v>
      </c>
    </row>
    <row r="583" spans="1:7" ht="76.5" x14ac:dyDescent="0.2">
      <c r="A583" s="292" t="s">
        <v>615</v>
      </c>
      <c r="B583" s="293" t="s">
        <v>246</v>
      </c>
      <c r="C583" s="293" t="s">
        <v>432</v>
      </c>
      <c r="D583" s="293" t="s">
        <v>768</v>
      </c>
      <c r="E583" s="293" t="s">
        <v>1314</v>
      </c>
      <c r="F583" s="294">
        <v>2623454</v>
      </c>
      <c r="G583" s="143" t="str">
        <f t="shared" si="10"/>
        <v>0801051004Г000</v>
      </c>
    </row>
    <row r="584" spans="1:7" ht="25.5" x14ac:dyDescent="0.2">
      <c r="A584" s="292" t="s">
        <v>1510</v>
      </c>
      <c r="B584" s="293" t="s">
        <v>246</v>
      </c>
      <c r="C584" s="293" t="s">
        <v>432</v>
      </c>
      <c r="D584" s="293" t="s">
        <v>768</v>
      </c>
      <c r="E584" s="293" t="s">
        <v>1511</v>
      </c>
      <c r="F584" s="294">
        <v>2623454</v>
      </c>
      <c r="G584" s="143" t="str">
        <f t="shared" si="10"/>
        <v>0801051004Г000600</v>
      </c>
    </row>
    <row r="585" spans="1:7" x14ac:dyDescent="0.2">
      <c r="A585" s="292" t="s">
        <v>1340</v>
      </c>
      <c r="B585" s="293" t="s">
        <v>246</v>
      </c>
      <c r="C585" s="293" t="s">
        <v>432</v>
      </c>
      <c r="D585" s="293" t="s">
        <v>768</v>
      </c>
      <c r="E585" s="293" t="s">
        <v>1341</v>
      </c>
      <c r="F585" s="294">
        <v>2623454</v>
      </c>
      <c r="G585" s="143" t="str">
        <f t="shared" si="10"/>
        <v>0801051004Г000610</v>
      </c>
    </row>
    <row r="586" spans="1:7" ht="51" x14ac:dyDescent="0.2">
      <c r="A586" s="292" t="s">
        <v>387</v>
      </c>
      <c r="B586" s="293" t="s">
        <v>246</v>
      </c>
      <c r="C586" s="293" t="s">
        <v>432</v>
      </c>
      <c r="D586" s="293" t="s">
        <v>768</v>
      </c>
      <c r="E586" s="293" t="s">
        <v>388</v>
      </c>
      <c r="F586" s="294">
        <v>2623454</v>
      </c>
      <c r="G586" s="143" t="str">
        <f t="shared" si="10"/>
        <v>0801051004Г000611</v>
      </c>
    </row>
    <row r="587" spans="1:7" ht="51" x14ac:dyDescent="0.2">
      <c r="A587" s="292" t="s">
        <v>1914</v>
      </c>
      <c r="B587" s="293" t="s">
        <v>246</v>
      </c>
      <c r="C587" s="293" t="s">
        <v>432</v>
      </c>
      <c r="D587" s="293" t="s">
        <v>1915</v>
      </c>
      <c r="E587" s="293" t="s">
        <v>1314</v>
      </c>
      <c r="F587" s="294">
        <v>25100</v>
      </c>
      <c r="G587" s="143" t="str">
        <f t="shared" si="10"/>
        <v>0801051004М000</v>
      </c>
    </row>
    <row r="588" spans="1:7" ht="25.5" x14ac:dyDescent="0.2">
      <c r="A588" s="292" t="s">
        <v>1510</v>
      </c>
      <c r="B588" s="293" t="s">
        <v>246</v>
      </c>
      <c r="C588" s="293" t="s">
        <v>432</v>
      </c>
      <c r="D588" s="293" t="s">
        <v>1915</v>
      </c>
      <c r="E588" s="293" t="s">
        <v>1511</v>
      </c>
      <c r="F588" s="294">
        <v>25100</v>
      </c>
      <c r="G588" s="143" t="str">
        <f t="shared" si="10"/>
        <v>0801051004М000600</v>
      </c>
    </row>
    <row r="589" spans="1:7" x14ac:dyDescent="0.2">
      <c r="A589" s="292" t="s">
        <v>1340</v>
      </c>
      <c r="B589" s="293" t="s">
        <v>246</v>
      </c>
      <c r="C589" s="293" t="s">
        <v>432</v>
      </c>
      <c r="D589" s="293" t="s">
        <v>1915</v>
      </c>
      <c r="E589" s="293" t="s">
        <v>1341</v>
      </c>
      <c r="F589" s="294">
        <v>25100</v>
      </c>
      <c r="G589" s="143" t="str">
        <f t="shared" si="10"/>
        <v>0801051004М000610</v>
      </c>
    </row>
    <row r="590" spans="1:7" ht="51" x14ac:dyDescent="0.2">
      <c r="A590" s="292" t="s">
        <v>387</v>
      </c>
      <c r="B590" s="293" t="s">
        <v>246</v>
      </c>
      <c r="C590" s="293" t="s">
        <v>432</v>
      </c>
      <c r="D590" s="293" t="s">
        <v>1915</v>
      </c>
      <c r="E590" s="293" t="s">
        <v>388</v>
      </c>
      <c r="F590" s="294">
        <v>25100</v>
      </c>
      <c r="G590" s="143" t="str">
        <f t="shared" si="10"/>
        <v>0801051004М000611</v>
      </c>
    </row>
    <row r="591" spans="1:7" ht="76.5" x14ac:dyDescent="0.2">
      <c r="A591" s="292" t="s">
        <v>1018</v>
      </c>
      <c r="B591" s="293" t="s">
        <v>246</v>
      </c>
      <c r="C591" s="293" t="s">
        <v>432</v>
      </c>
      <c r="D591" s="293" t="s">
        <v>1019</v>
      </c>
      <c r="E591" s="293" t="s">
        <v>1314</v>
      </c>
      <c r="F591" s="294">
        <v>1150000</v>
      </c>
      <c r="G591" s="143" t="str">
        <f t="shared" si="10"/>
        <v>0801051004Э000</v>
      </c>
    </row>
    <row r="592" spans="1:7" ht="25.5" x14ac:dyDescent="0.2">
      <c r="A592" s="292" t="s">
        <v>1510</v>
      </c>
      <c r="B592" s="293" t="s">
        <v>246</v>
      </c>
      <c r="C592" s="293" t="s">
        <v>432</v>
      </c>
      <c r="D592" s="293" t="s">
        <v>1019</v>
      </c>
      <c r="E592" s="293" t="s">
        <v>1511</v>
      </c>
      <c r="F592" s="294">
        <v>1150000</v>
      </c>
      <c r="G592" s="143" t="str">
        <f t="shared" si="10"/>
        <v>0801051004Э000600</v>
      </c>
    </row>
    <row r="593" spans="1:7" x14ac:dyDescent="0.2">
      <c r="A593" s="292" t="s">
        <v>1340</v>
      </c>
      <c r="B593" s="293" t="s">
        <v>246</v>
      </c>
      <c r="C593" s="293" t="s">
        <v>432</v>
      </c>
      <c r="D593" s="293" t="s">
        <v>1019</v>
      </c>
      <c r="E593" s="293" t="s">
        <v>1341</v>
      </c>
      <c r="F593" s="294">
        <v>1150000</v>
      </c>
      <c r="G593" s="143" t="str">
        <f t="shared" si="10"/>
        <v>0801051004Э000610</v>
      </c>
    </row>
    <row r="594" spans="1:7" ht="51" x14ac:dyDescent="0.2">
      <c r="A594" s="292" t="s">
        <v>387</v>
      </c>
      <c r="B594" s="293" t="s">
        <v>246</v>
      </c>
      <c r="C594" s="293" t="s">
        <v>432</v>
      </c>
      <c r="D594" s="293" t="s">
        <v>1019</v>
      </c>
      <c r="E594" s="293" t="s">
        <v>388</v>
      </c>
      <c r="F594" s="294">
        <v>1150000</v>
      </c>
      <c r="G594" s="143" t="str">
        <f t="shared" si="10"/>
        <v>0801051004Э000611</v>
      </c>
    </row>
    <row r="595" spans="1:7" ht="51" x14ac:dyDescent="0.2">
      <c r="A595" s="292" t="s">
        <v>440</v>
      </c>
      <c r="B595" s="293" t="s">
        <v>246</v>
      </c>
      <c r="C595" s="293" t="s">
        <v>432</v>
      </c>
      <c r="D595" s="293" t="s">
        <v>774</v>
      </c>
      <c r="E595" s="293" t="s">
        <v>1314</v>
      </c>
      <c r="F595" s="294">
        <v>270000</v>
      </c>
      <c r="G595" s="143" t="str">
        <f t="shared" si="10"/>
        <v>08010510080520</v>
      </c>
    </row>
    <row r="596" spans="1:7" ht="25.5" x14ac:dyDescent="0.2">
      <c r="A596" s="292" t="s">
        <v>1510</v>
      </c>
      <c r="B596" s="293" t="s">
        <v>246</v>
      </c>
      <c r="C596" s="293" t="s">
        <v>432</v>
      </c>
      <c r="D596" s="293" t="s">
        <v>774</v>
      </c>
      <c r="E596" s="293" t="s">
        <v>1511</v>
      </c>
      <c r="F596" s="294">
        <v>270000</v>
      </c>
      <c r="G596" s="143" t="str">
        <f t="shared" si="10"/>
        <v>08010510080520600</v>
      </c>
    </row>
    <row r="597" spans="1:7" x14ac:dyDescent="0.2">
      <c r="A597" s="292" t="s">
        <v>1340</v>
      </c>
      <c r="B597" s="293" t="s">
        <v>246</v>
      </c>
      <c r="C597" s="293" t="s">
        <v>432</v>
      </c>
      <c r="D597" s="293" t="s">
        <v>774</v>
      </c>
      <c r="E597" s="293" t="s">
        <v>1341</v>
      </c>
      <c r="F597" s="294">
        <v>270000</v>
      </c>
      <c r="G597" s="143" t="str">
        <f t="shared" si="10"/>
        <v>08010510080520610</v>
      </c>
    </row>
    <row r="598" spans="1:7" x14ac:dyDescent="0.2">
      <c r="A598" s="292" t="s">
        <v>406</v>
      </c>
      <c r="B598" s="293" t="s">
        <v>246</v>
      </c>
      <c r="C598" s="293" t="s">
        <v>432</v>
      </c>
      <c r="D598" s="293" t="s">
        <v>774</v>
      </c>
      <c r="E598" s="293" t="s">
        <v>407</v>
      </c>
      <c r="F598" s="294">
        <v>270000</v>
      </c>
      <c r="G598" s="143" t="str">
        <f t="shared" si="10"/>
        <v>08010510080520612</v>
      </c>
    </row>
    <row r="599" spans="1:7" ht="38.25" x14ac:dyDescent="0.2">
      <c r="A599" s="292" t="s">
        <v>441</v>
      </c>
      <c r="B599" s="293" t="s">
        <v>246</v>
      </c>
      <c r="C599" s="293" t="s">
        <v>432</v>
      </c>
      <c r="D599" s="293" t="s">
        <v>775</v>
      </c>
      <c r="E599" s="293" t="s">
        <v>1314</v>
      </c>
      <c r="F599" s="294">
        <v>250000</v>
      </c>
      <c r="G599" s="143" t="str">
        <f t="shared" si="10"/>
        <v>08010510080530</v>
      </c>
    </row>
    <row r="600" spans="1:7" ht="25.5" x14ac:dyDescent="0.2">
      <c r="A600" s="292" t="s">
        <v>1510</v>
      </c>
      <c r="B600" s="293" t="s">
        <v>246</v>
      </c>
      <c r="C600" s="293" t="s">
        <v>432</v>
      </c>
      <c r="D600" s="293" t="s">
        <v>775</v>
      </c>
      <c r="E600" s="293" t="s">
        <v>1511</v>
      </c>
      <c r="F600" s="294">
        <v>250000</v>
      </c>
      <c r="G600" s="143" t="str">
        <f t="shared" si="10"/>
        <v>08010510080530600</v>
      </c>
    </row>
    <row r="601" spans="1:7" x14ac:dyDescent="0.2">
      <c r="A601" s="292" t="s">
        <v>1340</v>
      </c>
      <c r="B601" s="293" t="s">
        <v>246</v>
      </c>
      <c r="C601" s="293" t="s">
        <v>432</v>
      </c>
      <c r="D601" s="293" t="s">
        <v>775</v>
      </c>
      <c r="E601" s="293" t="s">
        <v>1341</v>
      </c>
      <c r="F601" s="294">
        <v>250000</v>
      </c>
      <c r="G601" s="143" t="str">
        <f t="shared" si="10"/>
        <v>08010510080530610</v>
      </c>
    </row>
    <row r="602" spans="1:7" x14ac:dyDescent="0.2">
      <c r="A602" s="292" t="s">
        <v>406</v>
      </c>
      <c r="B602" s="293" t="s">
        <v>246</v>
      </c>
      <c r="C602" s="293" t="s">
        <v>432</v>
      </c>
      <c r="D602" s="293" t="s">
        <v>775</v>
      </c>
      <c r="E602" s="293" t="s">
        <v>407</v>
      </c>
      <c r="F602" s="294">
        <v>250000</v>
      </c>
      <c r="G602" s="143" t="str">
        <f t="shared" si="10"/>
        <v>08010510080530612</v>
      </c>
    </row>
    <row r="603" spans="1:7" ht="38.25" x14ac:dyDescent="0.2">
      <c r="A603" s="292" t="s">
        <v>1730</v>
      </c>
      <c r="B603" s="293" t="s">
        <v>246</v>
      </c>
      <c r="C603" s="293" t="s">
        <v>432</v>
      </c>
      <c r="D603" s="293" t="s">
        <v>769</v>
      </c>
      <c r="E603" s="293" t="s">
        <v>1314</v>
      </c>
      <c r="F603" s="294">
        <v>439250</v>
      </c>
      <c r="G603" s="143" t="str">
        <f t="shared" si="10"/>
        <v>080105100S4880</v>
      </c>
    </row>
    <row r="604" spans="1:7" ht="25.5" x14ac:dyDescent="0.2">
      <c r="A604" s="292" t="s">
        <v>1510</v>
      </c>
      <c r="B604" s="293" t="s">
        <v>246</v>
      </c>
      <c r="C604" s="293" t="s">
        <v>432</v>
      </c>
      <c r="D604" s="293" t="s">
        <v>769</v>
      </c>
      <c r="E604" s="293" t="s">
        <v>1511</v>
      </c>
      <c r="F604" s="294">
        <v>439250</v>
      </c>
      <c r="G604" s="143" t="str">
        <f t="shared" si="10"/>
        <v>080105100S4880600</v>
      </c>
    </row>
    <row r="605" spans="1:7" x14ac:dyDescent="0.2">
      <c r="A605" s="292" t="s">
        <v>1340</v>
      </c>
      <c r="B605" s="293" t="s">
        <v>246</v>
      </c>
      <c r="C605" s="293" t="s">
        <v>432</v>
      </c>
      <c r="D605" s="293" t="s">
        <v>769</v>
      </c>
      <c r="E605" s="293" t="s">
        <v>1341</v>
      </c>
      <c r="F605" s="294">
        <v>439250</v>
      </c>
      <c r="G605" s="143" t="str">
        <f t="shared" si="10"/>
        <v>080105100S4880610</v>
      </c>
    </row>
    <row r="606" spans="1:7" x14ac:dyDescent="0.2">
      <c r="A606" s="292" t="s">
        <v>406</v>
      </c>
      <c r="B606" s="293" t="s">
        <v>246</v>
      </c>
      <c r="C606" s="293" t="s">
        <v>432</v>
      </c>
      <c r="D606" s="293" t="s">
        <v>769</v>
      </c>
      <c r="E606" s="293" t="s">
        <v>407</v>
      </c>
      <c r="F606" s="294">
        <v>439250</v>
      </c>
      <c r="G606" s="143" t="str">
        <f t="shared" si="10"/>
        <v>080105100S4880612</v>
      </c>
    </row>
    <row r="607" spans="1:7" x14ac:dyDescent="0.2">
      <c r="A607" s="292" t="s">
        <v>641</v>
      </c>
      <c r="B607" s="293" t="s">
        <v>246</v>
      </c>
      <c r="C607" s="293" t="s">
        <v>432</v>
      </c>
      <c r="D607" s="293" t="s">
        <v>1043</v>
      </c>
      <c r="E607" s="293" t="s">
        <v>1314</v>
      </c>
      <c r="F607" s="294">
        <v>93317800</v>
      </c>
      <c r="G607" s="143" t="str">
        <f t="shared" si="10"/>
        <v>08010520000000</v>
      </c>
    </row>
    <row r="608" spans="1:7" ht="89.25" x14ac:dyDescent="0.2">
      <c r="A608" s="292" t="s">
        <v>558</v>
      </c>
      <c r="B608" s="293" t="s">
        <v>246</v>
      </c>
      <c r="C608" s="293" t="s">
        <v>432</v>
      </c>
      <c r="D608" s="293" t="s">
        <v>777</v>
      </c>
      <c r="E608" s="293" t="s">
        <v>1314</v>
      </c>
      <c r="F608" s="294">
        <v>67298750</v>
      </c>
      <c r="G608" s="143" t="str">
        <f t="shared" si="10"/>
        <v>08010520040000</v>
      </c>
    </row>
    <row r="609" spans="1:7" ht="25.5" x14ac:dyDescent="0.2">
      <c r="A609" s="292" t="s">
        <v>1510</v>
      </c>
      <c r="B609" s="293" t="s">
        <v>246</v>
      </c>
      <c r="C609" s="293" t="s">
        <v>432</v>
      </c>
      <c r="D609" s="293" t="s">
        <v>777</v>
      </c>
      <c r="E609" s="293" t="s">
        <v>1511</v>
      </c>
      <c r="F609" s="294">
        <v>67298750</v>
      </c>
      <c r="G609" s="143" t="str">
        <f t="shared" si="10"/>
        <v>08010520040000600</v>
      </c>
    </row>
    <row r="610" spans="1:7" x14ac:dyDescent="0.2">
      <c r="A610" s="292" t="s">
        <v>1340</v>
      </c>
      <c r="B610" s="293" t="s">
        <v>246</v>
      </c>
      <c r="C610" s="293" t="s">
        <v>432</v>
      </c>
      <c r="D610" s="293" t="s">
        <v>777</v>
      </c>
      <c r="E610" s="293" t="s">
        <v>1341</v>
      </c>
      <c r="F610" s="294">
        <v>67298750</v>
      </c>
      <c r="G610" s="143" t="str">
        <f t="shared" si="10"/>
        <v>08010520040000610</v>
      </c>
    </row>
    <row r="611" spans="1:7" ht="51" x14ac:dyDescent="0.2">
      <c r="A611" s="292" t="s">
        <v>387</v>
      </c>
      <c r="B611" s="293" t="s">
        <v>246</v>
      </c>
      <c r="C611" s="293" t="s">
        <v>432</v>
      </c>
      <c r="D611" s="293" t="s">
        <v>777</v>
      </c>
      <c r="E611" s="293" t="s">
        <v>388</v>
      </c>
      <c r="F611" s="294">
        <v>67298750</v>
      </c>
      <c r="G611" s="143" t="str">
        <f t="shared" si="10"/>
        <v>08010520040000611</v>
      </c>
    </row>
    <row r="612" spans="1:7" ht="114.75" x14ac:dyDescent="0.2">
      <c r="A612" s="292" t="s">
        <v>559</v>
      </c>
      <c r="B612" s="293" t="s">
        <v>246</v>
      </c>
      <c r="C612" s="293" t="s">
        <v>432</v>
      </c>
      <c r="D612" s="293" t="s">
        <v>778</v>
      </c>
      <c r="E612" s="293" t="s">
        <v>1314</v>
      </c>
      <c r="F612" s="294">
        <v>120000</v>
      </c>
      <c r="G612" s="143" t="str">
        <f t="shared" si="10"/>
        <v>08010520041000</v>
      </c>
    </row>
    <row r="613" spans="1:7" ht="25.5" x14ac:dyDescent="0.2">
      <c r="A613" s="292" t="s">
        <v>1510</v>
      </c>
      <c r="B613" s="293" t="s">
        <v>246</v>
      </c>
      <c r="C613" s="293" t="s">
        <v>432</v>
      </c>
      <c r="D613" s="293" t="s">
        <v>778</v>
      </c>
      <c r="E613" s="293" t="s">
        <v>1511</v>
      </c>
      <c r="F613" s="294">
        <v>120000</v>
      </c>
      <c r="G613" s="143" t="str">
        <f t="shared" si="10"/>
        <v>08010520041000600</v>
      </c>
    </row>
    <row r="614" spans="1:7" x14ac:dyDescent="0.2">
      <c r="A614" s="292" t="s">
        <v>1340</v>
      </c>
      <c r="B614" s="293" t="s">
        <v>246</v>
      </c>
      <c r="C614" s="293" t="s">
        <v>432</v>
      </c>
      <c r="D614" s="293" t="s">
        <v>778</v>
      </c>
      <c r="E614" s="293" t="s">
        <v>1341</v>
      </c>
      <c r="F614" s="294">
        <v>120000</v>
      </c>
      <c r="G614" s="143" t="str">
        <f t="shared" si="10"/>
        <v>08010520041000610</v>
      </c>
    </row>
    <row r="615" spans="1:7" ht="51" x14ac:dyDescent="0.2">
      <c r="A615" s="292" t="s">
        <v>387</v>
      </c>
      <c r="B615" s="293" t="s">
        <v>246</v>
      </c>
      <c r="C615" s="293" t="s">
        <v>432</v>
      </c>
      <c r="D615" s="293" t="s">
        <v>778</v>
      </c>
      <c r="E615" s="293" t="s">
        <v>388</v>
      </c>
      <c r="F615" s="294">
        <v>120000</v>
      </c>
      <c r="G615" s="143" t="str">
        <f t="shared" si="10"/>
        <v>08010520041000611</v>
      </c>
    </row>
    <row r="616" spans="1:7" ht="89.25" x14ac:dyDescent="0.2">
      <c r="A616" s="292" t="s">
        <v>560</v>
      </c>
      <c r="B616" s="293" t="s">
        <v>246</v>
      </c>
      <c r="C616" s="293" t="s">
        <v>432</v>
      </c>
      <c r="D616" s="293" t="s">
        <v>779</v>
      </c>
      <c r="E616" s="293" t="s">
        <v>1314</v>
      </c>
      <c r="F616" s="294">
        <v>977050</v>
      </c>
      <c r="G616" s="143" t="str">
        <f t="shared" si="10"/>
        <v>08010520045000</v>
      </c>
    </row>
    <row r="617" spans="1:7" ht="25.5" x14ac:dyDescent="0.2">
      <c r="A617" s="292" t="s">
        <v>1510</v>
      </c>
      <c r="B617" s="293" t="s">
        <v>246</v>
      </c>
      <c r="C617" s="293" t="s">
        <v>432</v>
      </c>
      <c r="D617" s="293" t="s">
        <v>779</v>
      </c>
      <c r="E617" s="293" t="s">
        <v>1511</v>
      </c>
      <c r="F617" s="294">
        <v>977050</v>
      </c>
      <c r="G617" s="143" t="str">
        <f t="shared" ref="G617:G680" si="11">CONCATENATE(C617,D617,E617)</f>
        <v>08010520045000600</v>
      </c>
    </row>
    <row r="618" spans="1:7" x14ac:dyDescent="0.2">
      <c r="A618" s="292" t="s">
        <v>1340</v>
      </c>
      <c r="B618" s="293" t="s">
        <v>246</v>
      </c>
      <c r="C618" s="293" t="s">
        <v>432</v>
      </c>
      <c r="D618" s="293" t="s">
        <v>779</v>
      </c>
      <c r="E618" s="293" t="s">
        <v>1341</v>
      </c>
      <c r="F618" s="294">
        <v>977050</v>
      </c>
      <c r="G618" s="143" t="str">
        <f t="shared" si="11"/>
        <v>08010520045000610</v>
      </c>
    </row>
    <row r="619" spans="1:7" ht="51" x14ac:dyDescent="0.2">
      <c r="A619" s="292" t="s">
        <v>387</v>
      </c>
      <c r="B619" s="293" t="s">
        <v>246</v>
      </c>
      <c r="C619" s="293" t="s">
        <v>432</v>
      </c>
      <c r="D619" s="293" t="s">
        <v>779</v>
      </c>
      <c r="E619" s="293" t="s">
        <v>388</v>
      </c>
      <c r="F619" s="294">
        <v>977050</v>
      </c>
      <c r="G619" s="143" t="str">
        <f t="shared" si="11"/>
        <v>08010520045000611</v>
      </c>
    </row>
    <row r="620" spans="1:7" ht="76.5" x14ac:dyDescent="0.2">
      <c r="A620" s="292" t="s">
        <v>561</v>
      </c>
      <c r="B620" s="293" t="s">
        <v>246</v>
      </c>
      <c r="C620" s="293" t="s">
        <v>432</v>
      </c>
      <c r="D620" s="293" t="s">
        <v>780</v>
      </c>
      <c r="E620" s="293" t="s">
        <v>1314</v>
      </c>
      <c r="F620" s="294">
        <v>472000</v>
      </c>
      <c r="G620" s="143" t="str">
        <f t="shared" si="11"/>
        <v>08010520047000</v>
      </c>
    </row>
    <row r="621" spans="1:7" ht="25.5" x14ac:dyDescent="0.2">
      <c r="A621" s="292" t="s">
        <v>1510</v>
      </c>
      <c r="B621" s="293" t="s">
        <v>246</v>
      </c>
      <c r="C621" s="293" t="s">
        <v>432</v>
      </c>
      <c r="D621" s="293" t="s">
        <v>780</v>
      </c>
      <c r="E621" s="293" t="s">
        <v>1511</v>
      </c>
      <c r="F621" s="294">
        <v>472000</v>
      </c>
      <c r="G621" s="143" t="str">
        <f t="shared" si="11"/>
        <v>08010520047000600</v>
      </c>
    </row>
    <row r="622" spans="1:7" x14ac:dyDescent="0.2">
      <c r="A622" s="292" t="s">
        <v>1340</v>
      </c>
      <c r="B622" s="293" t="s">
        <v>246</v>
      </c>
      <c r="C622" s="293" t="s">
        <v>432</v>
      </c>
      <c r="D622" s="293" t="s">
        <v>780</v>
      </c>
      <c r="E622" s="293" t="s">
        <v>1341</v>
      </c>
      <c r="F622" s="294">
        <v>472000</v>
      </c>
      <c r="G622" s="143" t="str">
        <f t="shared" si="11"/>
        <v>08010520047000610</v>
      </c>
    </row>
    <row r="623" spans="1:7" x14ac:dyDescent="0.2">
      <c r="A623" s="292" t="s">
        <v>406</v>
      </c>
      <c r="B623" s="293" t="s">
        <v>246</v>
      </c>
      <c r="C623" s="293" t="s">
        <v>432</v>
      </c>
      <c r="D623" s="293" t="s">
        <v>780</v>
      </c>
      <c r="E623" s="293" t="s">
        <v>407</v>
      </c>
      <c r="F623" s="294">
        <v>472000</v>
      </c>
      <c r="G623" s="143" t="str">
        <f t="shared" si="11"/>
        <v>08010520047000612</v>
      </c>
    </row>
    <row r="624" spans="1:7" ht="89.25" x14ac:dyDescent="0.2">
      <c r="A624" s="292" t="s">
        <v>617</v>
      </c>
      <c r="B624" s="293" t="s">
        <v>246</v>
      </c>
      <c r="C624" s="293" t="s">
        <v>432</v>
      </c>
      <c r="D624" s="293" t="s">
        <v>781</v>
      </c>
      <c r="E624" s="293" t="s">
        <v>1314</v>
      </c>
      <c r="F624" s="294">
        <v>18620000</v>
      </c>
      <c r="G624" s="143" t="str">
        <f t="shared" si="11"/>
        <v>0801052004Г000</v>
      </c>
    </row>
    <row r="625" spans="1:7" ht="25.5" x14ac:dyDescent="0.2">
      <c r="A625" s="292" t="s">
        <v>1510</v>
      </c>
      <c r="B625" s="293" t="s">
        <v>246</v>
      </c>
      <c r="C625" s="293" t="s">
        <v>432</v>
      </c>
      <c r="D625" s="293" t="s">
        <v>781</v>
      </c>
      <c r="E625" s="293" t="s">
        <v>1511</v>
      </c>
      <c r="F625" s="294">
        <v>18620000</v>
      </c>
      <c r="G625" s="143" t="str">
        <f t="shared" si="11"/>
        <v>0801052004Г000600</v>
      </c>
    </row>
    <row r="626" spans="1:7" x14ac:dyDescent="0.2">
      <c r="A626" s="292" t="s">
        <v>1340</v>
      </c>
      <c r="B626" s="293" t="s">
        <v>246</v>
      </c>
      <c r="C626" s="293" t="s">
        <v>432</v>
      </c>
      <c r="D626" s="293" t="s">
        <v>781</v>
      </c>
      <c r="E626" s="293" t="s">
        <v>1341</v>
      </c>
      <c r="F626" s="294">
        <v>18620000</v>
      </c>
      <c r="G626" s="143" t="str">
        <f t="shared" si="11"/>
        <v>0801052004Г000610</v>
      </c>
    </row>
    <row r="627" spans="1:7" ht="51" x14ac:dyDescent="0.2">
      <c r="A627" s="292" t="s">
        <v>387</v>
      </c>
      <c r="B627" s="293" t="s">
        <v>246</v>
      </c>
      <c r="C627" s="293" t="s">
        <v>432</v>
      </c>
      <c r="D627" s="293" t="s">
        <v>781</v>
      </c>
      <c r="E627" s="293" t="s">
        <v>388</v>
      </c>
      <c r="F627" s="294">
        <v>18620000</v>
      </c>
      <c r="G627" s="143" t="str">
        <f t="shared" si="11"/>
        <v>0801052004Г000611</v>
      </c>
    </row>
    <row r="628" spans="1:7" ht="63.75" x14ac:dyDescent="0.2">
      <c r="A628" s="292" t="s">
        <v>1916</v>
      </c>
      <c r="B628" s="293" t="s">
        <v>246</v>
      </c>
      <c r="C628" s="293" t="s">
        <v>432</v>
      </c>
      <c r="D628" s="293" t="s">
        <v>1917</v>
      </c>
      <c r="E628" s="293" t="s">
        <v>1314</v>
      </c>
      <c r="F628" s="294">
        <v>380000</v>
      </c>
      <c r="G628" s="143" t="str">
        <f t="shared" si="11"/>
        <v>0801052004М000</v>
      </c>
    </row>
    <row r="629" spans="1:7" ht="25.5" x14ac:dyDescent="0.2">
      <c r="A629" s="292" t="s">
        <v>1510</v>
      </c>
      <c r="B629" s="293" t="s">
        <v>246</v>
      </c>
      <c r="C629" s="293" t="s">
        <v>432</v>
      </c>
      <c r="D629" s="293" t="s">
        <v>1917</v>
      </c>
      <c r="E629" s="293" t="s">
        <v>1511</v>
      </c>
      <c r="F629" s="294">
        <v>380000</v>
      </c>
      <c r="G629" s="143" t="str">
        <f t="shared" si="11"/>
        <v>0801052004М000600</v>
      </c>
    </row>
    <row r="630" spans="1:7" x14ac:dyDescent="0.2">
      <c r="A630" s="292" t="s">
        <v>1340</v>
      </c>
      <c r="B630" s="293" t="s">
        <v>246</v>
      </c>
      <c r="C630" s="293" t="s">
        <v>432</v>
      </c>
      <c r="D630" s="293" t="s">
        <v>1917</v>
      </c>
      <c r="E630" s="293" t="s">
        <v>1341</v>
      </c>
      <c r="F630" s="294">
        <v>380000</v>
      </c>
      <c r="G630" s="143" t="str">
        <f t="shared" si="11"/>
        <v>0801052004М000610</v>
      </c>
    </row>
    <row r="631" spans="1:7" ht="51" x14ac:dyDescent="0.2">
      <c r="A631" s="292" t="s">
        <v>387</v>
      </c>
      <c r="B631" s="293" t="s">
        <v>246</v>
      </c>
      <c r="C631" s="293" t="s">
        <v>432</v>
      </c>
      <c r="D631" s="293" t="s">
        <v>1917</v>
      </c>
      <c r="E631" s="293" t="s">
        <v>388</v>
      </c>
      <c r="F631" s="294">
        <v>380000</v>
      </c>
      <c r="G631" s="143" t="str">
        <f t="shared" si="11"/>
        <v>0801052004М000611</v>
      </c>
    </row>
    <row r="632" spans="1:7" ht="76.5" x14ac:dyDescent="0.2">
      <c r="A632" s="292" t="s">
        <v>1020</v>
      </c>
      <c r="B632" s="293" t="s">
        <v>246</v>
      </c>
      <c r="C632" s="293" t="s">
        <v>432</v>
      </c>
      <c r="D632" s="293" t="s">
        <v>1021</v>
      </c>
      <c r="E632" s="293" t="s">
        <v>1314</v>
      </c>
      <c r="F632" s="294">
        <v>3350000</v>
      </c>
      <c r="G632" s="143" t="str">
        <f t="shared" si="11"/>
        <v>0801052004Э000</v>
      </c>
    </row>
    <row r="633" spans="1:7" ht="25.5" x14ac:dyDescent="0.2">
      <c r="A633" s="292" t="s">
        <v>1510</v>
      </c>
      <c r="B633" s="293" t="s">
        <v>246</v>
      </c>
      <c r="C633" s="293" t="s">
        <v>432</v>
      </c>
      <c r="D633" s="293" t="s">
        <v>1021</v>
      </c>
      <c r="E633" s="293" t="s">
        <v>1511</v>
      </c>
      <c r="F633" s="294">
        <v>3350000</v>
      </c>
      <c r="G633" s="143" t="str">
        <f t="shared" si="11"/>
        <v>0801052004Э000600</v>
      </c>
    </row>
    <row r="634" spans="1:7" x14ac:dyDescent="0.2">
      <c r="A634" s="292" t="s">
        <v>1340</v>
      </c>
      <c r="B634" s="293" t="s">
        <v>246</v>
      </c>
      <c r="C634" s="293" t="s">
        <v>432</v>
      </c>
      <c r="D634" s="293" t="s">
        <v>1021</v>
      </c>
      <c r="E634" s="293" t="s">
        <v>1341</v>
      </c>
      <c r="F634" s="294">
        <v>3350000</v>
      </c>
      <c r="G634" s="143" t="str">
        <f t="shared" si="11"/>
        <v>0801052004Э000610</v>
      </c>
    </row>
    <row r="635" spans="1:7" ht="51" x14ac:dyDescent="0.2">
      <c r="A635" s="292" t="s">
        <v>387</v>
      </c>
      <c r="B635" s="293" t="s">
        <v>246</v>
      </c>
      <c r="C635" s="293" t="s">
        <v>432</v>
      </c>
      <c r="D635" s="293" t="s">
        <v>1021</v>
      </c>
      <c r="E635" s="293" t="s">
        <v>388</v>
      </c>
      <c r="F635" s="294">
        <v>3350000</v>
      </c>
      <c r="G635" s="143" t="str">
        <f t="shared" si="11"/>
        <v>0801052004Э000611</v>
      </c>
    </row>
    <row r="636" spans="1:7" ht="51" x14ac:dyDescent="0.2">
      <c r="A636" s="292" t="s">
        <v>550</v>
      </c>
      <c r="B636" s="293" t="s">
        <v>246</v>
      </c>
      <c r="C636" s="293" t="s">
        <v>432</v>
      </c>
      <c r="D636" s="293" t="s">
        <v>759</v>
      </c>
      <c r="E636" s="293" t="s">
        <v>1314</v>
      </c>
      <c r="F636" s="294">
        <v>2010508</v>
      </c>
      <c r="G636" s="143" t="str">
        <f t="shared" si="11"/>
        <v>08010520080520</v>
      </c>
    </row>
    <row r="637" spans="1:7" ht="25.5" x14ac:dyDescent="0.2">
      <c r="A637" s="292" t="s">
        <v>1510</v>
      </c>
      <c r="B637" s="293" t="s">
        <v>246</v>
      </c>
      <c r="C637" s="293" t="s">
        <v>432</v>
      </c>
      <c r="D637" s="293" t="s">
        <v>759</v>
      </c>
      <c r="E637" s="293" t="s">
        <v>1511</v>
      </c>
      <c r="F637" s="294">
        <v>2010508</v>
      </c>
      <c r="G637" s="143" t="str">
        <f t="shared" si="11"/>
        <v>08010520080520600</v>
      </c>
    </row>
    <row r="638" spans="1:7" x14ac:dyDescent="0.2">
      <c r="A638" s="292" t="s">
        <v>1340</v>
      </c>
      <c r="B638" s="293" t="s">
        <v>246</v>
      </c>
      <c r="C638" s="293" t="s">
        <v>432</v>
      </c>
      <c r="D638" s="293" t="s">
        <v>759</v>
      </c>
      <c r="E638" s="293" t="s">
        <v>1341</v>
      </c>
      <c r="F638" s="294">
        <v>2010508</v>
      </c>
      <c r="G638" s="143" t="str">
        <f t="shared" si="11"/>
        <v>08010520080520610</v>
      </c>
    </row>
    <row r="639" spans="1:7" x14ac:dyDescent="0.2">
      <c r="A639" s="292" t="s">
        <v>406</v>
      </c>
      <c r="B639" s="293" t="s">
        <v>246</v>
      </c>
      <c r="C639" s="293" t="s">
        <v>432</v>
      </c>
      <c r="D639" s="293" t="s">
        <v>759</v>
      </c>
      <c r="E639" s="293" t="s">
        <v>407</v>
      </c>
      <c r="F639" s="294">
        <v>2010508</v>
      </c>
      <c r="G639" s="143" t="str">
        <f t="shared" si="11"/>
        <v>08010520080520612</v>
      </c>
    </row>
    <row r="640" spans="1:7" ht="51" x14ac:dyDescent="0.2">
      <c r="A640" s="292" t="s">
        <v>1683</v>
      </c>
      <c r="B640" s="293" t="s">
        <v>246</v>
      </c>
      <c r="C640" s="293" t="s">
        <v>432</v>
      </c>
      <c r="D640" s="293" t="s">
        <v>1684</v>
      </c>
      <c r="E640" s="293" t="s">
        <v>1314</v>
      </c>
      <c r="F640" s="294">
        <v>89492</v>
      </c>
      <c r="G640" s="143" t="str">
        <f t="shared" si="11"/>
        <v>08010520080540</v>
      </c>
    </row>
    <row r="641" spans="1:7" ht="25.5" x14ac:dyDescent="0.2">
      <c r="A641" s="292" t="s">
        <v>1510</v>
      </c>
      <c r="B641" s="293" t="s">
        <v>246</v>
      </c>
      <c r="C641" s="293" t="s">
        <v>432</v>
      </c>
      <c r="D641" s="293" t="s">
        <v>1684</v>
      </c>
      <c r="E641" s="293" t="s">
        <v>1511</v>
      </c>
      <c r="F641" s="294">
        <v>89492</v>
      </c>
      <c r="G641" s="143" t="str">
        <f t="shared" si="11"/>
        <v>08010520080540600</v>
      </c>
    </row>
    <row r="642" spans="1:7" x14ac:dyDescent="0.2">
      <c r="A642" s="292" t="s">
        <v>1340</v>
      </c>
      <c r="B642" s="293" t="s">
        <v>246</v>
      </c>
      <c r="C642" s="293" t="s">
        <v>432</v>
      </c>
      <c r="D642" s="293" t="s">
        <v>1684</v>
      </c>
      <c r="E642" s="293" t="s">
        <v>1341</v>
      </c>
      <c r="F642" s="294">
        <v>89492</v>
      </c>
      <c r="G642" s="143" t="str">
        <f t="shared" si="11"/>
        <v>08010520080540610</v>
      </c>
    </row>
    <row r="643" spans="1:7" x14ac:dyDescent="0.2">
      <c r="A643" s="292" t="s">
        <v>406</v>
      </c>
      <c r="B643" s="293" t="s">
        <v>246</v>
      </c>
      <c r="C643" s="293" t="s">
        <v>432</v>
      </c>
      <c r="D643" s="293" t="s">
        <v>1684</v>
      </c>
      <c r="E643" s="293" t="s">
        <v>407</v>
      </c>
      <c r="F643" s="294">
        <v>89492</v>
      </c>
      <c r="G643" s="143" t="str">
        <f t="shared" si="11"/>
        <v>08010520080540612</v>
      </c>
    </row>
    <row r="644" spans="1:7" ht="38.25" x14ac:dyDescent="0.2">
      <c r="A644" s="292" t="s">
        <v>2048</v>
      </c>
      <c r="B644" s="293" t="s">
        <v>246</v>
      </c>
      <c r="C644" s="293" t="s">
        <v>432</v>
      </c>
      <c r="D644" s="293" t="s">
        <v>2049</v>
      </c>
      <c r="E644" s="293" t="s">
        <v>1314</v>
      </c>
      <c r="F644" s="294">
        <v>100000</v>
      </c>
      <c r="G644" s="143" t="str">
        <f t="shared" si="11"/>
        <v>08011300000000</v>
      </c>
    </row>
    <row r="645" spans="1:7" ht="38.25" x14ac:dyDescent="0.2">
      <c r="A645" s="292" t="s">
        <v>2066</v>
      </c>
      <c r="B645" s="293" t="s">
        <v>246</v>
      </c>
      <c r="C645" s="293" t="s">
        <v>432</v>
      </c>
      <c r="D645" s="293" t="s">
        <v>2067</v>
      </c>
      <c r="E645" s="293" t="s">
        <v>1314</v>
      </c>
      <c r="F645" s="294">
        <v>100000</v>
      </c>
      <c r="G645" s="143" t="str">
        <f t="shared" si="11"/>
        <v>08011320000000</v>
      </c>
    </row>
    <row r="646" spans="1:7" ht="102" x14ac:dyDescent="0.2">
      <c r="A646" s="292" t="s">
        <v>2068</v>
      </c>
      <c r="B646" s="293" t="s">
        <v>246</v>
      </c>
      <c r="C646" s="293" t="s">
        <v>432</v>
      </c>
      <c r="D646" s="293" t="s">
        <v>2069</v>
      </c>
      <c r="E646" s="293" t="s">
        <v>1314</v>
      </c>
      <c r="F646" s="294">
        <v>50000</v>
      </c>
      <c r="G646" s="143" t="str">
        <f t="shared" si="11"/>
        <v>08011320080010</v>
      </c>
    </row>
    <row r="647" spans="1:7" ht="25.5" x14ac:dyDescent="0.2">
      <c r="A647" s="292" t="s">
        <v>1502</v>
      </c>
      <c r="B647" s="293" t="s">
        <v>246</v>
      </c>
      <c r="C647" s="293" t="s">
        <v>432</v>
      </c>
      <c r="D647" s="293" t="s">
        <v>2069</v>
      </c>
      <c r="E647" s="293" t="s">
        <v>1503</v>
      </c>
      <c r="F647" s="294">
        <v>50000</v>
      </c>
      <c r="G647" s="143" t="str">
        <f t="shared" si="11"/>
        <v>08011320080010200</v>
      </c>
    </row>
    <row r="648" spans="1:7" ht="25.5" x14ac:dyDescent="0.2">
      <c r="A648" s="292" t="s">
        <v>1338</v>
      </c>
      <c r="B648" s="293" t="s">
        <v>246</v>
      </c>
      <c r="C648" s="293" t="s">
        <v>432</v>
      </c>
      <c r="D648" s="293" t="s">
        <v>2069</v>
      </c>
      <c r="E648" s="293" t="s">
        <v>1339</v>
      </c>
      <c r="F648" s="294">
        <v>50000</v>
      </c>
      <c r="G648" s="143" t="str">
        <f t="shared" si="11"/>
        <v>08011320080010240</v>
      </c>
    </row>
    <row r="649" spans="1:7" x14ac:dyDescent="0.2">
      <c r="A649" s="292" t="s">
        <v>1379</v>
      </c>
      <c r="B649" s="293" t="s">
        <v>246</v>
      </c>
      <c r="C649" s="293" t="s">
        <v>432</v>
      </c>
      <c r="D649" s="293" t="s">
        <v>2069</v>
      </c>
      <c r="E649" s="293" t="s">
        <v>368</v>
      </c>
      <c r="F649" s="294">
        <v>50000</v>
      </c>
      <c r="G649" s="143" t="str">
        <f t="shared" si="11"/>
        <v>08011320080010244</v>
      </c>
    </row>
    <row r="650" spans="1:7" ht="89.25" x14ac:dyDescent="0.2">
      <c r="A650" s="292" t="s">
        <v>2070</v>
      </c>
      <c r="B650" s="293" t="s">
        <v>246</v>
      </c>
      <c r="C650" s="293" t="s">
        <v>432</v>
      </c>
      <c r="D650" s="293" t="s">
        <v>2071</v>
      </c>
      <c r="E650" s="293" t="s">
        <v>1314</v>
      </c>
      <c r="F650" s="294">
        <v>50000</v>
      </c>
      <c r="G650" s="143" t="str">
        <f t="shared" si="11"/>
        <v>08011320080020</v>
      </c>
    </row>
    <row r="651" spans="1:7" ht="25.5" x14ac:dyDescent="0.2">
      <c r="A651" s="292" t="s">
        <v>1502</v>
      </c>
      <c r="B651" s="293" t="s">
        <v>246</v>
      </c>
      <c r="C651" s="293" t="s">
        <v>432</v>
      </c>
      <c r="D651" s="293" t="s">
        <v>2071</v>
      </c>
      <c r="E651" s="293" t="s">
        <v>1503</v>
      </c>
      <c r="F651" s="294">
        <v>50000</v>
      </c>
      <c r="G651" s="143" t="str">
        <f t="shared" si="11"/>
        <v>08011320080020200</v>
      </c>
    </row>
    <row r="652" spans="1:7" ht="25.5" x14ac:dyDescent="0.2">
      <c r="A652" s="292" t="s">
        <v>1338</v>
      </c>
      <c r="B652" s="293" t="s">
        <v>246</v>
      </c>
      <c r="C652" s="293" t="s">
        <v>432</v>
      </c>
      <c r="D652" s="293" t="s">
        <v>2071</v>
      </c>
      <c r="E652" s="293" t="s">
        <v>1339</v>
      </c>
      <c r="F652" s="294">
        <v>50000</v>
      </c>
      <c r="G652" s="143" t="str">
        <f t="shared" si="11"/>
        <v>08011320080020240</v>
      </c>
    </row>
    <row r="653" spans="1:7" x14ac:dyDescent="0.2">
      <c r="A653" s="292" t="s">
        <v>1379</v>
      </c>
      <c r="B653" s="293" t="s">
        <v>246</v>
      </c>
      <c r="C653" s="293" t="s">
        <v>432</v>
      </c>
      <c r="D653" s="293" t="s">
        <v>2071</v>
      </c>
      <c r="E653" s="293" t="s">
        <v>368</v>
      </c>
      <c r="F653" s="294">
        <v>50000</v>
      </c>
      <c r="G653" s="143" t="str">
        <f t="shared" si="11"/>
        <v>08011320080020244</v>
      </c>
    </row>
    <row r="654" spans="1:7" x14ac:dyDescent="0.2">
      <c r="A654" s="292" t="s">
        <v>0</v>
      </c>
      <c r="B654" s="293" t="s">
        <v>246</v>
      </c>
      <c r="C654" s="293" t="s">
        <v>442</v>
      </c>
      <c r="D654" s="293" t="s">
        <v>1314</v>
      </c>
      <c r="E654" s="293" t="s">
        <v>1314</v>
      </c>
      <c r="F654" s="294">
        <v>78976249</v>
      </c>
      <c r="G654" s="143" t="str">
        <f t="shared" si="11"/>
        <v>0804</v>
      </c>
    </row>
    <row r="655" spans="1:7" ht="25.5" x14ac:dyDescent="0.2">
      <c r="A655" s="292" t="s">
        <v>502</v>
      </c>
      <c r="B655" s="293" t="s">
        <v>246</v>
      </c>
      <c r="C655" s="293" t="s">
        <v>442</v>
      </c>
      <c r="D655" s="293" t="s">
        <v>1041</v>
      </c>
      <c r="E655" s="293" t="s">
        <v>1314</v>
      </c>
      <c r="F655" s="294">
        <v>78976249</v>
      </c>
      <c r="G655" s="143" t="str">
        <f t="shared" si="11"/>
        <v>08040500000000</v>
      </c>
    </row>
    <row r="656" spans="1:7" ht="25.5" x14ac:dyDescent="0.2">
      <c r="A656" s="292" t="s">
        <v>642</v>
      </c>
      <c r="B656" s="293" t="s">
        <v>246</v>
      </c>
      <c r="C656" s="293" t="s">
        <v>442</v>
      </c>
      <c r="D656" s="293" t="s">
        <v>1044</v>
      </c>
      <c r="E656" s="293" t="s">
        <v>1314</v>
      </c>
      <c r="F656" s="294">
        <v>78976249</v>
      </c>
      <c r="G656" s="143" t="str">
        <f t="shared" si="11"/>
        <v>08040530000000</v>
      </c>
    </row>
    <row r="657" spans="1:7" ht="102" x14ac:dyDescent="0.2">
      <c r="A657" s="292" t="s">
        <v>551</v>
      </c>
      <c r="B657" s="293" t="s">
        <v>246</v>
      </c>
      <c r="C657" s="293" t="s">
        <v>442</v>
      </c>
      <c r="D657" s="293" t="s">
        <v>760</v>
      </c>
      <c r="E657" s="293" t="s">
        <v>1314</v>
      </c>
      <c r="F657" s="294">
        <v>45623261</v>
      </c>
      <c r="G657" s="143" t="str">
        <f t="shared" si="11"/>
        <v>08040530040000</v>
      </c>
    </row>
    <row r="658" spans="1:7" ht="51" x14ac:dyDescent="0.2">
      <c r="A658" s="292" t="s">
        <v>1501</v>
      </c>
      <c r="B658" s="293" t="s">
        <v>246</v>
      </c>
      <c r="C658" s="293" t="s">
        <v>442</v>
      </c>
      <c r="D658" s="293" t="s">
        <v>760</v>
      </c>
      <c r="E658" s="293" t="s">
        <v>290</v>
      </c>
      <c r="F658" s="294">
        <v>42339908</v>
      </c>
      <c r="G658" s="143" t="str">
        <f t="shared" si="11"/>
        <v>08040530040000100</v>
      </c>
    </row>
    <row r="659" spans="1:7" x14ac:dyDescent="0.2">
      <c r="A659" s="292" t="s">
        <v>1331</v>
      </c>
      <c r="B659" s="293" t="s">
        <v>246</v>
      </c>
      <c r="C659" s="293" t="s">
        <v>442</v>
      </c>
      <c r="D659" s="293" t="s">
        <v>760</v>
      </c>
      <c r="E659" s="293" t="s">
        <v>140</v>
      </c>
      <c r="F659" s="294">
        <v>42339908</v>
      </c>
      <c r="G659" s="143" t="str">
        <f t="shared" si="11"/>
        <v>08040530040000110</v>
      </c>
    </row>
    <row r="660" spans="1:7" x14ac:dyDescent="0.2">
      <c r="A660" s="292" t="s">
        <v>1216</v>
      </c>
      <c r="B660" s="293" t="s">
        <v>246</v>
      </c>
      <c r="C660" s="293" t="s">
        <v>442</v>
      </c>
      <c r="D660" s="293" t="s">
        <v>760</v>
      </c>
      <c r="E660" s="293" t="s">
        <v>382</v>
      </c>
      <c r="F660" s="294">
        <v>32440974</v>
      </c>
      <c r="G660" s="143" t="str">
        <f t="shared" si="11"/>
        <v>08040530040000111</v>
      </c>
    </row>
    <row r="661" spans="1:7" ht="25.5" x14ac:dyDescent="0.2">
      <c r="A661" s="292" t="s">
        <v>1225</v>
      </c>
      <c r="B661" s="293" t="s">
        <v>246</v>
      </c>
      <c r="C661" s="293" t="s">
        <v>442</v>
      </c>
      <c r="D661" s="293" t="s">
        <v>760</v>
      </c>
      <c r="E661" s="293" t="s">
        <v>431</v>
      </c>
      <c r="F661" s="294">
        <v>145550</v>
      </c>
      <c r="G661" s="143" t="str">
        <f t="shared" si="11"/>
        <v>08040530040000112</v>
      </c>
    </row>
    <row r="662" spans="1:7" ht="38.25" x14ac:dyDescent="0.2">
      <c r="A662" s="292" t="s">
        <v>1217</v>
      </c>
      <c r="B662" s="293" t="s">
        <v>246</v>
      </c>
      <c r="C662" s="293" t="s">
        <v>442</v>
      </c>
      <c r="D662" s="293" t="s">
        <v>760</v>
      </c>
      <c r="E662" s="293" t="s">
        <v>1117</v>
      </c>
      <c r="F662" s="294">
        <v>9753384</v>
      </c>
      <c r="G662" s="143" t="str">
        <f t="shared" si="11"/>
        <v>08040530040000119</v>
      </c>
    </row>
    <row r="663" spans="1:7" ht="25.5" x14ac:dyDescent="0.2">
      <c r="A663" s="292" t="s">
        <v>1502</v>
      </c>
      <c r="B663" s="293" t="s">
        <v>246</v>
      </c>
      <c r="C663" s="293" t="s">
        <v>442</v>
      </c>
      <c r="D663" s="293" t="s">
        <v>760</v>
      </c>
      <c r="E663" s="293" t="s">
        <v>1503</v>
      </c>
      <c r="F663" s="294">
        <v>3269853</v>
      </c>
      <c r="G663" s="143" t="str">
        <f t="shared" si="11"/>
        <v>08040530040000200</v>
      </c>
    </row>
    <row r="664" spans="1:7" ht="25.5" x14ac:dyDescent="0.2">
      <c r="A664" s="292" t="s">
        <v>1338</v>
      </c>
      <c r="B664" s="293" t="s">
        <v>246</v>
      </c>
      <c r="C664" s="293" t="s">
        <v>442</v>
      </c>
      <c r="D664" s="293" t="s">
        <v>760</v>
      </c>
      <c r="E664" s="293" t="s">
        <v>1339</v>
      </c>
      <c r="F664" s="294">
        <v>3269853</v>
      </c>
      <c r="G664" s="143" t="str">
        <f t="shared" si="11"/>
        <v>08040530040000240</v>
      </c>
    </row>
    <row r="665" spans="1:7" x14ac:dyDescent="0.2">
      <c r="A665" s="292" t="s">
        <v>1379</v>
      </c>
      <c r="B665" s="293" t="s">
        <v>246</v>
      </c>
      <c r="C665" s="293" t="s">
        <v>442</v>
      </c>
      <c r="D665" s="293" t="s">
        <v>760</v>
      </c>
      <c r="E665" s="293" t="s">
        <v>368</v>
      </c>
      <c r="F665" s="294">
        <v>3269853</v>
      </c>
      <c r="G665" s="143" t="str">
        <f t="shared" si="11"/>
        <v>08040530040000244</v>
      </c>
    </row>
    <row r="666" spans="1:7" x14ac:dyDescent="0.2">
      <c r="A666" s="292" t="s">
        <v>1504</v>
      </c>
      <c r="B666" s="293" t="s">
        <v>246</v>
      </c>
      <c r="C666" s="293" t="s">
        <v>442</v>
      </c>
      <c r="D666" s="293" t="s">
        <v>760</v>
      </c>
      <c r="E666" s="293" t="s">
        <v>1505</v>
      </c>
      <c r="F666" s="294">
        <v>13500</v>
      </c>
      <c r="G666" s="143" t="str">
        <f t="shared" si="11"/>
        <v>08040530040000800</v>
      </c>
    </row>
    <row r="667" spans="1:7" x14ac:dyDescent="0.2">
      <c r="A667" s="292" t="s">
        <v>1343</v>
      </c>
      <c r="B667" s="293" t="s">
        <v>246</v>
      </c>
      <c r="C667" s="293" t="s">
        <v>442</v>
      </c>
      <c r="D667" s="293" t="s">
        <v>760</v>
      </c>
      <c r="E667" s="293" t="s">
        <v>1344</v>
      </c>
      <c r="F667" s="294">
        <v>13500</v>
      </c>
      <c r="G667" s="143" t="str">
        <f t="shared" si="11"/>
        <v>08040530040000850</v>
      </c>
    </row>
    <row r="668" spans="1:7" x14ac:dyDescent="0.2">
      <c r="A668" s="292" t="s">
        <v>1118</v>
      </c>
      <c r="B668" s="293" t="s">
        <v>246</v>
      </c>
      <c r="C668" s="293" t="s">
        <v>442</v>
      </c>
      <c r="D668" s="293" t="s">
        <v>760</v>
      </c>
      <c r="E668" s="293" t="s">
        <v>1119</v>
      </c>
      <c r="F668" s="294">
        <v>13500</v>
      </c>
      <c r="G668" s="143" t="str">
        <f t="shared" si="11"/>
        <v>08040530040000853</v>
      </c>
    </row>
    <row r="669" spans="1:7" ht="127.5" x14ac:dyDescent="0.2">
      <c r="A669" s="292" t="s">
        <v>552</v>
      </c>
      <c r="B669" s="293" t="s">
        <v>246</v>
      </c>
      <c r="C669" s="293" t="s">
        <v>442</v>
      </c>
      <c r="D669" s="293" t="s">
        <v>761</v>
      </c>
      <c r="E669" s="293" t="s">
        <v>1314</v>
      </c>
      <c r="F669" s="294">
        <v>32289600</v>
      </c>
      <c r="G669" s="143" t="str">
        <f t="shared" si="11"/>
        <v>08040530041000</v>
      </c>
    </row>
    <row r="670" spans="1:7" ht="51" x14ac:dyDescent="0.2">
      <c r="A670" s="292" t="s">
        <v>1501</v>
      </c>
      <c r="B670" s="293" t="s">
        <v>246</v>
      </c>
      <c r="C670" s="293" t="s">
        <v>442</v>
      </c>
      <c r="D670" s="293" t="s">
        <v>761</v>
      </c>
      <c r="E670" s="293" t="s">
        <v>290</v>
      </c>
      <c r="F670" s="294">
        <v>32289600</v>
      </c>
      <c r="G670" s="143" t="str">
        <f t="shared" si="11"/>
        <v>08040530041000100</v>
      </c>
    </row>
    <row r="671" spans="1:7" x14ac:dyDescent="0.2">
      <c r="A671" s="292" t="s">
        <v>1331</v>
      </c>
      <c r="B671" s="293" t="s">
        <v>246</v>
      </c>
      <c r="C671" s="293" t="s">
        <v>442</v>
      </c>
      <c r="D671" s="293" t="s">
        <v>761</v>
      </c>
      <c r="E671" s="293" t="s">
        <v>140</v>
      </c>
      <c r="F671" s="294">
        <v>32289600</v>
      </c>
      <c r="G671" s="143" t="str">
        <f t="shared" si="11"/>
        <v>08040530041000110</v>
      </c>
    </row>
    <row r="672" spans="1:7" x14ac:dyDescent="0.2">
      <c r="A672" s="292" t="s">
        <v>1216</v>
      </c>
      <c r="B672" s="293" t="s">
        <v>246</v>
      </c>
      <c r="C672" s="293" t="s">
        <v>442</v>
      </c>
      <c r="D672" s="293" t="s">
        <v>761</v>
      </c>
      <c r="E672" s="293" t="s">
        <v>382</v>
      </c>
      <c r="F672" s="294">
        <v>24800000</v>
      </c>
      <c r="G672" s="143" t="str">
        <f t="shared" si="11"/>
        <v>08040530041000111</v>
      </c>
    </row>
    <row r="673" spans="1:7" ht="38.25" x14ac:dyDescent="0.2">
      <c r="A673" s="292" t="s">
        <v>1217</v>
      </c>
      <c r="B673" s="293" t="s">
        <v>246</v>
      </c>
      <c r="C673" s="293" t="s">
        <v>442</v>
      </c>
      <c r="D673" s="293" t="s">
        <v>761</v>
      </c>
      <c r="E673" s="293" t="s">
        <v>1117</v>
      </c>
      <c r="F673" s="294">
        <v>7489600</v>
      </c>
      <c r="G673" s="143" t="str">
        <f t="shared" si="11"/>
        <v>08040530041000119</v>
      </c>
    </row>
    <row r="674" spans="1:7" ht="89.25" x14ac:dyDescent="0.2">
      <c r="A674" s="292" t="s">
        <v>553</v>
      </c>
      <c r="B674" s="293" t="s">
        <v>246</v>
      </c>
      <c r="C674" s="293" t="s">
        <v>442</v>
      </c>
      <c r="D674" s="293" t="s">
        <v>763</v>
      </c>
      <c r="E674" s="293" t="s">
        <v>1314</v>
      </c>
      <c r="F674" s="294">
        <v>450388</v>
      </c>
      <c r="G674" s="143" t="str">
        <f t="shared" si="11"/>
        <v>08040530047000</v>
      </c>
    </row>
    <row r="675" spans="1:7" ht="51" x14ac:dyDescent="0.2">
      <c r="A675" s="292" t="s">
        <v>1501</v>
      </c>
      <c r="B675" s="293" t="s">
        <v>246</v>
      </c>
      <c r="C675" s="293" t="s">
        <v>442</v>
      </c>
      <c r="D675" s="293" t="s">
        <v>763</v>
      </c>
      <c r="E675" s="293" t="s">
        <v>290</v>
      </c>
      <c r="F675" s="294">
        <v>450388</v>
      </c>
      <c r="G675" s="143" t="str">
        <f t="shared" si="11"/>
        <v>08040530047000100</v>
      </c>
    </row>
    <row r="676" spans="1:7" x14ac:dyDescent="0.2">
      <c r="A676" s="292" t="s">
        <v>1331</v>
      </c>
      <c r="B676" s="293" t="s">
        <v>246</v>
      </c>
      <c r="C676" s="293" t="s">
        <v>442</v>
      </c>
      <c r="D676" s="293" t="s">
        <v>763</v>
      </c>
      <c r="E676" s="293" t="s">
        <v>140</v>
      </c>
      <c r="F676" s="294">
        <v>450388</v>
      </c>
      <c r="G676" s="143" t="str">
        <f t="shared" si="11"/>
        <v>08040530047000110</v>
      </c>
    </row>
    <row r="677" spans="1:7" ht="25.5" x14ac:dyDescent="0.2">
      <c r="A677" s="292" t="s">
        <v>1225</v>
      </c>
      <c r="B677" s="293" t="s">
        <v>246</v>
      </c>
      <c r="C677" s="293" t="s">
        <v>442</v>
      </c>
      <c r="D677" s="293" t="s">
        <v>763</v>
      </c>
      <c r="E677" s="293" t="s">
        <v>431</v>
      </c>
      <c r="F677" s="294">
        <v>450388</v>
      </c>
      <c r="G677" s="143" t="str">
        <f t="shared" si="11"/>
        <v>08040530047000112</v>
      </c>
    </row>
    <row r="678" spans="1:7" ht="89.25" x14ac:dyDescent="0.2">
      <c r="A678" s="292" t="s">
        <v>614</v>
      </c>
      <c r="B678" s="293" t="s">
        <v>246</v>
      </c>
      <c r="C678" s="293" t="s">
        <v>442</v>
      </c>
      <c r="D678" s="293" t="s">
        <v>764</v>
      </c>
      <c r="E678" s="293" t="s">
        <v>1314</v>
      </c>
      <c r="F678" s="294">
        <v>370000</v>
      </c>
      <c r="G678" s="143" t="str">
        <f t="shared" si="11"/>
        <v>0804053004Г000</v>
      </c>
    </row>
    <row r="679" spans="1:7" ht="25.5" x14ac:dyDescent="0.2">
      <c r="A679" s="292" t="s">
        <v>1502</v>
      </c>
      <c r="B679" s="293" t="s">
        <v>246</v>
      </c>
      <c r="C679" s="293" t="s">
        <v>442</v>
      </c>
      <c r="D679" s="293" t="s">
        <v>764</v>
      </c>
      <c r="E679" s="293" t="s">
        <v>1503</v>
      </c>
      <c r="F679" s="294">
        <v>370000</v>
      </c>
      <c r="G679" s="143" t="str">
        <f t="shared" si="11"/>
        <v>0804053004Г000200</v>
      </c>
    </row>
    <row r="680" spans="1:7" ht="25.5" x14ac:dyDescent="0.2">
      <c r="A680" s="292" t="s">
        <v>1338</v>
      </c>
      <c r="B680" s="293" t="s">
        <v>246</v>
      </c>
      <c r="C680" s="293" t="s">
        <v>442</v>
      </c>
      <c r="D680" s="293" t="s">
        <v>764</v>
      </c>
      <c r="E680" s="293" t="s">
        <v>1339</v>
      </c>
      <c r="F680" s="294">
        <v>370000</v>
      </c>
      <c r="G680" s="143" t="str">
        <f t="shared" si="11"/>
        <v>0804053004Г000240</v>
      </c>
    </row>
    <row r="681" spans="1:7" x14ac:dyDescent="0.2">
      <c r="A681" s="292" t="s">
        <v>2024</v>
      </c>
      <c r="B681" s="293" t="s">
        <v>246</v>
      </c>
      <c r="C681" s="293" t="s">
        <v>442</v>
      </c>
      <c r="D681" s="293" t="s">
        <v>764</v>
      </c>
      <c r="E681" s="293" t="s">
        <v>2025</v>
      </c>
      <c r="F681" s="294">
        <v>370000</v>
      </c>
      <c r="G681" s="143" t="str">
        <f t="shared" ref="G681:G744" si="12">CONCATENATE(C681,D681,E681)</f>
        <v>0804053004Г000247</v>
      </c>
    </row>
    <row r="682" spans="1:7" ht="63.75" x14ac:dyDescent="0.2">
      <c r="A682" s="292" t="s">
        <v>1910</v>
      </c>
      <c r="B682" s="293" t="s">
        <v>246</v>
      </c>
      <c r="C682" s="293" t="s">
        <v>442</v>
      </c>
      <c r="D682" s="293" t="s">
        <v>1911</v>
      </c>
      <c r="E682" s="293" t="s">
        <v>1314</v>
      </c>
      <c r="F682" s="294">
        <v>13000</v>
      </c>
      <c r="G682" s="143" t="str">
        <f t="shared" si="12"/>
        <v>0804053004М000</v>
      </c>
    </row>
    <row r="683" spans="1:7" ht="25.5" x14ac:dyDescent="0.2">
      <c r="A683" s="292" t="s">
        <v>1502</v>
      </c>
      <c r="B683" s="293" t="s">
        <v>246</v>
      </c>
      <c r="C683" s="293" t="s">
        <v>442</v>
      </c>
      <c r="D683" s="293" t="s">
        <v>1911</v>
      </c>
      <c r="E683" s="293" t="s">
        <v>1503</v>
      </c>
      <c r="F683" s="294">
        <v>13000</v>
      </c>
      <c r="G683" s="143" t="str">
        <f t="shared" si="12"/>
        <v>0804053004М000200</v>
      </c>
    </row>
    <row r="684" spans="1:7" ht="25.5" x14ac:dyDescent="0.2">
      <c r="A684" s="292" t="s">
        <v>1338</v>
      </c>
      <c r="B684" s="293" t="s">
        <v>246</v>
      </c>
      <c r="C684" s="293" t="s">
        <v>442</v>
      </c>
      <c r="D684" s="293" t="s">
        <v>1911</v>
      </c>
      <c r="E684" s="293" t="s">
        <v>1339</v>
      </c>
      <c r="F684" s="294">
        <v>13000</v>
      </c>
      <c r="G684" s="143" t="str">
        <f t="shared" si="12"/>
        <v>0804053004М000240</v>
      </c>
    </row>
    <row r="685" spans="1:7" x14ac:dyDescent="0.2">
      <c r="A685" s="292" t="s">
        <v>1379</v>
      </c>
      <c r="B685" s="293" t="s">
        <v>246</v>
      </c>
      <c r="C685" s="293" t="s">
        <v>442</v>
      </c>
      <c r="D685" s="293" t="s">
        <v>1911</v>
      </c>
      <c r="E685" s="293" t="s">
        <v>368</v>
      </c>
      <c r="F685" s="294">
        <v>13000</v>
      </c>
      <c r="G685" s="143" t="str">
        <f t="shared" si="12"/>
        <v>0804053004М000244</v>
      </c>
    </row>
    <row r="686" spans="1:7" ht="89.25" x14ac:dyDescent="0.2">
      <c r="A686" s="292" t="s">
        <v>1016</v>
      </c>
      <c r="B686" s="293" t="s">
        <v>246</v>
      </c>
      <c r="C686" s="293" t="s">
        <v>442</v>
      </c>
      <c r="D686" s="293" t="s">
        <v>1017</v>
      </c>
      <c r="E686" s="293" t="s">
        <v>1314</v>
      </c>
      <c r="F686" s="294">
        <v>230000</v>
      </c>
      <c r="G686" s="143" t="str">
        <f t="shared" si="12"/>
        <v>0804053004Э000</v>
      </c>
    </row>
    <row r="687" spans="1:7" ht="25.5" x14ac:dyDescent="0.2">
      <c r="A687" s="292" t="s">
        <v>1502</v>
      </c>
      <c r="B687" s="293" t="s">
        <v>246</v>
      </c>
      <c r="C687" s="293" t="s">
        <v>442</v>
      </c>
      <c r="D687" s="293" t="s">
        <v>1017</v>
      </c>
      <c r="E687" s="293" t="s">
        <v>1503</v>
      </c>
      <c r="F687" s="294">
        <v>230000</v>
      </c>
      <c r="G687" s="143" t="str">
        <f t="shared" si="12"/>
        <v>0804053004Э000200</v>
      </c>
    </row>
    <row r="688" spans="1:7" ht="25.5" x14ac:dyDescent="0.2">
      <c r="A688" s="292" t="s">
        <v>1338</v>
      </c>
      <c r="B688" s="293" t="s">
        <v>246</v>
      </c>
      <c r="C688" s="293" t="s">
        <v>442</v>
      </c>
      <c r="D688" s="293" t="s">
        <v>1017</v>
      </c>
      <c r="E688" s="293" t="s">
        <v>1339</v>
      </c>
      <c r="F688" s="294">
        <v>230000</v>
      </c>
      <c r="G688" s="143" t="str">
        <f t="shared" si="12"/>
        <v>0804053004Э000240</v>
      </c>
    </row>
    <row r="689" spans="1:7" x14ac:dyDescent="0.2">
      <c r="A689" s="292" t="s">
        <v>2024</v>
      </c>
      <c r="B689" s="293" t="s">
        <v>246</v>
      </c>
      <c r="C689" s="293" t="s">
        <v>442</v>
      </c>
      <c r="D689" s="293" t="s">
        <v>1017</v>
      </c>
      <c r="E689" s="293" t="s">
        <v>2025</v>
      </c>
      <c r="F689" s="294">
        <v>230000</v>
      </c>
      <c r="G689" s="143" t="str">
        <f t="shared" si="12"/>
        <v>0804053004Э000247</v>
      </c>
    </row>
    <row r="690" spans="1:7" x14ac:dyDescent="0.2">
      <c r="A690" s="292" t="s">
        <v>265</v>
      </c>
      <c r="B690" s="293" t="s">
        <v>246</v>
      </c>
      <c r="C690" s="293" t="s">
        <v>1222</v>
      </c>
      <c r="D690" s="293" t="s">
        <v>1314</v>
      </c>
      <c r="E690" s="293" t="s">
        <v>1314</v>
      </c>
      <c r="F690" s="294">
        <v>13871072</v>
      </c>
      <c r="G690" s="143" t="str">
        <f t="shared" si="12"/>
        <v>1100</v>
      </c>
    </row>
    <row r="691" spans="1:7" x14ac:dyDescent="0.2">
      <c r="A691" s="292" t="s">
        <v>1384</v>
      </c>
      <c r="B691" s="293" t="s">
        <v>246</v>
      </c>
      <c r="C691" s="293" t="s">
        <v>1385</v>
      </c>
      <c r="D691" s="293" t="s">
        <v>1314</v>
      </c>
      <c r="E691" s="293" t="s">
        <v>1314</v>
      </c>
      <c r="F691" s="303">
        <v>12923842</v>
      </c>
      <c r="G691" s="143" t="str">
        <f t="shared" si="12"/>
        <v>1101</v>
      </c>
    </row>
    <row r="692" spans="1:7" ht="25.5" x14ac:dyDescent="0.2">
      <c r="A692" s="292" t="s">
        <v>1542</v>
      </c>
      <c r="B692" s="293" t="s">
        <v>246</v>
      </c>
      <c r="C692" s="293" t="s">
        <v>1385</v>
      </c>
      <c r="D692" s="293" t="s">
        <v>1049</v>
      </c>
      <c r="E692" s="293" t="s">
        <v>1314</v>
      </c>
      <c r="F692" s="294">
        <v>12923842</v>
      </c>
      <c r="G692" s="143" t="str">
        <f t="shared" si="12"/>
        <v>11010700000000</v>
      </c>
    </row>
    <row r="693" spans="1:7" ht="25.5" x14ac:dyDescent="0.2">
      <c r="A693" s="292" t="s">
        <v>516</v>
      </c>
      <c r="B693" s="293" t="s">
        <v>246</v>
      </c>
      <c r="C693" s="293" t="s">
        <v>1385</v>
      </c>
      <c r="D693" s="293" t="s">
        <v>1050</v>
      </c>
      <c r="E693" s="293" t="s">
        <v>1314</v>
      </c>
      <c r="F693" s="294">
        <v>12923842</v>
      </c>
      <c r="G693" s="143" t="str">
        <f t="shared" si="12"/>
        <v>11010710000000</v>
      </c>
    </row>
    <row r="694" spans="1:7" ht="102" x14ac:dyDescent="0.2">
      <c r="A694" s="292" t="s">
        <v>1317</v>
      </c>
      <c r="B694" s="293" t="s">
        <v>246</v>
      </c>
      <c r="C694" s="293" t="s">
        <v>1385</v>
      </c>
      <c r="D694" s="293" t="s">
        <v>1318</v>
      </c>
      <c r="E694" s="293" t="s">
        <v>1314</v>
      </c>
      <c r="F694" s="294">
        <v>8443842</v>
      </c>
      <c r="G694" s="143" t="str">
        <f t="shared" si="12"/>
        <v>11010710040000</v>
      </c>
    </row>
    <row r="695" spans="1:7" ht="25.5" x14ac:dyDescent="0.2">
      <c r="A695" s="292" t="s">
        <v>1510</v>
      </c>
      <c r="B695" s="293" t="s">
        <v>246</v>
      </c>
      <c r="C695" s="293" t="s">
        <v>1385</v>
      </c>
      <c r="D695" s="293" t="s">
        <v>1318</v>
      </c>
      <c r="E695" s="293" t="s">
        <v>1511</v>
      </c>
      <c r="F695" s="294">
        <v>8443842</v>
      </c>
      <c r="G695" s="143" t="str">
        <f t="shared" si="12"/>
        <v>11010710040000600</v>
      </c>
    </row>
    <row r="696" spans="1:7" x14ac:dyDescent="0.2">
      <c r="A696" s="292" t="s">
        <v>1340</v>
      </c>
      <c r="B696" s="293" t="s">
        <v>246</v>
      </c>
      <c r="C696" s="293" t="s">
        <v>1385</v>
      </c>
      <c r="D696" s="293" t="s">
        <v>1318</v>
      </c>
      <c r="E696" s="293" t="s">
        <v>1341</v>
      </c>
      <c r="F696" s="294">
        <v>8443842</v>
      </c>
      <c r="G696" s="143" t="str">
        <f t="shared" si="12"/>
        <v>11010710040000610</v>
      </c>
    </row>
    <row r="697" spans="1:7" ht="51" x14ac:dyDescent="0.2">
      <c r="A697" s="292" t="s">
        <v>387</v>
      </c>
      <c r="B697" s="293" t="s">
        <v>246</v>
      </c>
      <c r="C697" s="293" t="s">
        <v>1385</v>
      </c>
      <c r="D697" s="293" t="s">
        <v>1318</v>
      </c>
      <c r="E697" s="293" t="s">
        <v>388</v>
      </c>
      <c r="F697" s="294">
        <v>8443842</v>
      </c>
      <c r="G697" s="143" t="str">
        <f t="shared" si="12"/>
        <v>11010710040000611</v>
      </c>
    </row>
    <row r="698" spans="1:7" ht="127.5" x14ac:dyDescent="0.2">
      <c r="A698" s="292" t="s">
        <v>1319</v>
      </c>
      <c r="B698" s="293" t="s">
        <v>246</v>
      </c>
      <c r="C698" s="293" t="s">
        <v>1385</v>
      </c>
      <c r="D698" s="293" t="s">
        <v>1320</v>
      </c>
      <c r="E698" s="293" t="s">
        <v>1314</v>
      </c>
      <c r="F698" s="294">
        <v>2000000</v>
      </c>
      <c r="G698" s="143" t="str">
        <f t="shared" si="12"/>
        <v>11010710041000</v>
      </c>
    </row>
    <row r="699" spans="1:7" ht="25.5" x14ac:dyDescent="0.2">
      <c r="A699" s="292" t="s">
        <v>1510</v>
      </c>
      <c r="B699" s="293" t="s">
        <v>246</v>
      </c>
      <c r="C699" s="293" t="s">
        <v>1385</v>
      </c>
      <c r="D699" s="293" t="s">
        <v>1320</v>
      </c>
      <c r="E699" s="293" t="s">
        <v>1511</v>
      </c>
      <c r="F699" s="294">
        <v>2000000</v>
      </c>
      <c r="G699" s="143" t="str">
        <f t="shared" si="12"/>
        <v>11010710041000600</v>
      </c>
    </row>
    <row r="700" spans="1:7" x14ac:dyDescent="0.2">
      <c r="A700" s="292" t="s">
        <v>1340</v>
      </c>
      <c r="B700" s="293" t="s">
        <v>246</v>
      </c>
      <c r="C700" s="293" t="s">
        <v>1385</v>
      </c>
      <c r="D700" s="293" t="s">
        <v>1320</v>
      </c>
      <c r="E700" s="293" t="s">
        <v>1341</v>
      </c>
      <c r="F700" s="294">
        <v>2000000</v>
      </c>
      <c r="G700" s="143" t="str">
        <f t="shared" si="12"/>
        <v>11010710041000610</v>
      </c>
    </row>
    <row r="701" spans="1:7" ht="51" x14ac:dyDescent="0.2">
      <c r="A701" s="292" t="s">
        <v>387</v>
      </c>
      <c r="B701" s="293" t="s">
        <v>246</v>
      </c>
      <c r="C701" s="293" t="s">
        <v>1385</v>
      </c>
      <c r="D701" s="293" t="s">
        <v>1320</v>
      </c>
      <c r="E701" s="293" t="s">
        <v>388</v>
      </c>
      <c r="F701" s="294">
        <v>2000000</v>
      </c>
      <c r="G701" s="143" t="str">
        <f t="shared" si="12"/>
        <v>11010710041000611</v>
      </c>
    </row>
    <row r="702" spans="1:7" ht="89.25" x14ac:dyDescent="0.2">
      <c r="A702" s="292" t="s">
        <v>1321</v>
      </c>
      <c r="B702" s="293" t="s">
        <v>246</v>
      </c>
      <c r="C702" s="293" t="s">
        <v>1385</v>
      </c>
      <c r="D702" s="293" t="s">
        <v>1322</v>
      </c>
      <c r="E702" s="293" t="s">
        <v>1314</v>
      </c>
      <c r="F702" s="294">
        <v>50000</v>
      </c>
      <c r="G702" s="143" t="str">
        <f t="shared" si="12"/>
        <v>11010710047000</v>
      </c>
    </row>
    <row r="703" spans="1:7" ht="25.5" x14ac:dyDescent="0.2">
      <c r="A703" s="292" t="s">
        <v>1510</v>
      </c>
      <c r="B703" s="293" t="s">
        <v>246</v>
      </c>
      <c r="C703" s="293" t="s">
        <v>1385</v>
      </c>
      <c r="D703" s="293" t="s">
        <v>1322</v>
      </c>
      <c r="E703" s="293" t="s">
        <v>1511</v>
      </c>
      <c r="F703" s="294">
        <v>50000</v>
      </c>
      <c r="G703" s="143" t="str">
        <f t="shared" si="12"/>
        <v>11010710047000600</v>
      </c>
    </row>
    <row r="704" spans="1:7" x14ac:dyDescent="0.2">
      <c r="A704" s="292" t="s">
        <v>1340</v>
      </c>
      <c r="B704" s="293" t="s">
        <v>246</v>
      </c>
      <c r="C704" s="293" t="s">
        <v>1385</v>
      </c>
      <c r="D704" s="293" t="s">
        <v>1322</v>
      </c>
      <c r="E704" s="293" t="s">
        <v>1341</v>
      </c>
      <c r="F704" s="294">
        <v>50000</v>
      </c>
      <c r="G704" s="143" t="str">
        <f t="shared" si="12"/>
        <v>11010710047000610</v>
      </c>
    </row>
    <row r="705" spans="1:7" x14ac:dyDescent="0.2">
      <c r="A705" s="292" t="s">
        <v>406</v>
      </c>
      <c r="B705" s="293" t="s">
        <v>246</v>
      </c>
      <c r="C705" s="293" t="s">
        <v>1385</v>
      </c>
      <c r="D705" s="293" t="s">
        <v>1322</v>
      </c>
      <c r="E705" s="293" t="s">
        <v>407</v>
      </c>
      <c r="F705" s="294">
        <v>50000</v>
      </c>
      <c r="G705" s="143" t="str">
        <f t="shared" si="12"/>
        <v>11010710047000612</v>
      </c>
    </row>
    <row r="706" spans="1:7" ht="89.25" x14ac:dyDescent="0.2">
      <c r="A706" s="292" t="s">
        <v>1323</v>
      </c>
      <c r="B706" s="293" t="s">
        <v>246</v>
      </c>
      <c r="C706" s="293" t="s">
        <v>1385</v>
      </c>
      <c r="D706" s="293" t="s">
        <v>1324</v>
      </c>
      <c r="E706" s="293" t="s">
        <v>1314</v>
      </c>
      <c r="F706" s="294">
        <v>1000000</v>
      </c>
      <c r="G706" s="143" t="str">
        <f t="shared" si="12"/>
        <v>1101071004Г000</v>
      </c>
    </row>
    <row r="707" spans="1:7" ht="25.5" x14ac:dyDescent="0.2">
      <c r="A707" s="292" t="s">
        <v>1510</v>
      </c>
      <c r="B707" s="293" t="s">
        <v>246</v>
      </c>
      <c r="C707" s="293" t="s">
        <v>1385</v>
      </c>
      <c r="D707" s="293" t="s">
        <v>1324</v>
      </c>
      <c r="E707" s="293" t="s">
        <v>1511</v>
      </c>
      <c r="F707" s="294">
        <v>1000000</v>
      </c>
      <c r="G707" s="143" t="str">
        <f t="shared" si="12"/>
        <v>1101071004Г000600</v>
      </c>
    </row>
    <row r="708" spans="1:7" x14ac:dyDescent="0.2">
      <c r="A708" s="292" t="s">
        <v>1340</v>
      </c>
      <c r="B708" s="293" t="s">
        <v>246</v>
      </c>
      <c r="C708" s="293" t="s">
        <v>1385</v>
      </c>
      <c r="D708" s="293" t="s">
        <v>1324</v>
      </c>
      <c r="E708" s="293" t="s">
        <v>1341</v>
      </c>
      <c r="F708" s="294">
        <v>1000000</v>
      </c>
      <c r="G708" s="143" t="str">
        <f t="shared" si="12"/>
        <v>1101071004Г000610</v>
      </c>
    </row>
    <row r="709" spans="1:7" ht="51" x14ac:dyDescent="0.2">
      <c r="A709" s="292" t="s">
        <v>387</v>
      </c>
      <c r="B709" s="293" t="s">
        <v>246</v>
      </c>
      <c r="C709" s="293" t="s">
        <v>1385</v>
      </c>
      <c r="D709" s="293" t="s">
        <v>1324</v>
      </c>
      <c r="E709" s="293" t="s">
        <v>388</v>
      </c>
      <c r="F709" s="294">
        <v>1000000</v>
      </c>
      <c r="G709" s="143" t="str">
        <f t="shared" si="12"/>
        <v>1101071004Г000611</v>
      </c>
    </row>
    <row r="710" spans="1:7" ht="102" x14ac:dyDescent="0.2">
      <c r="A710" s="292" t="s">
        <v>1922</v>
      </c>
      <c r="B710" s="293" t="s">
        <v>246</v>
      </c>
      <c r="C710" s="293" t="s">
        <v>1385</v>
      </c>
      <c r="D710" s="293" t="s">
        <v>1923</v>
      </c>
      <c r="E710" s="293" t="s">
        <v>1314</v>
      </c>
      <c r="F710" s="294">
        <v>30000</v>
      </c>
      <c r="G710" s="143" t="str">
        <f t="shared" si="12"/>
        <v>1101071004М000</v>
      </c>
    </row>
    <row r="711" spans="1:7" ht="25.5" x14ac:dyDescent="0.2">
      <c r="A711" s="292" t="s">
        <v>1510</v>
      </c>
      <c r="B711" s="293" t="s">
        <v>246</v>
      </c>
      <c r="C711" s="293" t="s">
        <v>1385</v>
      </c>
      <c r="D711" s="293" t="s">
        <v>1923</v>
      </c>
      <c r="E711" s="293" t="s">
        <v>1511</v>
      </c>
      <c r="F711" s="294">
        <v>30000</v>
      </c>
      <c r="G711" s="143" t="str">
        <f t="shared" si="12"/>
        <v>1101071004М000600</v>
      </c>
    </row>
    <row r="712" spans="1:7" x14ac:dyDescent="0.2">
      <c r="A712" s="292" t="s">
        <v>1340</v>
      </c>
      <c r="B712" s="293" t="s">
        <v>246</v>
      </c>
      <c r="C712" s="293" t="s">
        <v>1385</v>
      </c>
      <c r="D712" s="293" t="s">
        <v>1923</v>
      </c>
      <c r="E712" s="293" t="s">
        <v>1341</v>
      </c>
      <c r="F712" s="294">
        <v>30000</v>
      </c>
      <c r="G712" s="143" t="str">
        <f t="shared" si="12"/>
        <v>1101071004М000610</v>
      </c>
    </row>
    <row r="713" spans="1:7" ht="51" x14ac:dyDescent="0.2">
      <c r="A713" s="292" t="s">
        <v>387</v>
      </c>
      <c r="B713" s="293" t="s">
        <v>246</v>
      </c>
      <c r="C713" s="293" t="s">
        <v>1385</v>
      </c>
      <c r="D713" s="293" t="s">
        <v>1923</v>
      </c>
      <c r="E713" s="293" t="s">
        <v>388</v>
      </c>
      <c r="F713" s="294">
        <v>30000</v>
      </c>
      <c r="G713" s="143" t="str">
        <f t="shared" si="12"/>
        <v>1101071004М000611</v>
      </c>
    </row>
    <row r="714" spans="1:7" ht="89.25" x14ac:dyDescent="0.2">
      <c r="A714" s="292" t="s">
        <v>1325</v>
      </c>
      <c r="B714" s="293" t="s">
        <v>246</v>
      </c>
      <c r="C714" s="293" t="s">
        <v>1385</v>
      </c>
      <c r="D714" s="293" t="s">
        <v>1326</v>
      </c>
      <c r="E714" s="293" t="s">
        <v>1314</v>
      </c>
      <c r="F714" s="294">
        <v>500000</v>
      </c>
      <c r="G714" s="143" t="str">
        <f t="shared" si="12"/>
        <v>1101071004Э000</v>
      </c>
    </row>
    <row r="715" spans="1:7" ht="25.5" x14ac:dyDescent="0.2">
      <c r="A715" s="292" t="s">
        <v>1510</v>
      </c>
      <c r="B715" s="293" t="s">
        <v>246</v>
      </c>
      <c r="C715" s="293" t="s">
        <v>1385</v>
      </c>
      <c r="D715" s="293" t="s">
        <v>1326</v>
      </c>
      <c r="E715" s="293" t="s">
        <v>1511</v>
      </c>
      <c r="F715" s="294">
        <v>500000</v>
      </c>
      <c r="G715" s="143" t="str">
        <f t="shared" si="12"/>
        <v>1101071004Э000600</v>
      </c>
    </row>
    <row r="716" spans="1:7" x14ac:dyDescent="0.2">
      <c r="A716" s="292" t="s">
        <v>1340</v>
      </c>
      <c r="B716" s="293" t="s">
        <v>246</v>
      </c>
      <c r="C716" s="293" t="s">
        <v>1385</v>
      </c>
      <c r="D716" s="293" t="s">
        <v>1326</v>
      </c>
      <c r="E716" s="293" t="s">
        <v>1341</v>
      </c>
      <c r="F716" s="294">
        <v>500000</v>
      </c>
      <c r="G716" s="143" t="str">
        <f t="shared" si="12"/>
        <v>1101071004Э000610</v>
      </c>
    </row>
    <row r="717" spans="1:7" ht="51" x14ac:dyDescent="0.2">
      <c r="A717" s="292" t="s">
        <v>387</v>
      </c>
      <c r="B717" s="293" t="s">
        <v>246</v>
      </c>
      <c r="C717" s="293" t="s">
        <v>1385</v>
      </c>
      <c r="D717" s="293" t="s">
        <v>1326</v>
      </c>
      <c r="E717" s="293" t="s">
        <v>388</v>
      </c>
      <c r="F717" s="294">
        <v>500000</v>
      </c>
      <c r="G717" s="143" t="str">
        <f t="shared" si="12"/>
        <v>1101071004Э000611</v>
      </c>
    </row>
    <row r="718" spans="1:7" ht="63.75" x14ac:dyDescent="0.2">
      <c r="A718" s="292" t="s">
        <v>1327</v>
      </c>
      <c r="B718" s="293" t="s">
        <v>246</v>
      </c>
      <c r="C718" s="293" t="s">
        <v>1385</v>
      </c>
      <c r="D718" s="293" t="s">
        <v>1328</v>
      </c>
      <c r="E718" s="293" t="s">
        <v>1314</v>
      </c>
      <c r="F718" s="294">
        <v>900000</v>
      </c>
      <c r="G718" s="143" t="str">
        <f t="shared" si="12"/>
        <v>110107100Ч0020</v>
      </c>
    </row>
    <row r="719" spans="1:7" ht="25.5" x14ac:dyDescent="0.2">
      <c r="A719" s="292" t="s">
        <v>1510</v>
      </c>
      <c r="B719" s="293" t="s">
        <v>246</v>
      </c>
      <c r="C719" s="293" t="s">
        <v>1385</v>
      </c>
      <c r="D719" s="293" t="s">
        <v>1328</v>
      </c>
      <c r="E719" s="293" t="s">
        <v>1511</v>
      </c>
      <c r="F719" s="294">
        <v>900000</v>
      </c>
      <c r="G719" s="143" t="str">
        <f t="shared" si="12"/>
        <v>110107100Ч0020600</v>
      </c>
    </row>
    <row r="720" spans="1:7" x14ac:dyDescent="0.2">
      <c r="A720" s="292" t="s">
        <v>1340</v>
      </c>
      <c r="B720" s="293" t="s">
        <v>246</v>
      </c>
      <c r="C720" s="293" t="s">
        <v>1385</v>
      </c>
      <c r="D720" s="293" t="s">
        <v>1328</v>
      </c>
      <c r="E720" s="293" t="s">
        <v>1341</v>
      </c>
      <c r="F720" s="294">
        <v>900000</v>
      </c>
      <c r="G720" s="143" t="str">
        <f t="shared" si="12"/>
        <v>110107100Ч0020610</v>
      </c>
    </row>
    <row r="721" spans="1:7" ht="51" x14ac:dyDescent="0.2">
      <c r="A721" s="292" t="s">
        <v>387</v>
      </c>
      <c r="B721" s="293" t="s">
        <v>246</v>
      </c>
      <c r="C721" s="293" t="s">
        <v>1385</v>
      </c>
      <c r="D721" s="293" t="s">
        <v>1328</v>
      </c>
      <c r="E721" s="293" t="s">
        <v>388</v>
      </c>
      <c r="F721" s="294">
        <v>900000</v>
      </c>
      <c r="G721" s="143" t="str">
        <f t="shared" si="12"/>
        <v>110107100Ч0020611</v>
      </c>
    </row>
    <row r="722" spans="1:7" x14ac:dyDescent="0.2">
      <c r="A722" s="292" t="s">
        <v>226</v>
      </c>
      <c r="B722" s="293" t="s">
        <v>246</v>
      </c>
      <c r="C722" s="293" t="s">
        <v>421</v>
      </c>
      <c r="D722" s="293" t="s">
        <v>1314</v>
      </c>
      <c r="E722" s="293" t="s">
        <v>1314</v>
      </c>
      <c r="F722" s="294">
        <v>947230</v>
      </c>
      <c r="G722" s="143" t="str">
        <f t="shared" si="12"/>
        <v>1102</v>
      </c>
    </row>
    <row r="723" spans="1:7" ht="25.5" x14ac:dyDescent="0.2">
      <c r="A723" s="292" t="s">
        <v>1542</v>
      </c>
      <c r="B723" s="293" t="s">
        <v>246</v>
      </c>
      <c r="C723" s="293" t="s">
        <v>421</v>
      </c>
      <c r="D723" s="293" t="s">
        <v>1049</v>
      </c>
      <c r="E723" s="293" t="s">
        <v>1314</v>
      </c>
      <c r="F723" s="294">
        <v>947230</v>
      </c>
      <c r="G723" s="143" t="str">
        <f t="shared" si="12"/>
        <v>11020700000000</v>
      </c>
    </row>
    <row r="724" spans="1:7" ht="25.5" x14ac:dyDescent="0.2">
      <c r="A724" s="292" t="s">
        <v>516</v>
      </c>
      <c r="B724" s="293" t="s">
        <v>246</v>
      </c>
      <c r="C724" s="293" t="s">
        <v>421</v>
      </c>
      <c r="D724" s="293" t="s">
        <v>1050</v>
      </c>
      <c r="E724" s="293" t="s">
        <v>1314</v>
      </c>
      <c r="F724" s="294">
        <v>747230</v>
      </c>
      <c r="G724" s="143" t="str">
        <f t="shared" si="12"/>
        <v>11020710000000</v>
      </c>
    </row>
    <row r="725" spans="1:7" ht="63.75" x14ac:dyDescent="0.2">
      <c r="A725" s="292" t="s">
        <v>423</v>
      </c>
      <c r="B725" s="293" t="s">
        <v>246</v>
      </c>
      <c r="C725" s="293" t="s">
        <v>421</v>
      </c>
      <c r="D725" s="293" t="s">
        <v>746</v>
      </c>
      <c r="E725" s="293" t="s">
        <v>1314</v>
      </c>
      <c r="F725" s="294">
        <v>747230</v>
      </c>
      <c r="G725" s="143" t="str">
        <f t="shared" si="12"/>
        <v>11020710080020</v>
      </c>
    </row>
    <row r="726" spans="1:7" ht="25.5" x14ac:dyDescent="0.2">
      <c r="A726" s="292" t="s">
        <v>1510</v>
      </c>
      <c r="B726" s="293" t="s">
        <v>246</v>
      </c>
      <c r="C726" s="293" t="s">
        <v>421</v>
      </c>
      <c r="D726" s="293" t="s">
        <v>746</v>
      </c>
      <c r="E726" s="293" t="s">
        <v>1511</v>
      </c>
      <c r="F726" s="294">
        <v>747230</v>
      </c>
      <c r="G726" s="143" t="str">
        <f t="shared" si="12"/>
        <v>11020710080020600</v>
      </c>
    </row>
    <row r="727" spans="1:7" x14ac:dyDescent="0.2">
      <c r="A727" s="292" t="s">
        <v>1340</v>
      </c>
      <c r="B727" s="293" t="s">
        <v>246</v>
      </c>
      <c r="C727" s="293" t="s">
        <v>421</v>
      </c>
      <c r="D727" s="293" t="s">
        <v>746</v>
      </c>
      <c r="E727" s="293" t="s">
        <v>1341</v>
      </c>
      <c r="F727" s="294">
        <v>747230</v>
      </c>
      <c r="G727" s="143" t="str">
        <f t="shared" si="12"/>
        <v>11020710080020610</v>
      </c>
    </row>
    <row r="728" spans="1:7" x14ac:dyDescent="0.2">
      <c r="A728" s="292" t="s">
        <v>406</v>
      </c>
      <c r="B728" s="293" t="s">
        <v>246</v>
      </c>
      <c r="C728" s="293" t="s">
        <v>421</v>
      </c>
      <c r="D728" s="293" t="s">
        <v>746</v>
      </c>
      <c r="E728" s="293" t="s">
        <v>407</v>
      </c>
      <c r="F728" s="294">
        <v>747230</v>
      </c>
      <c r="G728" s="143" t="str">
        <f t="shared" si="12"/>
        <v>11020710080020612</v>
      </c>
    </row>
    <row r="729" spans="1:7" ht="25.5" x14ac:dyDescent="0.2">
      <c r="A729" s="292" t="s">
        <v>518</v>
      </c>
      <c r="B729" s="293" t="s">
        <v>246</v>
      </c>
      <c r="C729" s="293" t="s">
        <v>421</v>
      </c>
      <c r="D729" s="293" t="s">
        <v>1051</v>
      </c>
      <c r="E729" s="293" t="s">
        <v>1314</v>
      </c>
      <c r="F729" s="294">
        <v>200000</v>
      </c>
      <c r="G729" s="143" t="str">
        <f t="shared" si="12"/>
        <v>11020720000000</v>
      </c>
    </row>
    <row r="730" spans="1:7" ht="76.5" x14ac:dyDescent="0.2">
      <c r="A730" s="292" t="s">
        <v>546</v>
      </c>
      <c r="B730" s="293" t="s">
        <v>246</v>
      </c>
      <c r="C730" s="293" t="s">
        <v>421</v>
      </c>
      <c r="D730" s="293" t="s">
        <v>747</v>
      </c>
      <c r="E730" s="293" t="s">
        <v>1314</v>
      </c>
      <c r="F730" s="294">
        <v>16900</v>
      </c>
      <c r="G730" s="143" t="str">
        <f t="shared" si="12"/>
        <v>11020720080010</v>
      </c>
    </row>
    <row r="731" spans="1:7" ht="25.5" x14ac:dyDescent="0.2">
      <c r="A731" s="292" t="s">
        <v>1510</v>
      </c>
      <c r="B731" s="293" t="s">
        <v>246</v>
      </c>
      <c r="C731" s="293" t="s">
        <v>421</v>
      </c>
      <c r="D731" s="293" t="s">
        <v>747</v>
      </c>
      <c r="E731" s="293" t="s">
        <v>1511</v>
      </c>
      <c r="F731" s="294">
        <v>16900</v>
      </c>
      <c r="G731" s="143" t="str">
        <f t="shared" si="12"/>
        <v>11020720080010600</v>
      </c>
    </row>
    <row r="732" spans="1:7" x14ac:dyDescent="0.2">
      <c r="A732" s="292" t="s">
        <v>1340</v>
      </c>
      <c r="B732" s="293" t="s">
        <v>246</v>
      </c>
      <c r="C732" s="293" t="s">
        <v>421</v>
      </c>
      <c r="D732" s="293" t="s">
        <v>747</v>
      </c>
      <c r="E732" s="293" t="s">
        <v>1341</v>
      </c>
      <c r="F732" s="303">
        <v>16900</v>
      </c>
      <c r="G732" s="143" t="str">
        <f t="shared" si="12"/>
        <v>11020720080010610</v>
      </c>
    </row>
    <row r="733" spans="1:7" x14ac:dyDescent="0.2">
      <c r="A733" s="292" t="s">
        <v>406</v>
      </c>
      <c r="B733" s="293" t="s">
        <v>246</v>
      </c>
      <c r="C733" s="293" t="s">
        <v>421</v>
      </c>
      <c r="D733" s="293" t="s">
        <v>747</v>
      </c>
      <c r="E733" s="293" t="s">
        <v>407</v>
      </c>
      <c r="F733" s="303">
        <v>16900</v>
      </c>
      <c r="G733" s="143" t="str">
        <f t="shared" si="12"/>
        <v>11020720080010612</v>
      </c>
    </row>
    <row r="734" spans="1:7" ht="63.75" x14ac:dyDescent="0.2">
      <c r="A734" s="292" t="s">
        <v>424</v>
      </c>
      <c r="B734" s="293" t="s">
        <v>246</v>
      </c>
      <c r="C734" s="293" t="s">
        <v>421</v>
      </c>
      <c r="D734" s="293" t="s">
        <v>748</v>
      </c>
      <c r="E734" s="293" t="s">
        <v>1314</v>
      </c>
      <c r="F734" s="303">
        <v>176400</v>
      </c>
      <c r="G734" s="143" t="str">
        <f t="shared" si="12"/>
        <v>11020720080020</v>
      </c>
    </row>
    <row r="735" spans="1:7" ht="25.5" x14ac:dyDescent="0.2">
      <c r="A735" s="292" t="s">
        <v>1510</v>
      </c>
      <c r="B735" s="293" t="s">
        <v>246</v>
      </c>
      <c r="C735" s="293" t="s">
        <v>421</v>
      </c>
      <c r="D735" s="293" t="s">
        <v>748</v>
      </c>
      <c r="E735" s="293" t="s">
        <v>1511</v>
      </c>
      <c r="F735" s="294">
        <v>176400</v>
      </c>
      <c r="G735" s="143" t="str">
        <f t="shared" si="12"/>
        <v>11020720080020600</v>
      </c>
    </row>
    <row r="736" spans="1:7" x14ac:dyDescent="0.2">
      <c r="A736" s="52" t="s">
        <v>1340</v>
      </c>
      <c r="B736" s="368" t="s">
        <v>246</v>
      </c>
      <c r="C736" s="368" t="s">
        <v>421</v>
      </c>
      <c r="D736" s="368" t="s">
        <v>748</v>
      </c>
      <c r="E736" s="369" t="s">
        <v>1341</v>
      </c>
      <c r="F736" s="370">
        <v>176400</v>
      </c>
      <c r="G736" s="143" t="str">
        <f t="shared" si="12"/>
        <v>11020720080020610</v>
      </c>
    </row>
    <row r="737" spans="1:7" x14ac:dyDescent="0.2">
      <c r="A737" s="52" t="s">
        <v>406</v>
      </c>
      <c r="B737" s="368" t="s">
        <v>246</v>
      </c>
      <c r="C737" s="368" t="s">
        <v>421</v>
      </c>
      <c r="D737" s="368" t="s">
        <v>748</v>
      </c>
      <c r="E737" s="369" t="s">
        <v>407</v>
      </c>
      <c r="F737" s="371">
        <v>176400</v>
      </c>
      <c r="G737" s="143" t="str">
        <f t="shared" si="12"/>
        <v>11020720080020612</v>
      </c>
    </row>
    <row r="738" spans="1:7" ht="89.25" x14ac:dyDescent="0.2">
      <c r="A738" s="52" t="s">
        <v>425</v>
      </c>
      <c r="B738" s="368" t="s">
        <v>246</v>
      </c>
      <c r="C738" s="368" t="s">
        <v>421</v>
      </c>
      <c r="D738" s="368" t="s">
        <v>749</v>
      </c>
      <c r="E738" s="369" t="s">
        <v>1314</v>
      </c>
      <c r="F738" s="370">
        <v>6700</v>
      </c>
      <c r="G738" s="143" t="str">
        <f t="shared" si="12"/>
        <v>11020720080030</v>
      </c>
    </row>
    <row r="739" spans="1:7" ht="25.5" x14ac:dyDescent="0.2">
      <c r="A739" s="52" t="s">
        <v>1510</v>
      </c>
      <c r="B739" s="368" t="s">
        <v>246</v>
      </c>
      <c r="C739" s="368" t="s">
        <v>421</v>
      </c>
      <c r="D739" s="368" t="s">
        <v>749</v>
      </c>
      <c r="E739" s="369" t="s">
        <v>1511</v>
      </c>
      <c r="F739" s="370">
        <v>6700</v>
      </c>
      <c r="G739" s="143" t="str">
        <f t="shared" si="12"/>
        <v>11020720080030600</v>
      </c>
    </row>
    <row r="740" spans="1:7" x14ac:dyDescent="0.2">
      <c r="A740" s="52" t="s">
        <v>1340</v>
      </c>
      <c r="B740" s="368" t="s">
        <v>246</v>
      </c>
      <c r="C740" s="368" t="s">
        <v>421</v>
      </c>
      <c r="D740" s="368" t="s">
        <v>749</v>
      </c>
      <c r="E740" s="369" t="s">
        <v>1341</v>
      </c>
      <c r="F740" s="370">
        <v>6700</v>
      </c>
      <c r="G740" s="143" t="str">
        <f t="shared" si="12"/>
        <v>11020720080030610</v>
      </c>
    </row>
    <row r="741" spans="1:7" x14ac:dyDescent="0.2">
      <c r="A741" s="52" t="s">
        <v>406</v>
      </c>
      <c r="B741" s="368" t="s">
        <v>246</v>
      </c>
      <c r="C741" s="368" t="s">
        <v>421</v>
      </c>
      <c r="D741" s="368" t="s">
        <v>749</v>
      </c>
      <c r="E741" s="369" t="s">
        <v>407</v>
      </c>
      <c r="F741" s="371">
        <v>6700</v>
      </c>
      <c r="G741" s="143" t="str">
        <f t="shared" si="12"/>
        <v>11020720080030612</v>
      </c>
    </row>
    <row r="742" spans="1:7" ht="25.5" x14ac:dyDescent="0.2">
      <c r="A742" s="52" t="s">
        <v>199</v>
      </c>
      <c r="B742" s="368" t="s">
        <v>68</v>
      </c>
      <c r="C742" s="368" t="s">
        <v>1314</v>
      </c>
      <c r="D742" s="368" t="s">
        <v>1314</v>
      </c>
      <c r="E742" s="369" t="s">
        <v>1314</v>
      </c>
      <c r="F742" s="371">
        <v>10561455</v>
      </c>
      <c r="G742" s="143" t="str">
        <f t="shared" si="12"/>
        <v/>
      </c>
    </row>
    <row r="743" spans="1:7" x14ac:dyDescent="0.2">
      <c r="A743" s="52" t="s">
        <v>250</v>
      </c>
      <c r="B743" s="368" t="s">
        <v>68</v>
      </c>
      <c r="C743" s="368" t="s">
        <v>1212</v>
      </c>
      <c r="D743" s="368" t="s">
        <v>1314</v>
      </c>
      <c r="E743" s="369" t="s">
        <v>1314</v>
      </c>
      <c r="F743" s="371">
        <v>1650000</v>
      </c>
      <c r="G743" s="143" t="str">
        <f t="shared" si="12"/>
        <v>0100</v>
      </c>
    </row>
    <row r="744" spans="1:7" x14ac:dyDescent="0.2">
      <c r="A744" s="52" t="s">
        <v>233</v>
      </c>
      <c r="B744" s="368" t="s">
        <v>68</v>
      </c>
      <c r="C744" s="368" t="s">
        <v>376</v>
      </c>
      <c r="D744" s="368" t="s">
        <v>1314</v>
      </c>
      <c r="E744" s="369" t="s">
        <v>1314</v>
      </c>
      <c r="F744" s="370">
        <v>1650000</v>
      </c>
      <c r="G744" s="143" t="str">
        <f t="shared" si="12"/>
        <v>0113</v>
      </c>
    </row>
    <row r="745" spans="1:7" ht="25.5" x14ac:dyDescent="0.2">
      <c r="A745" s="52" t="s">
        <v>648</v>
      </c>
      <c r="B745" s="368" t="s">
        <v>68</v>
      </c>
      <c r="C745" s="368" t="s">
        <v>376</v>
      </c>
      <c r="D745" s="368" t="s">
        <v>1072</v>
      </c>
      <c r="E745" s="369" t="s">
        <v>1314</v>
      </c>
      <c r="F745" s="370">
        <v>1650000</v>
      </c>
      <c r="G745" s="143" t="str">
        <f t="shared" ref="G745:G808" si="13">CONCATENATE(C745,D745,E745)</f>
        <v>01139000000000</v>
      </c>
    </row>
    <row r="746" spans="1:7" ht="25.5" x14ac:dyDescent="0.2">
      <c r="A746" s="52" t="s">
        <v>471</v>
      </c>
      <c r="B746" s="368" t="s">
        <v>68</v>
      </c>
      <c r="C746" s="368" t="s">
        <v>376</v>
      </c>
      <c r="D746" s="368" t="s">
        <v>1076</v>
      </c>
      <c r="E746" s="369" t="s">
        <v>1314</v>
      </c>
      <c r="F746" s="371">
        <v>1650000</v>
      </c>
      <c r="G746" s="143" t="str">
        <f t="shared" si="13"/>
        <v>01139090000000</v>
      </c>
    </row>
    <row r="747" spans="1:7" ht="51" x14ac:dyDescent="0.2">
      <c r="A747" s="52" t="s">
        <v>569</v>
      </c>
      <c r="B747" s="368" t="s">
        <v>68</v>
      </c>
      <c r="C747" s="368" t="s">
        <v>376</v>
      </c>
      <c r="D747" s="368" t="s">
        <v>791</v>
      </c>
      <c r="E747" s="369" t="s">
        <v>1314</v>
      </c>
      <c r="F747" s="370">
        <v>1650000</v>
      </c>
      <c r="G747" s="143" t="str">
        <f t="shared" si="13"/>
        <v>011390900Д0000</v>
      </c>
    </row>
    <row r="748" spans="1:7" ht="25.5" x14ac:dyDescent="0.2">
      <c r="A748" s="52" t="s">
        <v>1502</v>
      </c>
      <c r="B748" s="368" t="s">
        <v>68</v>
      </c>
      <c r="C748" s="368" t="s">
        <v>376</v>
      </c>
      <c r="D748" s="368" t="s">
        <v>791</v>
      </c>
      <c r="E748" s="369" t="s">
        <v>1503</v>
      </c>
      <c r="F748" s="370">
        <v>1650000</v>
      </c>
      <c r="G748" s="143" t="str">
        <f t="shared" si="13"/>
        <v>011390900Д0000200</v>
      </c>
    </row>
    <row r="749" spans="1:7" ht="25.5" x14ac:dyDescent="0.2">
      <c r="A749" s="52" t="s">
        <v>1338</v>
      </c>
      <c r="B749" s="368" t="s">
        <v>68</v>
      </c>
      <c r="C749" s="368" t="s">
        <v>376</v>
      </c>
      <c r="D749" s="368" t="s">
        <v>791</v>
      </c>
      <c r="E749" s="369" t="s">
        <v>1339</v>
      </c>
      <c r="F749" s="370">
        <v>1650000</v>
      </c>
      <c r="G749" s="143" t="str">
        <f t="shared" si="13"/>
        <v>011390900Д0000240</v>
      </c>
    </row>
    <row r="750" spans="1:7" x14ac:dyDescent="0.2">
      <c r="A750" s="52" t="s">
        <v>1379</v>
      </c>
      <c r="B750" s="368" t="s">
        <v>68</v>
      </c>
      <c r="C750" s="368" t="s">
        <v>376</v>
      </c>
      <c r="D750" s="368" t="s">
        <v>791</v>
      </c>
      <c r="E750" s="369" t="s">
        <v>368</v>
      </c>
      <c r="F750" s="370">
        <v>1650000</v>
      </c>
      <c r="G750" s="143" t="str">
        <f t="shared" si="13"/>
        <v>011390900Д0000244</v>
      </c>
    </row>
    <row r="751" spans="1:7" x14ac:dyDescent="0.2">
      <c r="A751" s="52" t="s">
        <v>190</v>
      </c>
      <c r="B751" s="368" t="s">
        <v>68</v>
      </c>
      <c r="C751" s="368" t="s">
        <v>1218</v>
      </c>
      <c r="D751" s="368" t="s">
        <v>1314</v>
      </c>
      <c r="E751" s="369" t="s">
        <v>1314</v>
      </c>
      <c r="F751" s="370">
        <v>900000</v>
      </c>
      <c r="G751" s="143" t="str">
        <f t="shared" si="13"/>
        <v>0400</v>
      </c>
    </row>
    <row r="752" spans="1:7" x14ac:dyDescent="0.2">
      <c r="A752" s="52" t="s">
        <v>152</v>
      </c>
      <c r="B752" s="368" t="s">
        <v>68</v>
      </c>
      <c r="C752" s="368" t="s">
        <v>400</v>
      </c>
      <c r="D752" s="368" t="s">
        <v>1314</v>
      </c>
      <c r="E752" s="369" t="s">
        <v>1314</v>
      </c>
      <c r="F752" s="370">
        <v>900000</v>
      </c>
      <c r="G752" s="143" t="str">
        <f t="shared" si="13"/>
        <v>0412</v>
      </c>
    </row>
    <row r="753" spans="1:7" ht="25.5" x14ac:dyDescent="0.2">
      <c r="A753" s="52" t="s">
        <v>648</v>
      </c>
      <c r="B753" s="368" t="s">
        <v>68</v>
      </c>
      <c r="C753" s="368" t="s">
        <v>400</v>
      </c>
      <c r="D753" s="368" t="s">
        <v>1072</v>
      </c>
      <c r="E753" s="369" t="s">
        <v>1314</v>
      </c>
      <c r="F753" s="370">
        <v>900000</v>
      </c>
      <c r="G753" s="143" t="str">
        <f t="shared" si="13"/>
        <v>04129000000000</v>
      </c>
    </row>
    <row r="754" spans="1:7" ht="25.5" x14ac:dyDescent="0.2">
      <c r="A754" s="52" t="s">
        <v>471</v>
      </c>
      <c r="B754" s="368" t="s">
        <v>68</v>
      </c>
      <c r="C754" s="368" t="s">
        <v>400</v>
      </c>
      <c r="D754" s="368" t="s">
        <v>1076</v>
      </c>
      <c r="E754" s="369" t="s">
        <v>1314</v>
      </c>
      <c r="F754" s="370">
        <v>900000</v>
      </c>
      <c r="G754" s="143" t="str">
        <f t="shared" si="13"/>
        <v>04129090000000</v>
      </c>
    </row>
    <row r="755" spans="1:7" ht="38.25" x14ac:dyDescent="0.2">
      <c r="A755" s="52" t="s">
        <v>443</v>
      </c>
      <c r="B755" s="368" t="s">
        <v>68</v>
      </c>
      <c r="C755" s="368" t="s">
        <v>400</v>
      </c>
      <c r="D755" s="368" t="s">
        <v>792</v>
      </c>
      <c r="E755" s="369" t="s">
        <v>1314</v>
      </c>
      <c r="F755" s="370">
        <v>900000</v>
      </c>
      <c r="G755" s="143" t="str">
        <f t="shared" si="13"/>
        <v>041290900Ж0000</v>
      </c>
    </row>
    <row r="756" spans="1:7" ht="25.5" x14ac:dyDescent="0.2">
      <c r="A756" s="52" t="s">
        <v>1502</v>
      </c>
      <c r="B756" s="368" t="s">
        <v>68</v>
      </c>
      <c r="C756" s="368" t="s">
        <v>400</v>
      </c>
      <c r="D756" s="368" t="s">
        <v>792</v>
      </c>
      <c r="E756" s="369" t="s">
        <v>1503</v>
      </c>
      <c r="F756" s="370">
        <v>900000</v>
      </c>
      <c r="G756" s="143" t="str">
        <f t="shared" si="13"/>
        <v>041290900Ж0000200</v>
      </c>
    </row>
    <row r="757" spans="1:7" ht="25.5" x14ac:dyDescent="0.2">
      <c r="A757" s="52" t="s">
        <v>1338</v>
      </c>
      <c r="B757" s="368" t="s">
        <v>68</v>
      </c>
      <c r="C757" s="368" t="s">
        <v>400</v>
      </c>
      <c r="D757" s="368" t="s">
        <v>792</v>
      </c>
      <c r="E757" s="369" t="s">
        <v>1339</v>
      </c>
      <c r="F757" s="370">
        <v>900000</v>
      </c>
      <c r="G757" s="143" t="str">
        <f t="shared" si="13"/>
        <v>041290900Ж0000240</v>
      </c>
    </row>
    <row r="758" spans="1:7" x14ac:dyDescent="0.2">
      <c r="A758" s="52" t="s">
        <v>1379</v>
      </c>
      <c r="B758" s="368" t="s">
        <v>68</v>
      </c>
      <c r="C758" s="368" t="s">
        <v>400</v>
      </c>
      <c r="D758" s="368" t="s">
        <v>792</v>
      </c>
      <c r="E758" s="369" t="s">
        <v>368</v>
      </c>
      <c r="F758" s="370">
        <v>900000</v>
      </c>
      <c r="G758" s="143" t="str">
        <f t="shared" si="13"/>
        <v>041290900Ж0000244</v>
      </c>
    </row>
    <row r="759" spans="1:7" x14ac:dyDescent="0.2">
      <c r="A759" s="52" t="s">
        <v>255</v>
      </c>
      <c r="B759" s="368" t="s">
        <v>68</v>
      </c>
      <c r="C759" s="368" t="s">
        <v>1219</v>
      </c>
      <c r="D759" s="368" t="s">
        <v>1314</v>
      </c>
      <c r="E759" s="369" t="s">
        <v>1314</v>
      </c>
      <c r="F759" s="370">
        <v>1303955</v>
      </c>
      <c r="G759" s="143" t="str">
        <f t="shared" si="13"/>
        <v>0500</v>
      </c>
    </row>
    <row r="760" spans="1:7" x14ac:dyDescent="0.2">
      <c r="A760" s="52" t="s">
        <v>3</v>
      </c>
      <c r="B760" s="368" t="s">
        <v>68</v>
      </c>
      <c r="C760" s="368" t="s">
        <v>426</v>
      </c>
      <c r="D760" s="368" t="s">
        <v>1314</v>
      </c>
      <c r="E760" s="369" t="s">
        <v>1314</v>
      </c>
      <c r="F760" s="370">
        <v>892955</v>
      </c>
      <c r="G760" s="143" t="str">
        <f t="shared" si="13"/>
        <v>0501</v>
      </c>
    </row>
    <row r="761" spans="1:7" ht="38.25" x14ac:dyDescent="0.2">
      <c r="A761" s="52" t="s">
        <v>493</v>
      </c>
      <c r="B761" s="368" t="s">
        <v>68</v>
      </c>
      <c r="C761" s="368" t="s">
        <v>426</v>
      </c>
      <c r="D761" s="368" t="s">
        <v>1034</v>
      </c>
      <c r="E761" s="369" t="s">
        <v>1314</v>
      </c>
      <c r="F761" s="370">
        <v>192955</v>
      </c>
      <c r="G761" s="143" t="str">
        <f t="shared" si="13"/>
        <v>05010300000000</v>
      </c>
    </row>
    <row r="762" spans="1:7" ht="38.25" x14ac:dyDescent="0.2">
      <c r="A762" s="52" t="s">
        <v>639</v>
      </c>
      <c r="B762" s="368" t="s">
        <v>68</v>
      </c>
      <c r="C762" s="368" t="s">
        <v>426</v>
      </c>
      <c r="D762" s="368" t="s">
        <v>1036</v>
      </c>
      <c r="E762" s="369" t="s">
        <v>1314</v>
      </c>
      <c r="F762" s="370">
        <v>192955</v>
      </c>
      <c r="G762" s="143" t="str">
        <f t="shared" si="13"/>
        <v>05010330000000</v>
      </c>
    </row>
    <row r="763" spans="1:7" ht="89.25" x14ac:dyDescent="0.2">
      <c r="A763" s="52" t="s">
        <v>571</v>
      </c>
      <c r="B763" s="368" t="s">
        <v>68</v>
      </c>
      <c r="C763" s="368" t="s">
        <v>426</v>
      </c>
      <c r="D763" s="368" t="s">
        <v>794</v>
      </c>
      <c r="E763" s="369" t="s">
        <v>1314</v>
      </c>
      <c r="F763" s="370">
        <v>192955</v>
      </c>
      <c r="G763" s="143" t="str">
        <f t="shared" si="13"/>
        <v>05010330080000</v>
      </c>
    </row>
    <row r="764" spans="1:7" ht="25.5" x14ac:dyDescent="0.2">
      <c r="A764" s="52" t="s">
        <v>1502</v>
      </c>
      <c r="B764" s="368" t="s">
        <v>68</v>
      </c>
      <c r="C764" s="368" t="s">
        <v>426</v>
      </c>
      <c r="D764" s="368" t="s">
        <v>794</v>
      </c>
      <c r="E764" s="369" t="s">
        <v>1503</v>
      </c>
      <c r="F764" s="370">
        <v>192955</v>
      </c>
      <c r="G764" s="143" t="str">
        <f t="shared" si="13"/>
        <v>05010330080000200</v>
      </c>
    </row>
    <row r="765" spans="1:7" ht="25.5" x14ac:dyDescent="0.2">
      <c r="A765" s="52" t="s">
        <v>1338</v>
      </c>
      <c r="B765" s="368" t="s">
        <v>68</v>
      </c>
      <c r="C765" s="368" t="s">
        <v>426</v>
      </c>
      <c r="D765" s="368" t="s">
        <v>794</v>
      </c>
      <c r="E765" s="369" t="s">
        <v>1339</v>
      </c>
      <c r="F765" s="370">
        <v>192955</v>
      </c>
      <c r="G765" s="143" t="str">
        <f t="shared" si="13"/>
        <v>05010330080000240</v>
      </c>
    </row>
    <row r="766" spans="1:7" x14ac:dyDescent="0.2">
      <c r="A766" s="52" t="s">
        <v>1379</v>
      </c>
      <c r="B766" s="368" t="s">
        <v>68</v>
      </c>
      <c r="C766" s="368" t="s">
        <v>426</v>
      </c>
      <c r="D766" s="368" t="s">
        <v>794</v>
      </c>
      <c r="E766" s="369" t="s">
        <v>368</v>
      </c>
      <c r="F766" s="370">
        <v>192955</v>
      </c>
      <c r="G766" s="143" t="str">
        <f t="shared" si="13"/>
        <v>05010330080000244</v>
      </c>
    </row>
    <row r="767" spans="1:7" ht="25.5" x14ac:dyDescent="0.2">
      <c r="A767" s="52" t="s">
        <v>643</v>
      </c>
      <c r="B767" s="368" t="s">
        <v>68</v>
      </c>
      <c r="C767" s="368" t="s">
        <v>426</v>
      </c>
      <c r="D767" s="368" t="s">
        <v>1058</v>
      </c>
      <c r="E767" s="369" t="s">
        <v>1314</v>
      </c>
      <c r="F767" s="370">
        <v>700000</v>
      </c>
      <c r="G767" s="143" t="str">
        <f t="shared" si="13"/>
        <v>05011000000000</v>
      </c>
    </row>
    <row r="768" spans="1:7" ht="25.5" x14ac:dyDescent="0.2">
      <c r="A768" s="52" t="s">
        <v>976</v>
      </c>
      <c r="B768" s="368" t="s">
        <v>68</v>
      </c>
      <c r="C768" s="368" t="s">
        <v>426</v>
      </c>
      <c r="D768" s="368" t="s">
        <v>1543</v>
      </c>
      <c r="E768" s="369" t="s">
        <v>1314</v>
      </c>
      <c r="F768" s="370">
        <v>100000</v>
      </c>
      <c r="G768" s="143" t="str">
        <f t="shared" si="13"/>
        <v>05011030000000</v>
      </c>
    </row>
    <row r="769" spans="1:7" ht="63.75" x14ac:dyDescent="0.2">
      <c r="A769" s="52" t="s">
        <v>980</v>
      </c>
      <c r="B769" s="368" t="s">
        <v>68</v>
      </c>
      <c r="C769" s="368" t="s">
        <v>426</v>
      </c>
      <c r="D769" s="368" t="s">
        <v>979</v>
      </c>
      <c r="E769" s="369" t="s">
        <v>1314</v>
      </c>
      <c r="F769" s="370">
        <v>100000</v>
      </c>
      <c r="G769" s="143" t="str">
        <f t="shared" si="13"/>
        <v>05011030080000</v>
      </c>
    </row>
    <row r="770" spans="1:7" ht="25.5" x14ac:dyDescent="0.2">
      <c r="A770" s="52" t="s">
        <v>1502</v>
      </c>
      <c r="B770" s="368" t="s">
        <v>68</v>
      </c>
      <c r="C770" s="368" t="s">
        <v>426</v>
      </c>
      <c r="D770" s="368" t="s">
        <v>979</v>
      </c>
      <c r="E770" s="369" t="s">
        <v>1503</v>
      </c>
      <c r="F770" s="370">
        <v>100000</v>
      </c>
      <c r="G770" s="143" t="str">
        <f t="shared" si="13"/>
        <v>05011030080000200</v>
      </c>
    </row>
    <row r="771" spans="1:7" ht="25.5" x14ac:dyDescent="0.2">
      <c r="A771" s="52" t="s">
        <v>1338</v>
      </c>
      <c r="B771" s="368" t="s">
        <v>68</v>
      </c>
      <c r="C771" s="368" t="s">
        <v>426</v>
      </c>
      <c r="D771" s="368" t="s">
        <v>979</v>
      </c>
      <c r="E771" s="369" t="s">
        <v>1339</v>
      </c>
      <c r="F771" s="370">
        <v>100000</v>
      </c>
      <c r="G771" s="143" t="str">
        <f t="shared" si="13"/>
        <v>05011030080000240</v>
      </c>
    </row>
    <row r="772" spans="1:7" x14ac:dyDescent="0.2">
      <c r="A772" s="52" t="s">
        <v>1379</v>
      </c>
      <c r="B772" s="368" t="s">
        <v>68</v>
      </c>
      <c r="C772" s="368" t="s">
        <v>426</v>
      </c>
      <c r="D772" s="368" t="s">
        <v>979</v>
      </c>
      <c r="E772" s="369" t="s">
        <v>368</v>
      </c>
      <c r="F772" s="370">
        <v>100000</v>
      </c>
      <c r="G772" s="143" t="str">
        <f t="shared" si="13"/>
        <v>05011030080000244</v>
      </c>
    </row>
    <row r="773" spans="1:7" ht="25.5" x14ac:dyDescent="0.2">
      <c r="A773" s="52" t="s">
        <v>644</v>
      </c>
      <c r="B773" s="368" t="s">
        <v>68</v>
      </c>
      <c r="C773" s="368" t="s">
        <v>426</v>
      </c>
      <c r="D773" s="368" t="s">
        <v>1059</v>
      </c>
      <c r="E773" s="369" t="s">
        <v>1314</v>
      </c>
      <c r="F773" s="370">
        <v>600000</v>
      </c>
      <c r="G773" s="143" t="str">
        <f t="shared" si="13"/>
        <v>05011050000000</v>
      </c>
    </row>
    <row r="774" spans="1:7" ht="63.75" x14ac:dyDescent="0.2">
      <c r="A774" s="52" t="s">
        <v>570</v>
      </c>
      <c r="B774" s="368" t="s">
        <v>68</v>
      </c>
      <c r="C774" s="368" t="s">
        <v>426</v>
      </c>
      <c r="D774" s="368" t="s">
        <v>793</v>
      </c>
      <c r="E774" s="369" t="s">
        <v>1314</v>
      </c>
      <c r="F774" s="370">
        <v>600000</v>
      </c>
      <c r="G774" s="143" t="str">
        <f t="shared" si="13"/>
        <v>05011050080000</v>
      </c>
    </row>
    <row r="775" spans="1:7" x14ac:dyDescent="0.2">
      <c r="A775" s="52" t="s">
        <v>1506</v>
      </c>
      <c r="B775" s="368" t="s">
        <v>68</v>
      </c>
      <c r="C775" s="368" t="s">
        <v>426</v>
      </c>
      <c r="D775" s="368" t="s">
        <v>793</v>
      </c>
      <c r="E775" s="369" t="s">
        <v>1507</v>
      </c>
      <c r="F775" s="370">
        <v>600000</v>
      </c>
      <c r="G775" s="143" t="str">
        <f t="shared" si="13"/>
        <v>05011050080000300</v>
      </c>
    </row>
    <row r="776" spans="1:7" x14ac:dyDescent="0.2">
      <c r="A776" s="52" t="s">
        <v>573</v>
      </c>
      <c r="B776" s="368" t="s">
        <v>68</v>
      </c>
      <c r="C776" s="368" t="s">
        <v>426</v>
      </c>
      <c r="D776" s="368" t="s">
        <v>793</v>
      </c>
      <c r="E776" s="369" t="s">
        <v>574</v>
      </c>
      <c r="F776" s="370">
        <v>600000</v>
      </c>
      <c r="G776" s="143" t="str">
        <f t="shared" si="13"/>
        <v>05011050080000360</v>
      </c>
    </row>
    <row r="777" spans="1:7" x14ac:dyDescent="0.2">
      <c r="A777" s="52" t="s">
        <v>153</v>
      </c>
      <c r="B777" s="368" t="s">
        <v>68</v>
      </c>
      <c r="C777" s="368" t="s">
        <v>404</v>
      </c>
      <c r="D777" s="368" t="s">
        <v>1314</v>
      </c>
      <c r="E777" s="369" t="s">
        <v>1314</v>
      </c>
      <c r="F777" s="370">
        <v>411000</v>
      </c>
      <c r="G777" s="143" t="str">
        <f t="shared" si="13"/>
        <v>0502</v>
      </c>
    </row>
    <row r="778" spans="1:7" ht="38.25" x14ac:dyDescent="0.2">
      <c r="A778" s="52" t="s">
        <v>493</v>
      </c>
      <c r="B778" s="368" t="s">
        <v>68</v>
      </c>
      <c r="C778" s="368" t="s">
        <v>404</v>
      </c>
      <c r="D778" s="368" t="s">
        <v>1034</v>
      </c>
      <c r="E778" s="369" t="s">
        <v>1314</v>
      </c>
      <c r="F778" s="370">
        <v>411000</v>
      </c>
      <c r="G778" s="143" t="str">
        <f t="shared" si="13"/>
        <v>05020300000000</v>
      </c>
    </row>
    <row r="779" spans="1:7" ht="38.25" x14ac:dyDescent="0.2">
      <c r="A779" s="52" t="s">
        <v>640</v>
      </c>
      <c r="B779" s="368" t="s">
        <v>68</v>
      </c>
      <c r="C779" s="368" t="s">
        <v>404</v>
      </c>
      <c r="D779" s="368" t="s">
        <v>1037</v>
      </c>
      <c r="E779" s="369" t="s">
        <v>1314</v>
      </c>
      <c r="F779" s="370">
        <v>411000</v>
      </c>
      <c r="G779" s="143" t="str">
        <f t="shared" si="13"/>
        <v>05020350000000</v>
      </c>
    </row>
    <row r="780" spans="1:7" ht="89.25" x14ac:dyDescent="0.2">
      <c r="A780" s="52" t="s">
        <v>1727</v>
      </c>
      <c r="B780" s="368" t="s">
        <v>68</v>
      </c>
      <c r="C780" s="368" t="s">
        <v>404</v>
      </c>
      <c r="D780" s="368" t="s">
        <v>1728</v>
      </c>
      <c r="E780" s="369" t="s">
        <v>1314</v>
      </c>
      <c r="F780" s="370">
        <v>411000</v>
      </c>
      <c r="G780" s="143" t="str">
        <f t="shared" si="13"/>
        <v>0502035008Ф000</v>
      </c>
    </row>
    <row r="781" spans="1:7" ht="25.5" x14ac:dyDescent="0.2">
      <c r="A781" s="52" t="s">
        <v>1502</v>
      </c>
      <c r="B781" s="368" t="s">
        <v>68</v>
      </c>
      <c r="C781" s="368" t="s">
        <v>404</v>
      </c>
      <c r="D781" s="368" t="s">
        <v>1728</v>
      </c>
      <c r="E781" s="369" t="s">
        <v>1503</v>
      </c>
      <c r="F781" s="370">
        <v>411000</v>
      </c>
      <c r="G781" s="143" t="str">
        <f t="shared" si="13"/>
        <v>0502035008Ф000200</v>
      </c>
    </row>
    <row r="782" spans="1:7" ht="25.5" x14ac:dyDescent="0.2">
      <c r="A782" s="52" t="s">
        <v>1338</v>
      </c>
      <c r="B782" s="368" t="s">
        <v>68</v>
      </c>
      <c r="C782" s="368" t="s">
        <v>404</v>
      </c>
      <c r="D782" s="368" t="s">
        <v>1728</v>
      </c>
      <c r="E782" s="369" t="s">
        <v>1339</v>
      </c>
      <c r="F782" s="370">
        <v>411000</v>
      </c>
      <c r="G782" s="143" t="str">
        <f t="shared" si="13"/>
        <v>0502035008Ф000240</v>
      </c>
    </row>
    <row r="783" spans="1:7" x14ac:dyDescent="0.2">
      <c r="A783" s="52" t="s">
        <v>1379</v>
      </c>
      <c r="B783" s="368" t="s">
        <v>68</v>
      </c>
      <c r="C783" s="368" t="s">
        <v>404</v>
      </c>
      <c r="D783" s="368" t="s">
        <v>1728</v>
      </c>
      <c r="E783" s="369" t="s">
        <v>368</v>
      </c>
      <c r="F783" s="370">
        <v>411000</v>
      </c>
      <c r="G783" s="143" t="str">
        <f t="shared" si="13"/>
        <v>0502035008Ф000244</v>
      </c>
    </row>
    <row r="784" spans="1:7" x14ac:dyDescent="0.2">
      <c r="A784" s="52" t="s">
        <v>1938</v>
      </c>
      <c r="B784" s="368" t="s">
        <v>68</v>
      </c>
      <c r="C784" s="368" t="s">
        <v>1939</v>
      </c>
      <c r="D784" s="368" t="s">
        <v>1314</v>
      </c>
      <c r="E784" s="369" t="s">
        <v>1314</v>
      </c>
      <c r="F784" s="370">
        <v>50000</v>
      </c>
      <c r="G784" s="143" t="str">
        <f t="shared" si="13"/>
        <v>0600</v>
      </c>
    </row>
    <row r="785" spans="1:7" x14ac:dyDescent="0.2">
      <c r="A785" s="52" t="s">
        <v>1940</v>
      </c>
      <c r="B785" s="368" t="s">
        <v>68</v>
      </c>
      <c r="C785" s="368" t="s">
        <v>1941</v>
      </c>
      <c r="D785" s="368" t="s">
        <v>1314</v>
      </c>
      <c r="E785" s="369" t="s">
        <v>1314</v>
      </c>
      <c r="F785" s="370">
        <v>50000</v>
      </c>
      <c r="G785" s="143" t="str">
        <f t="shared" si="13"/>
        <v>0605</v>
      </c>
    </row>
    <row r="786" spans="1:7" ht="25.5" x14ac:dyDescent="0.2">
      <c r="A786" s="52" t="s">
        <v>2037</v>
      </c>
      <c r="B786" s="368" t="s">
        <v>68</v>
      </c>
      <c r="C786" s="368" t="s">
        <v>1941</v>
      </c>
      <c r="D786" s="368" t="s">
        <v>2038</v>
      </c>
      <c r="E786" s="369" t="s">
        <v>1314</v>
      </c>
      <c r="F786" s="370">
        <v>50000</v>
      </c>
      <c r="G786" s="143" t="str">
        <f t="shared" si="13"/>
        <v>06050200000000</v>
      </c>
    </row>
    <row r="787" spans="1:7" ht="25.5" x14ac:dyDescent="0.2">
      <c r="A787" s="52" t="s">
        <v>879</v>
      </c>
      <c r="B787" s="368" t="s">
        <v>68</v>
      </c>
      <c r="C787" s="368" t="s">
        <v>1941</v>
      </c>
      <c r="D787" s="368" t="s">
        <v>2039</v>
      </c>
      <c r="E787" s="369" t="s">
        <v>1314</v>
      </c>
      <c r="F787" s="370">
        <v>50000</v>
      </c>
      <c r="G787" s="143" t="str">
        <f t="shared" si="13"/>
        <v>06050210000000</v>
      </c>
    </row>
    <row r="788" spans="1:7" ht="63.75" x14ac:dyDescent="0.2">
      <c r="A788" s="52" t="s">
        <v>2058</v>
      </c>
      <c r="B788" s="368" t="s">
        <v>68</v>
      </c>
      <c r="C788" s="368" t="s">
        <v>1941</v>
      </c>
      <c r="D788" s="368" t="s">
        <v>2059</v>
      </c>
      <c r="E788" s="369" t="s">
        <v>1314</v>
      </c>
      <c r="F788" s="370">
        <v>50000</v>
      </c>
      <c r="G788" s="143" t="str">
        <f t="shared" si="13"/>
        <v>060502100S4940</v>
      </c>
    </row>
    <row r="789" spans="1:7" ht="25.5" x14ac:dyDescent="0.2">
      <c r="A789" s="52" t="s">
        <v>1502</v>
      </c>
      <c r="B789" s="368" t="s">
        <v>68</v>
      </c>
      <c r="C789" s="368" t="s">
        <v>1941</v>
      </c>
      <c r="D789" s="368" t="s">
        <v>2059</v>
      </c>
      <c r="E789" s="369" t="s">
        <v>1503</v>
      </c>
      <c r="F789" s="370">
        <v>50000</v>
      </c>
      <c r="G789" s="143" t="str">
        <f t="shared" si="13"/>
        <v>060502100S4940200</v>
      </c>
    </row>
    <row r="790" spans="1:7" ht="25.5" x14ac:dyDescent="0.2">
      <c r="A790" s="52" t="s">
        <v>1338</v>
      </c>
      <c r="B790" s="368" t="s">
        <v>68</v>
      </c>
      <c r="C790" s="368" t="s">
        <v>1941</v>
      </c>
      <c r="D790" s="368" t="s">
        <v>2059</v>
      </c>
      <c r="E790" s="369" t="s">
        <v>1339</v>
      </c>
      <c r="F790" s="370">
        <v>50000</v>
      </c>
      <c r="G790" s="143" t="str">
        <f t="shared" si="13"/>
        <v>060502100S4940240</v>
      </c>
    </row>
    <row r="791" spans="1:7" x14ac:dyDescent="0.2">
      <c r="A791" s="52" t="s">
        <v>1379</v>
      </c>
      <c r="B791" s="368" t="s">
        <v>68</v>
      </c>
      <c r="C791" s="368" t="s">
        <v>1941</v>
      </c>
      <c r="D791" s="368" t="s">
        <v>2059</v>
      </c>
      <c r="E791" s="369" t="s">
        <v>368</v>
      </c>
      <c r="F791" s="370">
        <v>50000</v>
      </c>
      <c r="G791" s="143" t="str">
        <f t="shared" si="13"/>
        <v>060502100S4940244</v>
      </c>
    </row>
    <row r="792" spans="1:7" x14ac:dyDescent="0.2">
      <c r="A792" s="52" t="s">
        <v>148</v>
      </c>
      <c r="B792" s="368" t="s">
        <v>68</v>
      </c>
      <c r="C792" s="368" t="s">
        <v>1221</v>
      </c>
      <c r="D792" s="368" t="s">
        <v>1314</v>
      </c>
      <c r="E792" s="369" t="s">
        <v>1314</v>
      </c>
      <c r="F792" s="370">
        <v>6657500</v>
      </c>
      <c r="G792" s="143" t="str">
        <f t="shared" si="13"/>
        <v>1000</v>
      </c>
    </row>
    <row r="793" spans="1:7" x14ac:dyDescent="0.2">
      <c r="A793" s="52" t="s">
        <v>105</v>
      </c>
      <c r="B793" s="368" t="s">
        <v>68</v>
      </c>
      <c r="C793" s="368" t="s">
        <v>418</v>
      </c>
      <c r="D793" s="368" t="s">
        <v>1314</v>
      </c>
      <c r="E793" s="369" t="s">
        <v>1314</v>
      </c>
      <c r="F793" s="370">
        <v>1500000</v>
      </c>
      <c r="G793" s="143" t="str">
        <f t="shared" si="13"/>
        <v>1003</v>
      </c>
    </row>
    <row r="794" spans="1:7" x14ac:dyDescent="0.2">
      <c r="A794" s="52" t="s">
        <v>507</v>
      </c>
      <c r="B794" s="368" t="s">
        <v>68</v>
      </c>
      <c r="C794" s="368" t="s">
        <v>418</v>
      </c>
      <c r="D794" s="368" t="s">
        <v>1045</v>
      </c>
      <c r="E794" s="369" t="s">
        <v>1314</v>
      </c>
      <c r="F794" s="370">
        <v>1500000</v>
      </c>
      <c r="G794" s="143" t="str">
        <f t="shared" si="13"/>
        <v>10030600000000</v>
      </c>
    </row>
    <row r="795" spans="1:7" ht="25.5" x14ac:dyDescent="0.2">
      <c r="A795" s="52" t="s">
        <v>512</v>
      </c>
      <c r="B795" s="368" t="s">
        <v>68</v>
      </c>
      <c r="C795" s="368" t="s">
        <v>418</v>
      </c>
      <c r="D795" s="368" t="s">
        <v>1047</v>
      </c>
      <c r="E795" s="369" t="s">
        <v>1314</v>
      </c>
      <c r="F795" s="370">
        <v>1500000</v>
      </c>
      <c r="G795" s="143" t="str">
        <f t="shared" si="13"/>
        <v>10030630000000</v>
      </c>
    </row>
    <row r="796" spans="1:7" ht="63.75" x14ac:dyDescent="0.2">
      <c r="A796" s="52" t="s">
        <v>1749</v>
      </c>
      <c r="B796" s="368" t="s">
        <v>68</v>
      </c>
      <c r="C796" s="368" t="s">
        <v>418</v>
      </c>
      <c r="D796" s="368" t="s">
        <v>1394</v>
      </c>
      <c r="E796" s="369" t="s">
        <v>1314</v>
      </c>
      <c r="F796" s="370">
        <v>1500000</v>
      </c>
      <c r="G796" s="143" t="str">
        <f t="shared" si="13"/>
        <v>100306300L4970</v>
      </c>
    </row>
    <row r="797" spans="1:7" x14ac:dyDescent="0.2">
      <c r="A797" s="52" t="s">
        <v>1506</v>
      </c>
      <c r="B797" s="368" t="s">
        <v>68</v>
      </c>
      <c r="C797" s="368" t="s">
        <v>418</v>
      </c>
      <c r="D797" s="368" t="s">
        <v>1394</v>
      </c>
      <c r="E797" s="369" t="s">
        <v>1507</v>
      </c>
      <c r="F797" s="370">
        <v>1500000</v>
      </c>
      <c r="G797" s="143" t="str">
        <f t="shared" si="13"/>
        <v>100306300L4970300</v>
      </c>
    </row>
    <row r="798" spans="1:7" ht="25.5" x14ac:dyDescent="0.2">
      <c r="A798" s="52" t="s">
        <v>1342</v>
      </c>
      <c r="B798" s="368" t="s">
        <v>68</v>
      </c>
      <c r="C798" s="368" t="s">
        <v>418</v>
      </c>
      <c r="D798" s="368" t="s">
        <v>1394</v>
      </c>
      <c r="E798" s="369" t="s">
        <v>604</v>
      </c>
      <c r="F798" s="370">
        <v>1500000</v>
      </c>
      <c r="G798" s="143" t="str">
        <f t="shared" si="13"/>
        <v>100306300L4970320</v>
      </c>
    </row>
    <row r="799" spans="1:7" x14ac:dyDescent="0.2">
      <c r="A799" s="52" t="s">
        <v>650</v>
      </c>
      <c r="B799" s="368" t="s">
        <v>68</v>
      </c>
      <c r="C799" s="368" t="s">
        <v>418</v>
      </c>
      <c r="D799" s="368" t="s">
        <v>1394</v>
      </c>
      <c r="E799" s="369" t="s">
        <v>649</v>
      </c>
      <c r="F799" s="370">
        <v>1500000</v>
      </c>
      <c r="G799" s="143" t="str">
        <f t="shared" si="13"/>
        <v>100306300L4970322</v>
      </c>
    </row>
    <row r="800" spans="1:7" x14ac:dyDescent="0.2">
      <c r="A800" s="52" t="s">
        <v>19</v>
      </c>
      <c r="B800" s="368" t="s">
        <v>68</v>
      </c>
      <c r="C800" s="368" t="s">
        <v>463</v>
      </c>
      <c r="D800" s="368" t="s">
        <v>1314</v>
      </c>
      <c r="E800" s="369" t="s">
        <v>1314</v>
      </c>
      <c r="F800" s="370">
        <v>5157500</v>
      </c>
      <c r="G800" s="143" t="str">
        <f t="shared" si="13"/>
        <v>1004</v>
      </c>
    </row>
    <row r="801" spans="1:7" ht="25.5" x14ac:dyDescent="0.2">
      <c r="A801" s="52" t="s">
        <v>483</v>
      </c>
      <c r="B801" s="368" t="s">
        <v>68</v>
      </c>
      <c r="C801" s="368" t="s">
        <v>463</v>
      </c>
      <c r="D801" s="368" t="s">
        <v>1031</v>
      </c>
      <c r="E801" s="369" t="s">
        <v>1314</v>
      </c>
      <c r="F801" s="370">
        <v>5157500</v>
      </c>
      <c r="G801" s="143" t="str">
        <f t="shared" si="13"/>
        <v>10040100000000</v>
      </c>
    </row>
    <row r="802" spans="1:7" ht="38.25" x14ac:dyDescent="0.2">
      <c r="A802" s="52" t="s">
        <v>486</v>
      </c>
      <c r="B802" s="368" t="s">
        <v>68</v>
      </c>
      <c r="C802" s="368" t="s">
        <v>463</v>
      </c>
      <c r="D802" s="368" t="s">
        <v>1211</v>
      </c>
      <c r="E802" s="369" t="s">
        <v>1314</v>
      </c>
      <c r="F802" s="370">
        <v>5157500</v>
      </c>
      <c r="G802" s="143" t="str">
        <f t="shared" si="13"/>
        <v>10040120000000</v>
      </c>
    </row>
    <row r="803" spans="1:7" ht="114.75" x14ac:dyDescent="0.2">
      <c r="A803" s="52" t="s">
        <v>1544</v>
      </c>
      <c r="B803" s="368" t="s">
        <v>68</v>
      </c>
      <c r="C803" s="368" t="s">
        <v>463</v>
      </c>
      <c r="D803" s="368" t="s">
        <v>1545</v>
      </c>
      <c r="E803" s="369" t="s">
        <v>1314</v>
      </c>
      <c r="F803" s="370">
        <v>5157500</v>
      </c>
      <c r="G803" s="143" t="str">
        <f t="shared" si="13"/>
        <v>10040120075870</v>
      </c>
    </row>
    <row r="804" spans="1:7" ht="25.5" x14ac:dyDescent="0.2">
      <c r="A804" s="52" t="s">
        <v>1508</v>
      </c>
      <c r="B804" s="368" t="s">
        <v>68</v>
      </c>
      <c r="C804" s="368" t="s">
        <v>463</v>
      </c>
      <c r="D804" s="368" t="s">
        <v>1545</v>
      </c>
      <c r="E804" s="369" t="s">
        <v>1509</v>
      </c>
      <c r="F804" s="370">
        <v>5157500</v>
      </c>
      <c r="G804" s="143" t="str">
        <f t="shared" si="13"/>
        <v>10040120075870400</v>
      </c>
    </row>
    <row r="805" spans="1:7" x14ac:dyDescent="0.2">
      <c r="A805" s="52" t="s">
        <v>1349</v>
      </c>
      <c r="B805" s="368" t="s">
        <v>68</v>
      </c>
      <c r="C805" s="368" t="s">
        <v>463</v>
      </c>
      <c r="D805" s="368" t="s">
        <v>1545</v>
      </c>
      <c r="E805" s="369" t="s">
        <v>79</v>
      </c>
      <c r="F805" s="370">
        <v>5157500</v>
      </c>
      <c r="G805" s="143" t="str">
        <f t="shared" si="13"/>
        <v>10040120075870410</v>
      </c>
    </row>
    <row r="806" spans="1:7" ht="38.25" x14ac:dyDescent="0.2">
      <c r="A806" s="52" t="s">
        <v>444</v>
      </c>
      <c r="B806" s="368" t="s">
        <v>68</v>
      </c>
      <c r="C806" s="368" t="s">
        <v>463</v>
      </c>
      <c r="D806" s="368" t="s">
        <v>1545</v>
      </c>
      <c r="E806" s="369" t="s">
        <v>445</v>
      </c>
      <c r="F806" s="370">
        <v>5157500</v>
      </c>
      <c r="G806" s="143" t="str">
        <f t="shared" si="13"/>
        <v>10040120075870412</v>
      </c>
    </row>
    <row r="807" spans="1:7" ht="25.5" x14ac:dyDescent="0.2">
      <c r="A807" s="52" t="s">
        <v>271</v>
      </c>
      <c r="B807" s="368" t="s">
        <v>220</v>
      </c>
      <c r="C807" s="368" t="s">
        <v>1314</v>
      </c>
      <c r="D807" s="368" t="s">
        <v>1314</v>
      </c>
      <c r="E807" s="369" t="s">
        <v>1314</v>
      </c>
      <c r="F807" s="370">
        <v>1342611369</v>
      </c>
      <c r="G807" s="143" t="str">
        <f t="shared" si="13"/>
        <v/>
      </c>
    </row>
    <row r="808" spans="1:7" x14ac:dyDescent="0.2">
      <c r="A808" s="52" t="s">
        <v>147</v>
      </c>
      <c r="B808" s="368" t="s">
        <v>220</v>
      </c>
      <c r="C808" s="368" t="s">
        <v>1220</v>
      </c>
      <c r="D808" s="368" t="s">
        <v>1314</v>
      </c>
      <c r="E808" s="369" t="s">
        <v>1314</v>
      </c>
      <c r="F808" s="370">
        <v>1278036469</v>
      </c>
      <c r="G808" s="143" t="str">
        <f t="shared" si="13"/>
        <v>0700</v>
      </c>
    </row>
    <row r="809" spans="1:7" x14ac:dyDescent="0.2">
      <c r="A809" s="52" t="s">
        <v>159</v>
      </c>
      <c r="B809" s="368" t="s">
        <v>220</v>
      </c>
      <c r="C809" s="368" t="s">
        <v>448</v>
      </c>
      <c r="D809" s="368" t="s">
        <v>1314</v>
      </c>
      <c r="E809" s="369" t="s">
        <v>1314</v>
      </c>
      <c r="F809" s="370">
        <v>426827443</v>
      </c>
      <c r="G809" s="143" t="str">
        <f t="shared" ref="G809:G872" si="14">CONCATENATE(C809,D809,E809)</f>
        <v>0701</v>
      </c>
    </row>
    <row r="810" spans="1:7" ht="25.5" x14ac:dyDescent="0.2">
      <c r="A810" s="52" t="s">
        <v>483</v>
      </c>
      <c r="B810" s="368" t="s">
        <v>220</v>
      </c>
      <c r="C810" s="368" t="s">
        <v>448</v>
      </c>
      <c r="D810" s="368" t="s">
        <v>1031</v>
      </c>
      <c r="E810" s="369" t="s">
        <v>1314</v>
      </c>
      <c r="F810" s="370">
        <v>425999058</v>
      </c>
      <c r="G810" s="143" t="str">
        <f t="shared" si="14"/>
        <v>07010100000000</v>
      </c>
    </row>
    <row r="811" spans="1:7" ht="25.5" x14ac:dyDescent="0.2">
      <c r="A811" s="52" t="s">
        <v>484</v>
      </c>
      <c r="B811" s="368" t="s">
        <v>220</v>
      </c>
      <c r="C811" s="368" t="s">
        <v>448</v>
      </c>
      <c r="D811" s="368" t="s">
        <v>1032</v>
      </c>
      <c r="E811" s="369" t="s">
        <v>1314</v>
      </c>
      <c r="F811" s="370">
        <v>425999058</v>
      </c>
      <c r="G811" s="143" t="str">
        <f t="shared" si="14"/>
        <v>07010110000000</v>
      </c>
    </row>
    <row r="812" spans="1:7" ht="102" x14ac:dyDescent="0.2">
      <c r="A812" s="52" t="s">
        <v>450</v>
      </c>
      <c r="B812" s="368" t="s">
        <v>220</v>
      </c>
      <c r="C812" s="368" t="s">
        <v>448</v>
      </c>
      <c r="D812" s="368" t="s">
        <v>799</v>
      </c>
      <c r="E812" s="369" t="s">
        <v>1314</v>
      </c>
      <c r="F812" s="370">
        <v>58423717</v>
      </c>
      <c r="G812" s="143" t="str">
        <f t="shared" si="14"/>
        <v>07010110040010</v>
      </c>
    </row>
    <row r="813" spans="1:7" ht="51" x14ac:dyDescent="0.2">
      <c r="A813" s="52" t="s">
        <v>1501</v>
      </c>
      <c r="B813" s="368" t="s">
        <v>220</v>
      </c>
      <c r="C813" s="368" t="s">
        <v>448</v>
      </c>
      <c r="D813" s="368" t="s">
        <v>799</v>
      </c>
      <c r="E813" s="369" t="s">
        <v>290</v>
      </c>
      <c r="F813" s="370">
        <v>28698517</v>
      </c>
      <c r="G813" s="143" t="str">
        <f t="shared" si="14"/>
        <v>07010110040010100</v>
      </c>
    </row>
    <row r="814" spans="1:7" x14ac:dyDescent="0.2">
      <c r="A814" s="52" t="s">
        <v>1331</v>
      </c>
      <c r="B814" s="368" t="s">
        <v>220</v>
      </c>
      <c r="C814" s="368" t="s">
        <v>448</v>
      </c>
      <c r="D814" s="368" t="s">
        <v>799</v>
      </c>
      <c r="E814" s="369" t="s">
        <v>140</v>
      </c>
      <c r="F814" s="370">
        <v>28698517</v>
      </c>
      <c r="G814" s="143" t="str">
        <f t="shared" si="14"/>
        <v>07010110040010110</v>
      </c>
    </row>
    <row r="815" spans="1:7" x14ac:dyDescent="0.2">
      <c r="A815" s="52" t="s">
        <v>1216</v>
      </c>
      <c r="B815" s="368" t="s">
        <v>220</v>
      </c>
      <c r="C815" s="368" t="s">
        <v>448</v>
      </c>
      <c r="D815" s="368" t="s">
        <v>799</v>
      </c>
      <c r="E815" s="369" t="s">
        <v>382</v>
      </c>
      <c r="F815" s="370">
        <v>22098700</v>
      </c>
      <c r="G815" s="143" t="str">
        <f t="shared" si="14"/>
        <v>07010110040010111</v>
      </c>
    </row>
    <row r="816" spans="1:7" ht="38.25" x14ac:dyDescent="0.2">
      <c r="A816" s="52" t="s">
        <v>1217</v>
      </c>
      <c r="B816" s="368" t="s">
        <v>220</v>
      </c>
      <c r="C816" s="368" t="s">
        <v>448</v>
      </c>
      <c r="D816" s="368" t="s">
        <v>799</v>
      </c>
      <c r="E816" s="369" t="s">
        <v>1117</v>
      </c>
      <c r="F816" s="370">
        <v>6599817</v>
      </c>
      <c r="G816" s="143" t="str">
        <f t="shared" si="14"/>
        <v>07010110040010119</v>
      </c>
    </row>
    <row r="817" spans="1:7" ht="25.5" x14ac:dyDescent="0.2">
      <c r="A817" s="52" t="s">
        <v>1502</v>
      </c>
      <c r="B817" s="368" t="s">
        <v>220</v>
      </c>
      <c r="C817" s="368" t="s">
        <v>448</v>
      </c>
      <c r="D817" s="368" t="s">
        <v>799</v>
      </c>
      <c r="E817" s="369" t="s">
        <v>1503</v>
      </c>
      <c r="F817" s="370">
        <v>29665200</v>
      </c>
      <c r="G817" s="143" t="str">
        <f t="shared" si="14"/>
        <v>07010110040010200</v>
      </c>
    </row>
    <row r="818" spans="1:7" ht="25.5" x14ac:dyDescent="0.2">
      <c r="A818" s="52" t="s">
        <v>1338</v>
      </c>
      <c r="B818" s="368" t="s">
        <v>220</v>
      </c>
      <c r="C818" s="368" t="s">
        <v>448</v>
      </c>
      <c r="D818" s="368" t="s">
        <v>799</v>
      </c>
      <c r="E818" s="369" t="s">
        <v>1339</v>
      </c>
      <c r="F818" s="370">
        <v>29665200</v>
      </c>
      <c r="G818" s="143" t="str">
        <f t="shared" si="14"/>
        <v>07010110040010240</v>
      </c>
    </row>
    <row r="819" spans="1:7" x14ac:dyDescent="0.2">
      <c r="A819" s="52" t="s">
        <v>1379</v>
      </c>
      <c r="B819" s="368" t="s">
        <v>220</v>
      </c>
      <c r="C819" s="368" t="s">
        <v>448</v>
      </c>
      <c r="D819" s="368" t="s">
        <v>799</v>
      </c>
      <c r="E819" s="369" t="s">
        <v>368</v>
      </c>
      <c r="F819" s="370">
        <v>29665200</v>
      </c>
      <c r="G819" s="143" t="str">
        <f t="shared" si="14"/>
        <v>07010110040010244</v>
      </c>
    </row>
    <row r="820" spans="1:7" x14ac:dyDescent="0.2">
      <c r="A820" s="52" t="s">
        <v>1504</v>
      </c>
      <c r="B820" s="368" t="s">
        <v>220</v>
      </c>
      <c r="C820" s="368" t="s">
        <v>448</v>
      </c>
      <c r="D820" s="368" t="s">
        <v>799</v>
      </c>
      <c r="E820" s="369" t="s">
        <v>1505</v>
      </c>
      <c r="F820" s="370">
        <v>60000</v>
      </c>
      <c r="G820" s="143" t="str">
        <f t="shared" si="14"/>
        <v>07010110040010800</v>
      </c>
    </row>
    <row r="821" spans="1:7" x14ac:dyDescent="0.2">
      <c r="A821" s="52" t="s">
        <v>1343</v>
      </c>
      <c r="B821" s="368" t="s">
        <v>220</v>
      </c>
      <c r="C821" s="368" t="s">
        <v>448</v>
      </c>
      <c r="D821" s="368" t="s">
        <v>799</v>
      </c>
      <c r="E821" s="369" t="s">
        <v>1344</v>
      </c>
      <c r="F821" s="370">
        <v>60000</v>
      </c>
      <c r="G821" s="143" t="str">
        <f t="shared" si="14"/>
        <v>07010110040010850</v>
      </c>
    </row>
    <row r="822" spans="1:7" x14ac:dyDescent="0.2">
      <c r="A822" s="52" t="s">
        <v>1118</v>
      </c>
      <c r="B822" s="368" t="s">
        <v>220</v>
      </c>
      <c r="C822" s="368" t="s">
        <v>448</v>
      </c>
      <c r="D822" s="368" t="s">
        <v>799</v>
      </c>
      <c r="E822" s="369" t="s">
        <v>1119</v>
      </c>
      <c r="F822" s="370">
        <v>60000</v>
      </c>
      <c r="G822" s="143" t="str">
        <f t="shared" si="14"/>
        <v>07010110040010853</v>
      </c>
    </row>
    <row r="823" spans="1:7" ht="140.25" x14ac:dyDescent="0.2">
      <c r="A823" s="52" t="s">
        <v>619</v>
      </c>
      <c r="B823" s="368" t="s">
        <v>220</v>
      </c>
      <c r="C823" s="368" t="s">
        <v>448</v>
      </c>
      <c r="D823" s="368" t="s">
        <v>800</v>
      </c>
      <c r="E823" s="369" t="s">
        <v>1314</v>
      </c>
      <c r="F823" s="370">
        <v>43083180</v>
      </c>
      <c r="G823" s="143" t="str">
        <f t="shared" si="14"/>
        <v>07010110041010</v>
      </c>
    </row>
    <row r="824" spans="1:7" ht="51" x14ac:dyDescent="0.2">
      <c r="A824" s="52" t="s">
        <v>1501</v>
      </c>
      <c r="B824" s="368" t="s">
        <v>220</v>
      </c>
      <c r="C824" s="368" t="s">
        <v>448</v>
      </c>
      <c r="D824" s="368" t="s">
        <v>800</v>
      </c>
      <c r="E824" s="369" t="s">
        <v>290</v>
      </c>
      <c r="F824" s="370">
        <v>43083180</v>
      </c>
      <c r="G824" s="143" t="str">
        <f t="shared" si="14"/>
        <v>07010110041010100</v>
      </c>
    </row>
    <row r="825" spans="1:7" x14ac:dyDescent="0.2">
      <c r="A825" s="52" t="s">
        <v>1331</v>
      </c>
      <c r="B825" s="368" t="s">
        <v>220</v>
      </c>
      <c r="C825" s="368" t="s">
        <v>448</v>
      </c>
      <c r="D825" s="368" t="s">
        <v>800</v>
      </c>
      <c r="E825" s="369" t="s">
        <v>140</v>
      </c>
      <c r="F825" s="370">
        <v>43083180</v>
      </c>
      <c r="G825" s="143" t="str">
        <f t="shared" si="14"/>
        <v>07010110041010110</v>
      </c>
    </row>
    <row r="826" spans="1:7" x14ac:dyDescent="0.2">
      <c r="A826" s="52" t="s">
        <v>1216</v>
      </c>
      <c r="B826" s="368" t="s">
        <v>220</v>
      </c>
      <c r="C826" s="368" t="s">
        <v>448</v>
      </c>
      <c r="D826" s="368" t="s">
        <v>800</v>
      </c>
      <c r="E826" s="369" t="s">
        <v>382</v>
      </c>
      <c r="F826" s="370">
        <v>33090000</v>
      </c>
      <c r="G826" s="143" t="str">
        <f t="shared" si="14"/>
        <v>07010110041010111</v>
      </c>
    </row>
    <row r="827" spans="1:7" ht="38.25" x14ac:dyDescent="0.2">
      <c r="A827" s="52" t="s">
        <v>1217</v>
      </c>
      <c r="B827" s="368" t="s">
        <v>220</v>
      </c>
      <c r="C827" s="368" t="s">
        <v>448</v>
      </c>
      <c r="D827" s="368" t="s">
        <v>800</v>
      </c>
      <c r="E827" s="369" t="s">
        <v>1117</v>
      </c>
      <c r="F827" s="370">
        <v>9993180</v>
      </c>
      <c r="G827" s="143" t="str">
        <f t="shared" si="14"/>
        <v>07010110041010119</v>
      </c>
    </row>
    <row r="828" spans="1:7" ht="102" x14ac:dyDescent="0.2">
      <c r="A828" s="52" t="s">
        <v>620</v>
      </c>
      <c r="B828" s="368" t="s">
        <v>220</v>
      </c>
      <c r="C828" s="368" t="s">
        <v>448</v>
      </c>
      <c r="D828" s="368" t="s">
        <v>801</v>
      </c>
      <c r="E828" s="369" t="s">
        <v>1314</v>
      </c>
      <c r="F828" s="370">
        <v>869000</v>
      </c>
      <c r="G828" s="143" t="str">
        <f t="shared" si="14"/>
        <v>07010110047010</v>
      </c>
    </row>
    <row r="829" spans="1:7" ht="51" x14ac:dyDescent="0.2">
      <c r="A829" s="52" t="s">
        <v>1501</v>
      </c>
      <c r="B829" s="368" t="s">
        <v>220</v>
      </c>
      <c r="C829" s="368" t="s">
        <v>448</v>
      </c>
      <c r="D829" s="368" t="s">
        <v>801</v>
      </c>
      <c r="E829" s="369" t="s">
        <v>290</v>
      </c>
      <c r="F829" s="370">
        <v>869000</v>
      </c>
      <c r="G829" s="143" t="str">
        <f t="shared" si="14"/>
        <v>07010110047010100</v>
      </c>
    </row>
    <row r="830" spans="1:7" x14ac:dyDescent="0.2">
      <c r="A830" s="52" t="s">
        <v>1331</v>
      </c>
      <c r="B830" s="368" t="s">
        <v>220</v>
      </c>
      <c r="C830" s="368" t="s">
        <v>448</v>
      </c>
      <c r="D830" s="368" t="s">
        <v>801</v>
      </c>
      <c r="E830" s="369" t="s">
        <v>140</v>
      </c>
      <c r="F830" s="370">
        <v>869000</v>
      </c>
      <c r="G830" s="143" t="str">
        <f t="shared" si="14"/>
        <v>07010110047010110</v>
      </c>
    </row>
    <row r="831" spans="1:7" ht="25.5" x14ac:dyDescent="0.2">
      <c r="A831" s="52" t="s">
        <v>1225</v>
      </c>
      <c r="B831" s="368" t="s">
        <v>220</v>
      </c>
      <c r="C831" s="368" t="s">
        <v>448</v>
      </c>
      <c r="D831" s="368" t="s">
        <v>801</v>
      </c>
      <c r="E831" s="369" t="s">
        <v>431</v>
      </c>
      <c r="F831" s="370">
        <v>869000</v>
      </c>
      <c r="G831" s="143" t="str">
        <f t="shared" si="14"/>
        <v>07010110047010112</v>
      </c>
    </row>
    <row r="832" spans="1:7" ht="102" x14ac:dyDescent="0.2">
      <c r="A832" s="52" t="s">
        <v>621</v>
      </c>
      <c r="B832" s="368" t="s">
        <v>220</v>
      </c>
      <c r="C832" s="368" t="s">
        <v>448</v>
      </c>
      <c r="D832" s="368" t="s">
        <v>802</v>
      </c>
      <c r="E832" s="369" t="s">
        <v>1314</v>
      </c>
      <c r="F832" s="370">
        <v>38244161</v>
      </c>
      <c r="G832" s="143" t="str">
        <f t="shared" si="14"/>
        <v>0701011004Г010</v>
      </c>
    </row>
    <row r="833" spans="1:7" ht="25.5" x14ac:dyDescent="0.2">
      <c r="A833" s="52" t="s">
        <v>1502</v>
      </c>
      <c r="B833" s="368" t="s">
        <v>220</v>
      </c>
      <c r="C833" s="368" t="s">
        <v>448</v>
      </c>
      <c r="D833" s="368" t="s">
        <v>802</v>
      </c>
      <c r="E833" s="369" t="s">
        <v>1503</v>
      </c>
      <c r="F833" s="371">
        <v>38244161</v>
      </c>
      <c r="G833" s="143" t="str">
        <f t="shared" si="14"/>
        <v>0701011004Г010200</v>
      </c>
    </row>
    <row r="834" spans="1:7" ht="25.5" x14ac:dyDescent="0.2">
      <c r="A834" s="52" t="s">
        <v>1338</v>
      </c>
      <c r="B834" s="368" t="s">
        <v>220</v>
      </c>
      <c r="C834" s="368" t="s">
        <v>448</v>
      </c>
      <c r="D834" s="368" t="s">
        <v>802</v>
      </c>
      <c r="E834" s="369" t="s">
        <v>1339</v>
      </c>
      <c r="F834" s="371">
        <v>38244161</v>
      </c>
      <c r="G834" s="143" t="str">
        <f t="shared" si="14"/>
        <v>0701011004Г010240</v>
      </c>
    </row>
    <row r="835" spans="1:7" x14ac:dyDescent="0.2">
      <c r="A835" s="52" t="s">
        <v>2024</v>
      </c>
      <c r="B835" s="368" t="s">
        <v>220</v>
      </c>
      <c r="C835" s="368" t="s">
        <v>448</v>
      </c>
      <c r="D835" s="368" t="s">
        <v>802</v>
      </c>
      <c r="E835" s="369" t="s">
        <v>2025</v>
      </c>
      <c r="F835" s="371">
        <v>38244161</v>
      </c>
      <c r="G835" s="143" t="str">
        <f t="shared" si="14"/>
        <v>0701011004Г010247</v>
      </c>
    </row>
    <row r="836" spans="1:7" ht="89.25" x14ac:dyDescent="0.2">
      <c r="A836" s="52" t="s">
        <v>622</v>
      </c>
      <c r="B836" s="368" t="s">
        <v>220</v>
      </c>
      <c r="C836" s="368" t="s">
        <v>448</v>
      </c>
      <c r="D836" s="368" t="s">
        <v>803</v>
      </c>
      <c r="E836" s="369" t="s">
        <v>1314</v>
      </c>
      <c r="F836" s="371">
        <v>38590000</v>
      </c>
      <c r="G836" s="143" t="str">
        <f t="shared" si="14"/>
        <v>0701011004П010</v>
      </c>
    </row>
    <row r="837" spans="1:7" ht="25.5" x14ac:dyDescent="0.2">
      <c r="A837" s="52" t="s">
        <v>1502</v>
      </c>
      <c r="B837" s="368" t="s">
        <v>220</v>
      </c>
      <c r="C837" s="368" t="s">
        <v>448</v>
      </c>
      <c r="D837" s="368" t="s">
        <v>803</v>
      </c>
      <c r="E837" s="369" t="s">
        <v>1503</v>
      </c>
      <c r="F837" s="371">
        <v>38590000</v>
      </c>
      <c r="G837" s="143" t="str">
        <f t="shared" si="14"/>
        <v>0701011004П010200</v>
      </c>
    </row>
    <row r="838" spans="1:7" ht="25.5" x14ac:dyDescent="0.2">
      <c r="A838" s="52" t="s">
        <v>1338</v>
      </c>
      <c r="B838" s="368" t="s">
        <v>220</v>
      </c>
      <c r="C838" s="368" t="s">
        <v>448</v>
      </c>
      <c r="D838" s="368" t="s">
        <v>803</v>
      </c>
      <c r="E838" s="369" t="s">
        <v>1339</v>
      </c>
      <c r="F838" s="371">
        <v>38590000</v>
      </c>
      <c r="G838" s="143" t="str">
        <f t="shared" si="14"/>
        <v>0701011004П010240</v>
      </c>
    </row>
    <row r="839" spans="1:7" x14ac:dyDescent="0.2">
      <c r="A839" s="52" t="s">
        <v>1379</v>
      </c>
      <c r="B839" s="368" t="s">
        <v>220</v>
      </c>
      <c r="C839" s="368" t="s">
        <v>448</v>
      </c>
      <c r="D839" s="368" t="s">
        <v>803</v>
      </c>
      <c r="E839" s="369" t="s">
        <v>368</v>
      </c>
      <c r="F839" s="371">
        <v>38590000</v>
      </c>
      <c r="G839" s="143" t="str">
        <f t="shared" si="14"/>
        <v>0701011004П010244</v>
      </c>
    </row>
    <row r="840" spans="1:7" ht="89.25" x14ac:dyDescent="0.2">
      <c r="A840" s="52" t="s">
        <v>1022</v>
      </c>
      <c r="B840" s="368" t="s">
        <v>220</v>
      </c>
      <c r="C840" s="368" t="s">
        <v>448</v>
      </c>
      <c r="D840" s="368" t="s">
        <v>1023</v>
      </c>
      <c r="E840" s="369" t="s">
        <v>1314</v>
      </c>
      <c r="F840" s="371">
        <v>10067000</v>
      </c>
      <c r="G840" s="143" t="str">
        <f t="shared" si="14"/>
        <v>0701011004Э010</v>
      </c>
    </row>
    <row r="841" spans="1:7" ht="25.5" x14ac:dyDescent="0.2">
      <c r="A841" s="52" t="s">
        <v>1502</v>
      </c>
      <c r="B841" s="368" t="s">
        <v>220</v>
      </c>
      <c r="C841" s="368" t="s">
        <v>448</v>
      </c>
      <c r="D841" s="368" t="s">
        <v>1023</v>
      </c>
      <c r="E841" s="369" t="s">
        <v>1503</v>
      </c>
      <c r="F841" s="370">
        <v>10067000</v>
      </c>
      <c r="G841" s="143" t="str">
        <f t="shared" si="14"/>
        <v>0701011004Э010200</v>
      </c>
    </row>
    <row r="842" spans="1:7" ht="25.5" x14ac:dyDescent="0.2">
      <c r="A842" s="52" t="s">
        <v>1338</v>
      </c>
      <c r="B842" s="368" t="s">
        <v>220</v>
      </c>
      <c r="C842" s="368" t="s">
        <v>448</v>
      </c>
      <c r="D842" s="368" t="s">
        <v>1023</v>
      </c>
      <c r="E842" s="369" t="s">
        <v>1339</v>
      </c>
      <c r="F842" s="370">
        <v>10067000</v>
      </c>
      <c r="G842" s="143" t="str">
        <f t="shared" si="14"/>
        <v>0701011004Э010240</v>
      </c>
    </row>
    <row r="843" spans="1:7" x14ac:dyDescent="0.2">
      <c r="A843" s="52" t="s">
        <v>2024</v>
      </c>
      <c r="B843" s="368" t="s">
        <v>220</v>
      </c>
      <c r="C843" s="368" t="s">
        <v>448</v>
      </c>
      <c r="D843" s="368" t="s">
        <v>1023</v>
      </c>
      <c r="E843" s="369" t="s">
        <v>2025</v>
      </c>
      <c r="F843" s="370">
        <v>10067000</v>
      </c>
      <c r="G843" s="143" t="str">
        <f t="shared" si="14"/>
        <v>0701011004Э010247</v>
      </c>
    </row>
    <row r="844" spans="1:7" ht="229.5" x14ac:dyDescent="0.2">
      <c r="A844" s="52" t="s">
        <v>1546</v>
      </c>
      <c r="B844" s="368" t="s">
        <v>220</v>
      </c>
      <c r="C844" s="368" t="s">
        <v>448</v>
      </c>
      <c r="D844" s="368" t="s">
        <v>798</v>
      </c>
      <c r="E844" s="369" t="s">
        <v>1314</v>
      </c>
      <c r="F844" s="370">
        <v>90281800</v>
      </c>
      <c r="G844" s="143" t="str">
        <f t="shared" si="14"/>
        <v>07010110074080</v>
      </c>
    </row>
    <row r="845" spans="1:7" ht="51" x14ac:dyDescent="0.2">
      <c r="A845" s="52" t="s">
        <v>1501</v>
      </c>
      <c r="B845" s="368" t="s">
        <v>220</v>
      </c>
      <c r="C845" s="368" t="s">
        <v>448</v>
      </c>
      <c r="D845" s="368" t="s">
        <v>798</v>
      </c>
      <c r="E845" s="369" t="s">
        <v>290</v>
      </c>
      <c r="F845" s="370">
        <v>80930950</v>
      </c>
      <c r="G845" s="143" t="str">
        <f t="shared" si="14"/>
        <v>07010110074080100</v>
      </c>
    </row>
    <row r="846" spans="1:7" x14ac:dyDescent="0.2">
      <c r="A846" s="52" t="s">
        <v>1331</v>
      </c>
      <c r="B846" s="368" t="s">
        <v>220</v>
      </c>
      <c r="C846" s="368" t="s">
        <v>448</v>
      </c>
      <c r="D846" s="368" t="s">
        <v>798</v>
      </c>
      <c r="E846" s="369" t="s">
        <v>140</v>
      </c>
      <c r="F846" s="370">
        <v>80930950</v>
      </c>
      <c r="G846" s="143" t="str">
        <f t="shared" si="14"/>
        <v>07010110074080110</v>
      </c>
    </row>
    <row r="847" spans="1:7" x14ac:dyDescent="0.2">
      <c r="A847" s="52" t="s">
        <v>1216</v>
      </c>
      <c r="B847" s="368" t="s">
        <v>220</v>
      </c>
      <c r="C847" s="368" t="s">
        <v>448</v>
      </c>
      <c r="D847" s="368" t="s">
        <v>798</v>
      </c>
      <c r="E847" s="369" t="s">
        <v>382</v>
      </c>
      <c r="F847" s="370">
        <v>60922850</v>
      </c>
      <c r="G847" s="143" t="str">
        <f t="shared" si="14"/>
        <v>07010110074080111</v>
      </c>
    </row>
    <row r="848" spans="1:7" ht="25.5" x14ac:dyDescent="0.2">
      <c r="A848" s="52" t="s">
        <v>1225</v>
      </c>
      <c r="B848" s="368" t="s">
        <v>220</v>
      </c>
      <c r="C848" s="368" t="s">
        <v>448</v>
      </c>
      <c r="D848" s="368" t="s">
        <v>798</v>
      </c>
      <c r="E848" s="369" t="s">
        <v>431</v>
      </c>
      <c r="F848" s="370">
        <v>1700000</v>
      </c>
      <c r="G848" s="143" t="str">
        <f t="shared" si="14"/>
        <v>07010110074080112</v>
      </c>
    </row>
    <row r="849" spans="1:7" ht="38.25" x14ac:dyDescent="0.2">
      <c r="A849" s="52" t="s">
        <v>1217</v>
      </c>
      <c r="B849" s="368" t="s">
        <v>220</v>
      </c>
      <c r="C849" s="368" t="s">
        <v>448</v>
      </c>
      <c r="D849" s="368" t="s">
        <v>798</v>
      </c>
      <c r="E849" s="369" t="s">
        <v>1117</v>
      </c>
      <c r="F849" s="370">
        <v>18308100</v>
      </c>
      <c r="G849" s="143" t="str">
        <f t="shared" si="14"/>
        <v>07010110074080119</v>
      </c>
    </row>
    <row r="850" spans="1:7" ht="25.5" x14ac:dyDescent="0.2">
      <c r="A850" s="52" t="s">
        <v>1502</v>
      </c>
      <c r="B850" s="368" t="s">
        <v>220</v>
      </c>
      <c r="C850" s="368" t="s">
        <v>448</v>
      </c>
      <c r="D850" s="368" t="s">
        <v>798</v>
      </c>
      <c r="E850" s="369" t="s">
        <v>1503</v>
      </c>
      <c r="F850" s="370">
        <v>9350850</v>
      </c>
      <c r="G850" s="143" t="str">
        <f t="shared" si="14"/>
        <v>07010110074080200</v>
      </c>
    </row>
    <row r="851" spans="1:7" ht="25.5" x14ac:dyDescent="0.2">
      <c r="A851" s="52" t="s">
        <v>1338</v>
      </c>
      <c r="B851" s="368" t="s">
        <v>220</v>
      </c>
      <c r="C851" s="368" t="s">
        <v>448</v>
      </c>
      <c r="D851" s="368" t="s">
        <v>798</v>
      </c>
      <c r="E851" s="369" t="s">
        <v>1339</v>
      </c>
      <c r="F851" s="370">
        <v>9350850</v>
      </c>
      <c r="G851" s="143" t="str">
        <f t="shared" si="14"/>
        <v>07010110074080240</v>
      </c>
    </row>
    <row r="852" spans="1:7" x14ac:dyDescent="0.2">
      <c r="A852" s="52" t="s">
        <v>1379</v>
      </c>
      <c r="B852" s="368" t="s">
        <v>220</v>
      </c>
      <c r="C852" s="368" t="s">
        <v>448</v>
      </c>
      <c r="D852" s="368" t="s">
        <v>798</v>
      </c>
      <c r="E852" s="369" t="s">
        <v>368</v>
      </c>
      <c r="F852" s="370">
        <v>9350850</v>
      </c>
      <c r="G852" s="143" t="str">
        <f t="shared" si="14"/>
        <v>07010110074080244</v>
      </c>
    </row>
    <row r="853" spans="1:7" ht="229.5" x14ac:dyDescent="0.2">
      <c r="A853" s="52" t="s">
        <v>1547</v>
      </c>
      <c r="B853" s="368" t="s">
        <v>220</v>
      </c>
      <c r="C853" s="368" t="s">
        <v>448</v>
      </c>
      <c r="D853" s="368" t="s">
        <v>796</v>
      </c>
      <c r="E853" s="369" t="s">
        <v>1314</v>
      </c>
      <c r="F853" s="370">
        <v>146440200</v>
      </c>
      <c r="G853" s="143" t="str">
        <f t="shared" si="14"/>
        <v>07010110075880</v>
      </c>
    </row>
    <row r="854" spans="1:7" ht="51" x14ac:dyDescent="0.2">
      <c r="A854" s="52" t="s">
        <v>1501</v>
      </c>
      <c r="B854" s="368" t="s">
        <v>220</v>
      </c>
      <c r="C854" s="368" t="s">
        <v>448</v>
      </c>
      <c r="D854" s="368" t="s">
        <v>796</v>
      </c>
      <c r="E854" s="369" t="s">
        <v>290</v>
      </c>
      <c r="F854" s="370">
        <v>122657620</v>
      </c>
      <c r="G854" s="143" t="str">
        <f t="shared" si="14"/>
        <v>07010110075880100</v>
      </c>
    </row>
    <row r="855" spans="1:7" x14ac:dyDescent="0.2">
      <c r="A855" s="52" t="s">
        <v>1331</v>
      </c>
      <c r="B855" s="368" t="s">
        <v>220</v>
      </c>
      <c r="C855" s="368" t="s">
        <v>448</v>
      </c>
      <c r="D855" s="368" t="s">
        <v>796</v>
      </c>
      <c r="E855" s="369" t="s">
        <v>140</v>
      </c>
      <c r="F855" s="370">
        <v>122657620</v>
      </c>
      <c r="G855" s="143" t="str">
        <f t="shared" si="14"/>
        <v>07010110075880110</v>
      </c>
    </row>
    <row r="856" spans="1:7" x14ac:dyDescent="0.2">
      <c r="A856" s="52" t="s">
        <v>1216</v>
      </c>
      <c r="B856" s="368" t="s">
        <v>220</v>
      </c>
      <c r="C856" s="368" t="s">
        <v>448</v>
      </c>
      <c r="D856" s="368" t="s">
        <v>796</v>
      </c>
      <c r="E856" s="369" t="s">
        <v>382</v>
      </c>
      <c r="F856" s="370">
        <v>93070000</v>
      </c>
      <c r="G856" s="143" t="str">
        <f t="shared" si="14"/>
        <v>07010110075880111</v>
      </c>
    </row>
    <row r="857" spans="1:7" ht="25.5" x14ac:dyDescent="0.2">
      <c r="A857" s="52" t="s">
        <v>1225</v>
      </c>
      <c r="B857" s="368" t="s">
        <v>220</v>
      </c>
      <c r="C857" s="368" t="s">
        <v>448</v>
      </c>
      <c r="D857" s="368" t="s">
        <v>796</v>
      </c>
      <c r="E857" s="369" t="s">
        <v>431</v>
      </c>
      <c r="F857" s="370">
        <v>1710000</v>
      </c>
      <c r="G857" s="143" t="str">
        <f t="shared" si="14"/>
        <v>07010110075880112</v>
      </c>
    </row>
    <row r="858" spans="1:7" ht="38.25" x14ac:dyDescent="0.2">
      <c r="A858" s="52" t="s">
        <v>1217</v>
      </c>
      <c r="B858" s="368" t="s">
        <v>220</v>
      </c>
      <c r="C858" s="368" t="s">
        <v>448</v>
      </c>
      <c r="D858" s="368" t="s">
        <v>796</v>
      </c>
      <c r="E858" s="369" t="s">
        <v>1117</v>
      </c>
      <c r="F858" s="370">
        <v>27877620</v>
      </c>
      <c r="G858" s="143" t="str">
        <f t="shared" si="14"/>
        <v>07010110075880119</v>
      </c>
    </row>
    <row r="859" spans="1:7" ht="25.5" x14ac:dyDescent="0.2">
      <c r="A859" s="52" t="s">
        <v>1502</v>
      </c>
      <c r="B859" s="368" t="s">
        <v>220</v>
      </c>
      <c r="C859" s="368" t="s">
        <v>448</v>
      </c>
      <c r="D859" s="368" t="s">
        <v>796</v>
      </c>
      <c r="E859" s="369" t="s">
        <v>1503</v>
      </c>
      <c r="F859" s="370">
        <v>23782580</v>
      </c>
      <c r="G859" s="143" t="str">
        <f t="shared" si="14"/>
        <v>07010110075880200</v>
      </c>
    </row>
    <row r="860" spans="1:7" ht="25.5" x14ac:dyDescent="0.2">
      <c r="A860" s="52" t="s">
        <v>1338</v>
      </c>
      <c r="B860" s="368" t="s">
        <v>220</v>
      </c>
      <c r="C860" s="368" t="s">
        <v>448</v>
      </c>
      <c r="D860" s="368" t="s">
        <v>796</v>
      </c>
      <c r="E860" s="369" t="s">
        <v>1339</v>
      </c>
      <c r="F860" s="370">
        <v>23782580</v>
      </c>
      <c r="G860" s="143" t="str">
        <f t="shared" si="14"/>
        <v>07010110075880240</v>
      </c>
    </row>
    <row r="861" spans="1:7" x14ac:dyDescent="0.2">
      <c r="A861" s="52" t="s">
        <v>1379</v>
      </c>
      <c r="B861" s="368" t="s">
        <v>220</v>
      </c>
      <c r="C861" s="368" t="s">
        <v>448</v>
      </c>
      <c r="D861" s="368" t="s">
        <v>796</v>
      </c>
      <c r="E861" s="369" t="s">
        <v>368</v>
      </c>
      <c r="F861" s="370">
        <v>23782580</v>
      </c>
      <c r="G861" s="143" t="str">
        <f t="shared" si="14"/>
        <v>07010110075880244</v>
      </c>
    </row>
    <row r="862" spans="1:7" ht="38.25" x14ac:dyDescent="0.2">
      <c r="A862" s="52" t="s">
        <v>493</v>
      </c>
      <c r="B862" s="368" t="s">
        <v>220</v>
      </c>
      <c r="C862" s="368" t="s">
        <v>448</v>
      </c>
      <c r="D862" s="368" t="s">
        <v>1034</v>
      </c>
      <c r="E862" s="369" t="s">
        <v>1314</v>
      </c>
      <c r="F862" s="370">
        <v>828385</v>
      </c>
      <c r="G862" s="143" t="str">
        <f t="shared" si="14"/>
        <v>07010300000000</v>
      </c>
    </row>
    <row r="863" spans="1:7" ht="38.25" x14ac:dyDescent="0.2">
      <c r="A863" s="52" t="s">
        <v>495</v>
      </c>
      <c r="B863" s="368" t="s">
        <v>220</v>
      </c>
      <c r="C863" s="368" t="s">
        <v>448</v>
      </c>
      <c r="D863" s="368" t="s">
        <v>1496</v>
      </c>
      <c r="E863" s="369" t="s">
        <v>1314</v>
      </c>
      <c r="F863" s="370">
        <v>828385</v>
      </c>
      <c r="G863" s="143" t="str">
        <f t="shared" si="14"/>
        <v>07010340000000</v>
      </c>
    </row>
    <row r="864" spans="1:7" ht="76.5" x14ac:dyDescent="0.2">
      <c r="A864" s="52" t="s">
        <v>436</v>
      </c>
      <c r="B864" s="368" t="s">
        <v>220</v>
      </c>
      <c r="C864" s="368" t="s">
        <v>448</v>
      </c>
      <c r="D864" s="368" t="s">
        <v>822</v>
      </c>
      <c r="E864" s="369" t="s">
        <v>1314</v>
      </c>
      <c r="F864" s="370">
        <v>828385</v>
      </c>
      <c r="G864" s="143" t="str">
        <f t="shared" si="14"/>
        <v>07010340080000</v>
      </c>
    </row>
    <row r="865" spans="1:7" ht="25.5" x14ac:dyDescent="0.2">
      <c r="A865" s="52" t="s">
        <v>1502</v>
      </c>
      <c r="B865" s="368" t="s">
        <v>220</v>
      </c>
      <c r="C865" s="368" t="s">
        <v>448</v>
      </c>
      <c r="D865" s="368" t="s">
        <v>822</v>
      </c>
      <c r="E865" s="369" t="s">
        <v>1503</v>
      </c>
      <c r="F865" s="370">
        <v>828385</v>
      </c>
      <c r="G865" s="143" t="str">
        <f t="shared" si="14"/>
        <v>07010340080000200</v>
      </c>
    </row>
    <row r="866" spans="1:7" ht="25.5" x14ac:dyDescent="0.2">
      <c r="A866" s="52" t="s">
        <v>1338</v>
      </c>
      <c r="B866" s="368" t="s">
        <v>220</v>
      </c>
      <c r="C866" s="368" t="s">
        <v>448</v>
      </c>
      <c r="D866" s="368" t="s">
        <v>822</v>
      </c>
      <c r="E866" s="369" t="s">
        <v>1339</v>
      </c>
      <c r="F866" s="370">
        <v>828385</v>
      </c>
      <c r="G866" s="143" t="str">
        <f t="shared" si="14"/>
        <v>07010340080000240</v>
      </c>
    </row>
    <row r="867" spans="1:7" x14ac:dyDescent="0.2">
      <c r="A867" s="52" t="s">
        <v>1379</v>
      </c>
      <c r="B867" s="368" t="s">
        <v>220</v>
      </c>
      <c r="C867" s="368" t="s">
        <v>448</v>
      </c>
      <c r="D867" s="368" t="s">
        <v>822</v>
      </c>
      <c r="E867" s="369" t="s">
        <v>368</v>
      </c>
      <c r="F867" s="370">
        <v>828385</v>
      </c>
      <c r="G867" s="143" t="str">
        <f t="shared" si="14"/>
        <v>07010340080000244</v>
      </c>
    </row>
    <row r="868" spans="1:7" x14ac:dyDescent="0.2">
      <c r="A868" s="52" t="s">
        <v>160</v>
      </c>
      <c r="B868" s="368" t="s">
        <v>220</v>
      </c>
      <c r="C868" s="368" t="s">
        <v>435</v>
      </c>
      <c r="D868" s="368" t="s">
        <v>1314</v>
      </c>
      <c r="E868" s="369" t="s">
        <v>1314</v>
      </c>
      <c r="F868" s="370">
        <v>698671463</v>
      </c>
      <c r="G868" s="143" t="str">
        <f t="shared" si="14"/>
        <v>0702</v>
      </c>
    </row>
    <row r="869" spans="1:7" ht="25.5" x14ac:dyDescent="0.2">
      <c r="A869" s="52" t="s">
        <v>483</v>
      </c>
      <c r="B869" s="368" t="s">
        <v>220</v>
      </c>
      <c r="C869" s="368" t="s">
        <v>435</v>
      </c>
      <c r="D869" s="368" t="s">
        <v>1031</v>
      </c>
      <c r="E869" s="369" t="s">
        <v>1314</v>
      </c>
      <c r="F869" s="370">
        <v>696698317</v>
      </c>
      <c r="G869" s="143" t="str">
        <f t="shared" si="14"/>
        <v>07020100000000</v>
      </c>
    </row>
    <row r="870" spans="1:7" ht="25.5" x14ac:dyDescent="0.2">
      <c r="A870" s="52" t="s">
        <v>484</v>
      </c>
      <c r="B870" s="368" t="s">
        <v>220</v>
      </c>
      <c r="C870" s="368" t="s">
        <v>435</v>
      </c>
      <c r="D870" s="368" t="s">
        <v>1032</v>
      </c>
      <c r="E870" s="369" t="s">
        <v>1314</v>
      </c>
      <c r="F870" s="370">
        <v>696698317</v>
      </c>
      <c r="G870" s="143" t="str">
        <f t="shared" si="14"/>
        <v>07020110000000</v>
      </c>
    </row>
    <row r="871" spans="1:7" ht="102" x14ac:dyDescent="0.2">
      <c r="A871" s="52" t="s">
        <v>453</v>
      </c>
      <c r="B871" s="368" t="s">
        <v>220</v>
      </c>
      <c r="C871" s="368" t="s">
        <v>435</v>
      </c>
      <c r="D871" s="368" t="s">
        <v>807</v>
      </c>
      <c r="E871" s="369" t="s">
        <v>1314</v>
      </c>
      <c r="F871" s="370">
        <v>57636838</v>
      </c>
      <c r="G871" s="143" t="str">
        <f t="shared" si="14"/>
        <v>07020110040020</v>
      </c>
    </row>
    <row r="872" spans="1:7" ht="51" x14ac:dyDescent="0.2">
      <c r="A872" s="52" t="s">
        <v>1501</v>
      </c>
      <c r="B872" s="368" t="s">
        <v>220</v>
      </c>
      <c r="C872" s="368" t="s">
        <v>435</v>
      </c>
      <c r="D872" s="368" t="s">
        <v>807</v>
      </c>
      <c r="E872" s="369" t="s">
        <v>290</v>
      </c>
      <c r="F872" s="370">
        <v>45403738</v>
      </c>
      <c r="G872" s="143" t="str">
        <f t="shared" si="14"/>
        <v>07020110040020100</v>
      </c>
    </row>
    <row r="873" spans="1:7" x14ac:dyDescent="0.2">
      <c r="A873" s="52" t="s">
        <v>1331</v>
      </c>
      <c r="B873" s="368" t="s">
        <v>220</v>
      </c>
      <c r="C873" s="368" t="s">
        <v>435</v>
      </c>
      <c r="D873" s="368" t="s">
        <v>807</v>
      </c>
      <c r="E873" s="369" t="s">
        <v>140</v>
      </c>
      <c r="F873" s="370">
        <v>45403738</v>
      </c>
      <c r="G873" s="143" t="str">
        <f t="shared" ref="G873:G936" si="15">CONCATENATE(C873,D873,E873)</f>
        <v>07020110040020110</v>
      </c>
    </row>
    <row r="874" spans="1:7" x14ac:dyDescent="0.2">
      <c r="A874" s="52" t="s">
        <v>1216</v>
      </c>
      <c r="B874" s="368" t="s">
        <v>220</v>
      </c>
      <c r="C874" s="368" t="s">
        <v>435</v>
      </c>
      <c r="D874" s="368" t="s">
        <v>807</v>
      </c>
      <c r="E874" s="369" t="s">
        <v>382</v>
      </c>
      <c r="F874" s="370">
        <v>34979000</v>
      </c>
      <c r="G874" s="143" t="str">
        <f t="shared" si="15"/>
        <v>07020110040020111</v>
      </c>
    </row>
    <row r="875" spans="1:7" ht="38.25" x14ac:dyDescent="0.2">
      <c r="A875" s="52" t="s">
        <v>1217</v>
      </c>
      <c r="B875" s="368" t="s">
        <v>220</v>
      </c>
      <c r="C875" s="368" t="s">
        <v>435</v>
      </c>
      <c r="D875" s="368" t="s">
        <v>807</v>
      </c>
      <c r="E875" s="369" t="s">
        <v>1117</v>
      </c>
      <c r="F875" s="370">
        <v>10424738</v>
      </c>
      <c r="G875" s="143" t="str">
        <f t="shared" si="15"/>
        <v>07020110040020119</v>
      </c>
    </row>
    <row r="876" spans="1:7" ht="25.5" x14ac:dyDescent="0.2">
      <c r="A876" s="52" t="s">
        <v>1502</v>
      </c>
      <c r="B876" s="368" t="s">
        <v>220</v>
      </c>
      <c r="C876" s="368" t="s">
        <v>435</v>
      </c>
      <c r="D876" s="368" t="s">
        <v>807</v>
      </c>
      <c r="E876" s="369" t="s">
        <v>1503</v>
      </c>
      <c r="F876" s="370">
        <v>12183100</v>
      </c>
      <c r="G876" s="143" t="str">
        <f t="shared" si="15"/>
        <v>07020110040020200</v>
      </c>
    </row>
    <row r="877" spans="1:7" ht="25.5" x14ac:dyDescent="0.2">
      <c r="A877" s="52" t="s">
        <v>1338</v>
      </c>
      <c r="B877" s="368" t="s">
        <v>220</v>
      </c>
      <c r="C877" s="368" t="s">
        <v>435</v>
      </c>
      <c r="D877" s="368" t="s">
        <v>807</v>
      </c>
      <c r="E877" s="369" t="s">
        <v>1339</v>
      </c>
      <c r="F877" s="370">
        <v>12183100</v>
      </c>
      <c r="G877" s="143" t="str">
        <f t="shared" si="15"/>
        <v>07020110040020240</v>
      </c>
    </row>
    <row r="878" spans="1:7" x14ac:dyDescent="0.2">
      <c r="A878" s="52" t="s">
        <v>1379</v>
      </c>
      <c r="B878" s="368" t="s">
        <v>220</v>
      </c>
      <c r="C878" s="368" t="s">
        <v>435</v>
      </c>
      <c r="D878" s="368" t="s">
        <v>807</v>
      </c>
      <c r="E878" s="369" t="s">
        <v>368</v>
      </c>
      <c r="F878" s="370">
        <v>12183100</v>
      </c>
      <c r="G878" s="143" t="str">
        <f t="shared" si="15"/>
        <v>07020110040020244</v>
      </c>
    </row>
    <row r="879" spans="1:7" x14ac:dyDescent="0.2">
      <c r="A879" s="52" t="s">
        <v>1504</v>
      </c>
      <c r="B879" s="368" t="s">
        <v>220</v>
      </c>
      <c r="C879" s="368" t="s">
        <v>435</v>
      </c>
      <c r="D879" s="368" t="s">
        <v>807</v>
      </c>
      <c r="E879" s="369" t="s">
        <v>1505</v>
      </c>
      <c r="F879" s="370">
        <v>50000</v>
      </c>
      <c r="G879" s="143" t="str">
        <f t="shared" si="15"/>
        <v>07020110040020800</v>
      </c>
    </row>
    <row r="880" spans="1:7" x14ac:dyDescent="0.2">
      <c r="A880" s="52" t="s">
        <v>1343</v>
      </c>
      <c r="B880" s="368" t="s">
        <v>220</v>
      </c>
      <c r="C880" s="368" t="s">
        <v>435</v>
      </c>
      <c r="D880" s="368" t="s">
        <v>807</v>
      </c>
      <c r="E880" s="369" t="s">
        <v>1344</v>
      </c>
      <c r="F880" s="370">
        <v>50000</v>
      </c>
      <c r="G880" s="143" t="str">
        <f t="shared" si="15"/>
        <v>07020110040020850</v>
      </c>
    </row>
    <row r="881" spans="1:7" x14ac:dyDescent="0.2">
      <c r="A881" s="52" t="s">
        <v>1118</v>
      </c>
      <c r="B881" s="368" t="s">
        <v>220</v>
      </c>
      <c r="C881" s="368" t="s">
        <v>435</v>
      </c>
      <c r="D881" s="368" t="s">
        <v>807</v>
      </c>
      <c r="E881" s="369" t="s">
        <v>1119</v>
      </c>
      <c r="F881" s="370">
        <v>50000</v>
      </c>
      <c r="G881" s="143" t="str">
        <f t="shared" si="15"/>
        <v>07020110040020853</v>
      </c>
    </row>
    <row r="882" spans="1:7" ht="140.25" x14ac:dyDescent="0.2">
      <c r="A882" s="52" t="s">
        <v>455</v>
      </c>
      <c r="B882" s="368" t="s">
        <v>220</v>
      </c>
      <c r="C882" s="368" t="s">
        <v>435</v>
      </c>
      <c r="D882" s="368" t="s">
        <v>808</v>
      </c>
      <c r="E882" s="369" t="s">
        <v>1314</v>
      </c>
      <c r="F882" s="370">
        <v>56398100</v>
      </c>
      <c r="G882" s="143" t="str">
        <f t="shared" si="15"/>
        <v>07020110041020</v>
      </c>
    </row>
    <row r="883" spans="1:7" ht="51" x14ac:dyDescent="0.2">
      <c r="A883" s="52" t="s">
        <v>1501</v>
      </c>
      <c r="B883" s="368" t="s">
        <v>220</v>
      </c>
      <c r="C883" s="368" t="s">
        <v>435</v>
      </c>
      <c r="D883" s="368" t="s">
        <v>808</v>
      </c>
      <c r="E883" s="369" t="s">
        <v>290</v>
      </c>
      <c r="F883" s="370">
        <v>56398100</v>
      </c>
      <c r="G883" s="143" t="str">
        <f t="shared" si="15"/>
        <v>07020110041020100</v>
      </c>
    </row>
    <row r="884" spans="1:7" x14ac:dyDescent="0.2">
      <c r="A884" s="52" t="s">
        <v>1331</v>
      </c>
      <c r="B884" s="368" t="s">
        <v>220</v>
      </c>
      <c r="C884" s="368" t="s">
        <v>435</v>
      </c>
      <c r="D884" s="368" t="s">
        <v>808</v>
      </c>
      <c r="E884" s="369" t="s">
        <v>140</v>
      </c>
      <c r="F884" s="370">
        <v>56398100</v>
      </c>
      <c r="G884" s="143" t="str">
        <f t="shared" si="15"/>
        <v>07020110041020110</v>
      </c>
    </row>
    <row r="885" spans="1:7" x14ac:dyDescent="0.2">
      <c r="A885" s="52" t="s">
        <v>1216</v>
      </c>
      <c r="B885" s="368" t="s">
        <v>220</v>
      </c>
      <c r="C885" s="368" t="s">
        <v>435</v>
      </c>
      <c r="D885" s="368" t="s">
        <v>808</v>
      </c>
      <c r="E885" s="369" t="s">
        <v>382</v>
      </c>
      <c r="F885" s="370">
        <v>43316500</v>
      </c>
      <c r="G885" s="143" t="str">
        <f t="shared" si="15"/>
        <v>07020110041020111</v>
      </c>
    </row>
    <row r="886" spans="1:7" ht="38.25" x14ac:dyDescent="0.2">
      <c r="A886" s="52" t="s">
        <v>1217</v>
      </c>
      <c r="B886" s="368" t="s">
        <v>220</v>
      </c>
      <c r="C886" s="368" t="s">
        <v>435</v>
      </c>
      <c r="D886" s="368" t="s">
        <v>808</v>
      </c>
      <c r="E886" s="369" t="s">
        <v>1117</v>
      </c>
      <c r="F886" s="370">
        <v>13081600</v>
      </c>
      <c r="G886" s="143" t="str">
        <f t="shared" si="15"/>
        <v>07020110041020119</v>
      </c>
    </row>
    <row r="887" spans="1:7" ht="127.5" x14ac:dyDescent="0.2">
      <c r="A887" s="52" t="s">
        <v>572</v>
      </c>
      <c r="B887" s="368" t="s">
        <v>220</v>
      </c>
      <c r="C887" s="368" t="s">
        <v>435</v>
      </c>
      <c r="D887" s="368" t="s">
        <v>814</v>
      </c>
      <c r="E887" s="369" t="s">
        <v>1314</v>
      </c>
      <c r="F887" s="370">
        <v>2608000</v>
      </c>
      <c r="G887" s="143" t="str">
        <f t="shared" si="15"/>
        <v>07020110043020</v>
      </c>
    </row>
    <row r="888" spans="1:7" ht="51" x14ac:dyDescent="0.2">
      <c r="A888" s="52" t="s">
        <v>1501</v>
      </c>
      <c r="B888" s="368" t="s">
        <v>220</v>
      </c>
      <c r="C888" s="368" t="s">
        <v>435</v>
      </c>
      <c r="D888" s="368" t="s">
        <v>814</v>
      </c>
      <c r="E888" s="369" t="s">
        <v>290</v>
      </c>
      <c r="F888" s="370">
        <v>798000</v>
      </c>
      <c r="G888" s="143" t="str">
        <f t="shared" si="15"/>
        <v>07020110043020100</v>
      </c>
    </row>
    <row r="889" spans="1:7" x14ac:dyDescent="0.2">
      <c r="A889" s="52" t="s">
        <v>1331</v>
      </c>
      <c r="B889" s="368" t="s">
        <v>220</v>
      </c>
      <c r="C889" s="368" t="s">
        <v>435</v>
      </c>
      <c r="D889" s="368" t="s">
        <v>814</v>
      </c>
      <c r="E889" s="369" t="s">
        <v>140</v>
      </c>
      <c r="F889" s="370">
        <v>798000</v>
      </c>
      <c r="G889" s="143" t="str">
        <f t="shared" si="15"/>
        <v>07020110043020110</v>
      </c>
    </row>
    <row r="890" spans="1:7" ht="25.5" x14ac:dyDescent="0.2">
      <c r="A890" s="52" t="s">
        <v>1225</v>
      </c>
      <c r="B890" s="368" t="s">
        <v>220</v>
      </c>
      <c r="C890" s="368" t="s">
        <v>435</v>
      </c>
      <c r="D890" s="368" t="s">
        <v>814</v>
      </c>
      <c r="E890" s="369" t="s">
        <v>431</v>
      </c>
      <c r="F890" s="370">
        <v>618000</v>
      </c>
      <c r="G890" s="143" t="str">
        <f t="shared" si="15"/>
        <v>07020110043020112</v>
      </c>
    </row>
    <row r="891" spans="1:7" ht="38.25" x14ac:dyDescent="0.2">
      <c r="A891" s="52" t="s">
        <v>1227</v>
      </c>
      <c r="B891" s="368" t="s">
        <v>220</v>
      </c>
      <c r="C891" s="368" t="s">
        <v>435</v>
      </c>
      <c r="D891" s="368" t="s">
        <v>814</v>
      </c>
      <c r="E891" s="369" t="s">
        <v>1120</v>
      </c>
      <c r="F891" s="370">
        <v>180000</v>
      </c>
      <c r="G891" s="143" t="str">
        <f t="shared" si="15"/>
        <v>07020110043020113</v>
      </c>
    </row>
    <row r="892" spans="1:7" ht="25.5" x14ac:dyDescent="0.2">
      <c r="A892" s="52" t="s">
        <v>1502</v>
      </c>
      <c r="B892" s="368" t="s">
        <v>220</v>
      </c>
      <c r="C892" s="368" t="s">
        <v>435</v>
      </c>
      <c r="D892" s="368" t="s">
        <v>814</v>
      </c>
      <c r="E892" s="369" t="s">
        <v>1503</v>
      </c>
      <c r="F892" s="370">
        <v>1810000</v>
      </c>
      <c r="G892" s="143" t="str">
        <f t="shared" si="15"/>
        <v>07020110043020200</v>
      </c>
    </row>
    <row r="893" spans="1:7" ht="25.5" x14ac:dyDescent="0.2">
      <c r="A893" s="52" t="s">
        <v>1338</v>
      </c>
      <c r="B893" s="368" t="s">
        <v>220</v>
      </c>
      <c r="C893" s="368" t="s">
        <v>435</v>
      </c>
      <c r="D893" s="368" t="s">
        <v>814</v>
      </c>
      <c r="E893" s="369" t="s">
        <v>1339</v>
      </c>
      <c r="F893" s="370">
        <v>1810000</v>
      </c>
      <c r="G893" s="143" t="str">
        <f t="shared" si="15"/>
        <v>07020110043020240</v>
      </c>
    </row>
    <row r="894" spans="1:7" x14ac:dyDescent="0.2">
      <c r="A894" s="52" t="s">
        <v>1379</v>
      </c>
      <c r="B894" s="368" t="s">
        <v>220</v>
      </c>
      <c r="C894" s="368" t="s">
        <v>435</v>
      </c>
      <c r="D894" s="368" t="s">
        <v>814</v>
      </c>
      <c r="E894" s="369" t="s">
        <v>368</v>
      </c>
      <c r="F894" s="370">
        <v>1810000</v>
      </c>
      <c r="G894" s="143" t="str">
        <f t="shared" si="15"/>
        <v>07020110043020244</v>
      </c>
    </row>
    <row r="895" spans="1:7" ht="102" x14ac:dyDescent="0.2">
      <c r="A895" s="52" t="s">
        <v>625</v>
      </c>
      <c r="B895" s="368" t="s">
        <v>220</v>
      </c>
      <c r="C895" s="368" t="s">
        <v>435</v>
      </c>
      <c r="D895" s="368" t="s">
        <v>809</v>
      </c>
      <c r="E895" s="369" t="s">
        <v>1314</v>
      </c>
      <c r="F895" s="370">
        <v>1020000</v>
      </c>
      <c r="G895" s="143" t="str">
        <f t="shared" si="15"/>
        <v>07020110047020</v>
      </c>
    </row>
    <row r="896" spans="1:7" ht="51" x14ac:dyDescent="0.2">
      <c r="A896" s="52" t="s">
        <v>1501</v>
      </c>
      <c r="B896" s="368" t="s">
        <v>220</v>
      </c>
      <c r="C896" s="368" t="s">
        <v>435</v>
      </c>
      <c r="D896" s="368" t="s">
        <v>809</v>
      </c>
      <c r="E896" s="369" t="s">
        <v>290</v>
      </c>
      <c r="F896" s="370">
        <v>1020000</v>
      </c>
      <c r="G896" s="143" t="str">
        <f t="shared" si="15"/>
        <v>07020110047020100</v>
      </c>
    </row>
    <row r="897" spans="1:7" x14ac:dyDescent="0.2">
      <c r="A897" s="52" t="s">
        <v>1331</v>
      </c>
      <c r="B897" s="368" t="s">
        <v>220</v>
      </c>
      <c r="C897" s="368" t="s">
        <v>435</v>
      </c>
      <c r="D897" s="368" t="s">
        <v>809</v>
      </c>
      <c r="E897" s="369" t="s">
        <v>140</v>
      </c>
      <c r="F897" s="370">
        <v>1020000</v>
      </c>
      <c r="G897" s="143" t="str">
        <f t="shared" si="15"/>
        <v>07020110047020110</v>
      </c>
    </row>
    <row r="898" spans="1:7" ht="25.5" x14ac:dyDescent="0.2">
      <c r="A898" s="52" t="s">
        <v>1225</v>
      </c>
      <c r="B898" s="368" t="s">
        <v>220</v>
      </c>
      <c r="C898" s="368" t="s">
        <v>435</v>
      </c>
      <c r="D898" s="368" t="s">
        <v>809</v>
      </c>
      <c r="E898" s="369" t="s">
        <v>431</v>
      </c>
      <c r="F898" s="370">
        <v>1020000</v>
      </c>
      <c r="G898" s="143" t="str">
        <f t="shared" si="15"/>
        <v>07020110047020112</v>
      </c>
    </row>
    <row r="899" spans="1:7" ht="114.75" x14ac:dyDescent="0.2">
      <c r="A899" s="52" t="s">
        <v>627</v>
      </c>
      <c r="B899" s="368" t="s">
        <v>220</v>
      </c>
      <c r="C899" s="368" t="s">
        <v>435</v>
      </c>
      <c r="D899" s="368" t="s">
        <v>810</v>
      </c>
      <c r="E899" s="369" t="s">
        <v>1314</v>
      </c>
      <c r="F899" s="370">
        <v>87977000</v>
      </c>
      <c r="G899" s="143" t="str">
        <f t="shared" si="15"/>
        <v>0702011004Г020</v>
      </c>
    </row>
    <row r="900" spans="1:7" ht="25.5" x14ac:dyDescent="0.2">
      <c r="A900" s="52" t="s">
        <v>1502</v>
      </c>
      <c r="B900" s="368" t="s">
        <v>220</v>
      </c>
      <c r="C900" s="368" t="s">
        <v>435</v>
      </c>
      <c r="D900" s="368" t="s">
        <v>810</v>
      </c>
      <c r="E900" s="369" t="s">
        <v>1503</v>
      </c>
      <c r="F900" s="370">
        <v>87977000</v>
      </c>
      <c r="G900" s="143" t="str">
        <f t="shared" si="15"/>
        <v>0702011004Г020200</v>
      </c>
    </row>
    <row r="901" spans="1:7" ht="25.5" x14ac:dyDescent="0.2">
      <c r="A901" s="52" t="s">
        <v>1338</v>
      </c>
      <c r="B901" s="368" t="s">
        <v>220</v>
      </c>
      <c r="C901" s="368" t="s">
        <v>435</v>
      </c>
      <c r="D901" s="368" t="s">
        <v>810</v>
      </c>
      <c r="E901" s="369" t="s">
        <v>1339</v>
      </c>
      <c r="F901" s="370">
        <v>87977000</v>
      </c>
      <c r="G901" s="143" t="str">
        <f t="shared" si="15"/>
        <v>0702011004Г020240</v>
      </c>
    </row>
    <row r="902" spans="1:7" x14ac:dyDescent="0.2">
      <c r="A902" s="52" t="s">
        <v>2024</v>
      </c>
      <c r="B902" s="368" t="s">
        <v>220</v>
      </c>
      <c r="C902" s="368" t="s">
        <v>435</v>
      </c>
      <c r="D902" s="368" t="s">
        <v>810</v>
      </c>
      <c r="E902" s="369" t="s">
        <v>2025</v>
      </c>
      <c r="F902" s="370">
        <v>87977000</v>
      </c>
      <c r="G902" s="143" t="str">
        <f t="shared" si="15"/>
        <v>0702011004Г020247</v>
      </c>
    </row>
    <row r="903" spans="1:7" ht="102" x14ac:dyDescent="0.2">
      <c r="A903" s="52" t="s">
        <v>629</v>
      </c>
      <c r="B903" s="368" t="s">
        <v>220</v>
      </c>
      <c r="C903" s="368" t="s">
        <v>435</v>
      </c>
      <c r="D903" s="368" t="s">
        <v>815</v>
      </c>
      <c r="E903" s="369" t="s">
        <v>1314</v>
      </c>
      <c r="F903" s="370">
        <v>5400000</v>
      </c>
      <c r="G903" s="143" t="str">
        <f t="shared" si="15"/>
        <v>0702011004П020</v>
      </c>
    </row>
    <row r="904" spans="1:7" ht="25.5" x14ac:dyDescent="0.2">
      <c r="A904" s="52" t="s">
        <v>1502</v>
      </c>
      <c r="B904" s="368" t="s">
        <v>220</v>
      </c>
      <c r="C904" s="368" t="s">
        <v>435</v>
      </c>
      <c r="D904" s="368" t="s">
        <v>815</v>
      </c>
      <c r="E904" s="369" t="s">
        <v>1503</v>
      </c>
      <c r="F904" s="370">
        <v>5400000</v>
      </c>
      <c r="G904" s="143" t="str">
        <f t="shared" si="15"/>
        <v>0702011004П020200</v>
      </c>
    </row>
    <row r="905" spans="1:7" ht="25.5" x14ac:dyDescent="0.2">
      <c r="A905" s="52" t="s">
        <v>1338</v>
      </c>
      <c r="B905" s="368" t="s">
        <v>220</v>
      </c>
      <c r="C905" s="368" t="s">
        <v>435</v>
      </c>
      <c r="D905" s="368" t="s">
        <v>815</v>
      </c>
      <c r="E905" s="369" t="s">
        <v>1339</v>
      </c>
      <c r="F905" s="370">
        <v>5400000</v>
      </c>
      <c r="G905" s="143" t="str">
        <f t="shared" si="15"/>
        <v>0702011004П020240</v>
      </c>
    </row>
    <row r="906" spans="1:7" x14ac:dyDescent="0.2">
      <c r="A906" s="52" t="s">
        <v>1379</v>
      </c>
      <c r="B906" s="368" t="s">
        <v>220</v>
      </c>
      <c r="C906" s="368" t="s">
        <v>435</v>
      </c>
      <c r="D906" s="368" t="s">
        <v>815</v>
      </c>
      <c r="E906" s="369" t="s">
        <v>368</v>
      </c>
      <c r="F906" s="370">
        <v>5400000</v>
      </c>
      <c r="G906" s="143" t="str">
        <f t="shared" si="15"/>
        <v>0702011004П020244</v>
      </c>
    </row>
    <row r="907" spans="1:7" ht="102" x14ac:dyDescent="0.2">
      <c r="A907" s="52" t="s">
        <v>1024</v>
      </c>
      <c r="B907" s="368" t="s">
        <v>220</v>
      </c>
      <c r="C907" s="368" t="s">
        <v>435</v>
      </c>
      <c r="D907" s="368" t="s">
        <v>1025</v>
      </c>
      <c r="E907" s="369" t="s">
        <v>1314</v>
      </c>
      <c r="F907" s="370">
        <v>10340000</v>
      </c>
      <c r="G907" s="143" t="str">
        <f t="shared" si="15"/>
        <v>0702011004Э020</v>
      </c>
    </row>
    <row r="908" spans="1:7" ht="25.5" x14ac:dyDescent="0.2">
      <c r="A908" s="52" t="s">
        <v>1502</v>
      </c>
      <c r="B908" s="368" t="s">
        <v>220</v>
      </c>
      <c r="C908" s="368" t="s">
        <v>435</v>
      </c>
      <c r="D908" s="368" t="s">
        <v>1025</v>
      </c>
      <c r="E908" s="369" t="s">
        <v>1503</v>
      </c>
      <c r="F908" s="370">
        <v>10340000</v>
      </c>
      <c r="G908" s="143" t="str">
        <f t="shared" si="15"/>
        <v>0702011004Э020200</v>
      </c>
    </row>
    <row r="909" spans="1:7" ht="25.5" x14ac:dyDescent="0.2">
      <c r="A909" s="52" t="s">
        <v>1338</v>
      </c>
      <c r="B909" s="368" t="s">
        <v>220</v>
      </c>
      <c r="C909" s="368" t="s">
        <v>435</v>
      </c>
      <c r="D909" s="368" t="s">
        <v>1025</v>
      </c>
      <c r="E909" s="369" t="s">
        <v>1339</v>
      </c>
      <c r="F909" s="370">
        <v>10340000</v>
      </c>
      <c r="G909" s="143" t="str">
        <f t="shared" si="15"/>
        <v>0702011004Э020240</v>
      </c>
    </row>
    <row r="910" spans="1:7" x14ac:dyDescent="0.2">
      <c r="A910" s="52" t="s">
        <v>2024</v>
      </c>
      <c r="B910" s="368" t="s">
        <v>220</v>
      </c>
      <c r="C910" s="368" t="s">
        <v>435</v>
      </c>
      <c r="D910" s="368" t="s">
        <v>1025</v>
      </c>
      <c r="E910" s="369" t="s">
        <v>2025</v>
      </c>
      <c r="F910" s="370">
        <v>10340000</v>
      </c>
      <c r="G910" s="143" t="str">
        <f t="shared" si="15"/>
        <v>0702011004Э020247</v>
      </c>
    </row>
    <row r="911" spans="1:7" ht="229.5" x14ac:dyDescent="0.2">
      <c r="A911" s="52" t="s">
        <v>1548</v>
      </c>
      <c r="B911" s="368" t="s">
        <v>220</v>
      </c>
      <c r="C911" s="368" t="s">
        <v>435</v>
      </c>
      <c r="D911" s="368" t="s">
        <v>806</v>
      </c>
      <c r="E911" s="369" t="s">
        <v>1314</v>
      </c>
      <c r="F911" s="370">
        <v>91381800</v>
      </c>
      <c r="G911" s="143" t="str">
        <f t="shared" si="15"/>
        <v>07020110074090</v>
      </c>
    </row>
    <row r="912" spans="1:7" ht="51" x14ac:dyDescent="0.2">
      <c r="A912" s="52" t="s">
        <v>1501</v>
      </c>
      <c r="B912" s="368" t="s">
        <v>220</v>
      </c>
      <c r="C912" s="368" t="s">
        <v>435</v>
      </c>
      <c r="D912" s="368" t="s">
        <v>806</v>
      </c>
      <c r="E912" s="369" t="s">
        <v>290</v>
      </c>
      <c r="F912" s="370">
        <v>81585176</v>
      </c>
      <c r="G912" s="143" t="str">
        <f t="shared" si="15"/>
        <v>07020110074090100</v>
      </c>
    </row>
    <row r="913" spans="1:7" x14ac:dyDescent="0.2">
      <c r="A913" s="52" t="s">
        <v>1331</v>
      </c>
      <c r="B913" s="368" t="s">
        <v>220</v>
      </c>
      <c r="C913" s="368" t="s">
        <v>435</v>
      </c>
      <c r="D913" s="368" t="s">
        <v>806</v>
      </c>
      <c r="E913" s="369" t="s">
        <v>140</v>
      </c>
      <c r="F913" s="370">
        <v>81585176</v>
      </c>
      <c r="G913" s="143" t="str">
        <f t="shared" si="15"/>
        <v>07020110074090110</v>
      </c>
    </row>
    <row r="914" spans="1:7" x14ac:dyDescent="0.2">
      <c r="A914" s="52" t="s">
        <v>1216</v>
      </c>
      <c r="B914" s="368" t="s">
        <v>220</v>
      </c>
      <c r="C914" s="368" t="s">
        <v>435</v>
      </c>
      <c r="D914" s="368" t="s">
        <v>806</v>
      </c>
      <c r="E914" s="369" t="s">
        <v>382</v>
      </c>
      <c r="F914" s="370">
        <v>60848000</v>
      </c>
      <c r="G914" s="143" t="str">
        <f t="shared" si="15"/>
        <v>07020110074090111</v>
      </c>
    </row>
    <row r="915" spans="1:7" ht="25.5" x14ac:dyDescent="0.2">
      <c r="A915" s="52" t="s">
        <v>1225</v>
      </c>
      <c r="B915" s="368" t="s">
        <v>220</v>
      </c>
      <c r="C915" s="368" t="s">
        <v>435</v>
      </c>
      <c r="D915" s="368" t="s">
        <v>806</v>
      </c>
      <c r="E915" s="369" t="s">
        <v>431</v>
      </c>
      <c r="F915" s="370">
        <v>2651000</v>
      </c>
      <c r="G915" s="143" t="str">
        <f t="shared" si="15"/>
        <v>07020110074090112</v>
      </c>
    </row>
    <row r="916" spans="1:7" ht="38.25" x14ac:dyDescent="0.2">
      <c r="A916" s="52" t="s">
        <v>1217</v>
      </c>
      <c r="B916" s="368" t="s">
        <v>220</v>
      </c>
      <c r="C916" s="368" t="s">
        <v>435</v>
      </c>
      <c r="D916" s="368" t="s">
        <v>806</v>
      </c>
      <c r="E916" s="369" t="s">
        <v>1117</v>
      </c>
      <c r="F916" s="370">
        <v>18086176</v>
      </c>
      <c r="G916" s="143" t="str">
        <f t="shared" si="15"/>
        <v>07020110074090119</v>
      </c>
    </row>
    <row r="917" spans="1:7" ht="25.5" x14ac:dyDescent="0.2">
      <c r="A917" s="52" t="s">
        <v>1502</v>
      </c>
      <c r="B917" s="368" t="s">
        <v>220</v>
      </c>
      <c r="C917" s="368" t="s">
        <v>435</v>
      </c>
      <c r="D917" s="368" t="s">
        <v>806</v>
      </c>
      <c r="E917" s="369" t="s">
        <v>1503</v>
      </c>
      <c r="F917" s="370">
        <v>9796624</v>
      </c>
      <c r="G917" s="143" t="str">
        <f t="shared" si="15"/>
        <v>07020110074090200</v>
      </c>
    </row>
    <row r="918" spans="1:7" ht="25.5" x14ac:dyDescent="0.2">
      <c r="A918" s="52" t="s">
        <v>1338</v>
      </c>
      <c r="B918" s="368" t="s">
        <v>220</v>
      </c>
      <c r="C918" s="368" t="s">
        <v>435</v>
      </c>
      <c r="D918" s="368" t="s">
        <v>806</v>
      </c>
      <c r="E918" s="369" t="s">
        <v>1339</v>
      </c>
      <c r="F918" s="370">
        <v>9796624</v>
      </c>
      <c r="G918" s="143" t="str">
        <f t="shared" si="15"/>
        <v>07020110074090240</v>
      </c>
    </row>
    <row r="919" spans="1:7" x14ac:dyDescent="0.2">
      <c r="A919" s="52" t="s">
        <v>1379</v>
      </c>
      <c r="B919" s="368" t="s">
        <v>220</v>
      </c>
      <c r="C919" s="368" t="s">
        <v>435</v>
      </c>
      <c r="D919" s="368" t="s">
        <v>806</v>
      </c>
      <c r="E919" s="369" t="s">
        <v>368</v>
      </c>
      <c r="F919" s="370">
        <v>9796624</v>
      </c>
      <c r="G919" s="143" t="str">
        <f t="shared" si="15"/>
        <v>07020110074090244</v>
      </c>
    </row>
    <row r="920" spans="1:7" ht="229.5" x14ac:dyDescent="0.2">
      <c r="A920" s="52" t="s">
        <v>1549</v>
      </c>
      <c r="B920" s="368" t="s">
        <v>220</v>
      </c>
      <c r="C920" s="368" t="s">
        <v>435</v>
      </c>
      <c r="D920" s="368" t="s">
        <v>804</v>
      </c>
      <c r="E920" s="369" t="s">
        <v>1314</v>
      </c>
      <c r="F920" s="370">
        <v>367132179</v>
      </c>
      <c r="G920" s="143" t="str">
        <f t="shared" si="15"/>
        <v>07020110075640</v>
      </c>
    </row>
    <row r="921" spans="1:7" ht="51" x14ac:dyDescent="0.2">
      <c r="A921" s="52" t="s">
        <v>1501</v>
      </c>
      <c r="B921" s="368" t="s">
        <v>220</v>
      </c>
      <c r="C921" s="368" t="s">
        <v>435</v>
      </c>
      <c r="D921" s="368" t="s">
        <v>804</v>
      </c>
      <c r="E921" s="369" t="s">
        <v>290</v>
      </c>
      <c r="F921" s="370">
        <v>333355065</v>
      </c>
      <c r="G921" s="143" t="str">
        <f t="shared" si="15"/>
        <v>07020110075640100</v>
      </c>
    </row>
    <row r="922" spans="1:7" x14ac:dyDescent="0.2">
      <c r="A922" s="52" t="s">
        <v>1331</v>
      </c>
      <c r="B922" s="368" t="s">
        <v>220</v>
      </c>
      <c r="C922" s="368" t="s">
        <v>435</v>
      </c>
      <c r="D922" s="368" t="s">
        <v>804</v>
      </c>
      <c r="E922" s="369" t="s">
        <v>140</v>
      </c>
      <c r="F922" s="370">
        <v>333355065</v>
      </c>
      <c r="G922" s="143" t="str">
        <f t="shared" si="15"/>
        <v>07020110075640110</v>
      </c>
    </row>
    <row r="923" spans="1:7" x14ac:dyDescent="0.2">
      <c r="A923" s="52" t="s">
        <v>1216</v>
      </c>
      <c r="B923" s="368" t="s">
        <v>220</v>
      </c>
      <c r="C923" s="368" t="s">
        <v>435</v>
      </c>
      <c r="D923" s="368" t="s">
        <v>804</v>
      </c>
      <c r="E923" s="369" t="s">
        <v>382</v>
      </c>
      <c r="F923" s="370">
        <v>253978470</v>
      </c>
      <c r="G923" s="143" t="str">
        <f t="shared" si="15"/>
        <v>07020110075640111</v>
      </c>
    </row>
    <row r="924" spans="1:7" ht="25.5" x14ac:dyDescent="0.2">
      <c r="A924" s="52" t="s">
        <v>1225</v>
      </c>
      <c r="B924" s="368" t="s">
        <v>220</v>
      </c>
      <c r="C924" s="368" t="s">
        <v>435</v>
      </c>
      <c r="D924" s="368" t="s">
        <v>804</v>
      </c>
      <c r="E924" s="369" t="s">
        <v>431</v>
      </c>
      <c r="F924" s="370">
        <v>2988715</v>
      </c>
      <c r="G924" s="143" t="str">
        <f t="shared" si="15"/>
        <v>07020110075640112</v>
      </c>
    </row>
    <row r="925" spans="1:7" ht="38.25" x14ac:dyDescent="0.2">
      <c r="A925" s="52" t="s">
        <v>1217</v>
      </c>
      <c r="B925" s="368" t="s">
        <v>220</v>
      </c>
      <c r="C925" s="368" t="s">
        <v>435</v>
      </c>
      <c r="D925" s="368" t="s">
        <v>804</v>
      </c>
      <c r="E925" s="369" t="s">
        <v>1117</v>
      </c>
      <c r="F925" s="370">
        <v>76387880</v>
      </c>
      <c r="G925" s="143" t="str">
        <f t="shared" si="15"/>
        <v>07020110075640119</v>
      </c>
    </row>
    <row r="926" spans="1:7" ht="25.5" x14ac:dyDescent="0.2">
      <c r="A926" s="52" t="s">
        <v>1502</v>
      </c>
      <c r="B926" s="368" t="s">
        <v>220</v>
      </c>
      <c r="C926" s="368" t="s">
        <v>435</v>
      </c>
      <c r="D926" s="368" t="s">
        <v>804</v>
      </c>
      <c r="E926" s="369" t="s">
        <v>1503</v>
      </c>
      <c r="F926" s="370">
        <v>33777114</v>
      </c>
      <c r="G926" s="143" t="str">
        <f t="shared" si="15"/>
        <v>07020110075640200</v>
      </c>
    </row>
    <row r="927" spans="1:7" ht="25.5" x14ac:dyDescent="0.2">
      <c r="A927" s="52" t="s">
        <v>1338</v>
      </c>
      <c r="B927" s="368" t="s">
        <v>220</v>
      </c>
      <c r="C927" s="368" t="s">
        <v>435</v>
      </c>
      <c r="D927" s="368" t="s">
        <v>804</v>
      </c>
      <c r="E927" s="369" t="s">
        <v>1339</v>
      </c>
      <c r="F927" s="370">
        <v>33777114</v>
      </c>
      <c r="G927" s="143" t="str">
        <f t="shared" si="15"/>
        <v>07020110075640240</v>
      </c>
    </row>
    <row r="928" spans="1:7" x14ac:dyDescent="0.2">
      <c r="A928" s="52" t="s">
        <v>1379</v>
      </c>
      <c r="B928" s="368" t="s">
        <v>220</v>
      </c>
      <c r="C928" s="368" t="s">
        <v>435</v>
      </c>
      <c r="D928" s="368" t="s">
        <v>804</v>
      </c>
      <c r="E928" s="369" t="s">
        <v>368</v>
      </c>
      <c r="F928" s="370">
        <v>33777114</v>
      </c>
      <c r="G928" s="143" t="str">
        <f t="shared" si="15"/>
        <v>07020110075640244</v>
      </c>
    </row>
    <row r="929" spans="1:7" ht="63.75" x14ac:dyDescent="0.2">
      <c r="A929" s="52" t="s">
        <v>451</v>
      </c>
      <c r="B929" s="368" t="s">
        <v>220</v>
      </c>
      <c r="C929" s="368" t="s">
        <v>435</v>
      </c>
      <c r="D929" s="368" t="s">
        <v>818</v>
      </c>
      <c r="E929" s="369" t="s">
        <v>1314</v>
      </c>
      <c r="F929" s="370">
        <v>905000</v>
      </c>
      <c r="G929" s="143" t="str">
        <f t="shared" si="15"/>
        <v>07020110080020</v>
      </c>
    </row>
    <row r="930" spans="1:7" ht="25.5" x14ac:dyDescent="0.2">
      <c r="A930" s="52" t="s">
        <v>1502</v>
      </c>
      <c r="B930" s="368" t="s">
        <v>220</v>
      </c>
      <c r="C930" s="368" t="s">
        <v>435</v>
      </c>
      <c r="D930" s="368" t="s">
        <v>818</v>
      </c>
      <c r="E930" s="369" t="s">
        <v>1503</v>
      </c>
      <c r="F930" s="370">
        <v>800000</v>
      </c>
      <c r="G930" s="143" t="str">
        <f t="shared" si="15"/>
        <v>07020110080020200</v>
      </c>
    </row>
    <row r="931" spans="1:7" ht="25.5" x14ac:dyDescent="0.2">
      <c r="A931" s="52" t="s">
        <v>1338</v>
      </c>
      <c r="B931" s="368" t="s">
        <v>220</v>
      </c>
      <c r="C931" s="368" t="s">
        <v>435</v>
      </c>
      <c r="D931" s="368" t="s">
        <v>818</v>
      </c>
      <c r="E931" s="369" t="s">
        <v>1339</v>
      </c>
      <c r="F931" s="370">
        <v>800000</v>
      </c>
      <c r="G931" s="143" t="str">
        <f t="shared" si="15"/>
        <v>07020110080020240</v>
      </c>
    </row>
    <row r="932" spans="1:7" x14ac:dyDescent="0.2">
      <c r="A932" s="52" t="s">
        <v>1379</v>
      </c>
      <c r="B932" s="368" t="s">
        <v>220</v>
      </c>
      <c r="C932" s="368" t="s">
        <v>435</v>
      </c>
      <c r="D932" s="368" t="s">
        <v>818</v>
      </c>
      <c r="E932" s="369" t="s">
        <v>368</v>
      </c>
      <c r="F932" s="370">
        <v>800000</v>
      </c>
      <c r="G932" s="143" t="str">
        <f t="shared" si="15"/>
        <v>07020110080020244</v>
      </c>
    </row>
    <row r="933" spans="1:7" x14ac:dyDescent="0.2">
      <c r="A933" s="52" t="s">
        <v>1506</v>
      </c>
      <c r="B933" s="368" t="s">
        <v>220</v>
      </c>
      <c r="C933" s="368" t="s">
        <v>435</v>
      </c>
      <c r="D933" s="368" t="s">
        <v>818</v>
      </c>
      <c r="E933" s="369" t="s">
        <v>1507</v>
      </c>
      <c r="F933" s="370">
        <v>105000</v>
      </c>
      <c r="G933" s="143" t="str">
        <f t="shared" si="15"/>
        <v>07020110080020300</v>
      </c>
    </row>
    <row r="934" spans="1:7" x14ac:dyDescent="0.2">
      <c r="A934" s="52" t="s">
        <v>573</v>
      </c>
      <c r="B934" s="368" t="s">
        <v>220</v>
      </c>
      <c r="C934" s="368" t="s">
        <v>435</v>
      </c>
      <c r="D934" s="368" t="s">
        <v>818</v>
      </c>
      <c r="E934" s="369" t="s">
        <v>574</v>
      </c>
      <c r="F934" s="370">
        <v>105000</v>
      </c>
      <c r="G934" s="143" t="str">
        <f t="shared" si="15"/>
        <v>07020110080020360</v>
      </c>
    </row>
    <row r="935" spans="1:7" ht="51" x14ac:dyDescent="0.2">
      <c r="A935" s="52" t="s">
        <v>575</v>
      </c>
      <c r="B935" s="368" t="s">
        <v>220</v>
      </c>
      <c r="C935" s="368" t="s">
        <v>435</v>
      </c>
      <c r="D935" s="368" t="s">
        <v>821</v>
      </c>
      <c r="E935" s="369" t="s">
        <v>1314</v>
      </c>
      <c r="F935" s="370">
        <v>187200</v>
      </c>
      <c r="G935" s="143" t="str">
        <f t="shared" si="15"/>
        <v>07020110080040</v>
      </c>
    </row>
    <row r="936" spans="1:7" x14ac:dyDescent="0.2">
      <c r="A936" s="52" t="s">
        <v>1506</v>
      </c>
      <c r="B936" s="368" t="s">
        <v>220</v>
      </c>
      <c r="C936" s="368" t="s">
        <v>435</v>
      </c>
      <c r="D936" s="368" t="s">
        <v>821</v>
      </c>
      <c r="E936" s="369" t="s">
        <v>1507</v>
      </c>
      <c r="F936" s="370">
        <v>187200</v>
      </c>
      <c r="G936" s="143" t="str">
        <f t="shared" si="15"/>
        <v>07020110080040300</v>
      </c>
    </row>
    <row r="937" spans="1:7" x14ac:dyDescent="0.2">
      <c r="A937" s="52" t="s">
        <v>573</v>
      </c>
      <c r="B937" s="368" t="s">
        <v>220</v>
      </c>
      <c r="C937" s="368" t="s">
        <v>435</v>
      </c>
      <c r="D937" s="368" t="s">
        <v>821</v>
      </c>
      <c r="E937" s="369" t="s">
        <v>574</v>
      </c>
      <c r="F937" s="370">
        <v>187200</v>
      </c>
      <c r="G937" s="143" t="str">
        <f t="shared" ref="G937:G1000" si="16">CONCATENATE(C937,D937,E937)</f>
        <v>07020110080040360</v>
      </c>
    </row>
    <row r="938" spans="1:7" ht="51" x14ac:dyDescent="0.2">
      <c r="A938" s="52" t="s">
        <v>631</v>
      </c>
      <c r="B938" s="368" t="s">
        <v>220</v>
      </c>
      <c r="C938" s="368" t="s">
        <v>435</v>
      </c>
      <c r="D938" s="368" t="s">
        <v>820</v>
      </c>
      <c r="E938" s="369" t="s">
        <v>1314</v>
      </c>
      <c r="F938" s="370">
        <v>40000</v>
      </c>
      <c r="G938" s="143" t="str">
        <f t="shared" si="16"/>
        <v>0702011008П020</v>
      </c>
    </row>
    <row r="939" spans="1:7" ht="25.5" x14ac:dyDescent="0.2">
      <c r="A939" s="52" t="s">
        <v>1502</v>
      </c>
      <c r="B939" s="368" t="s">
        <v>220</v>
      </c>
      <c r="C939" s="368" t="s">
        <v>435</v>
      </c>
      <c r="D939" s="368" t="s">
        <v>820</v>
      </c>
      <c r="E939" s="369" t="s">
        <v>1503</v>
      </c>
      <c r="F939" s="370">
        <v>40000</v>
      </c>
      <c r="G939" s="143" t="str">
        <f t="shared" si="16"/>
        <v>0702011008П020200</v>
      </c>
    </row>
    <row r="940" spans="1:7" ht="25.5" x14ac:dyDescent="0.2">
      <c r="A940" s="52" t="s">
        <v>1338</v>
      </c>
      <c r="B940" s="368" t="s">
        <v>220</v>
      </c>
      <c r="C940" s="368" t="s">
        <v>435</v>
      </c>
      <c r="D940" s="368" t="s">
        <v>820</v>
      </c>
      <c r="E940" s="369" t="s">
        <v>1339</v>
      </c>
      <c r="F940" s="370">
        <v>40000</v>
      </c>
      <c r="G940" s="143" t="str">
        <f t="shared" si="16"/>
        <v>0702011008П020240</v>
      </c>
    </row>
    <row r="941" spans="1:7" x14ac:dyDescent="0.2">
      <c r="A941" s="52" t="s">
        <v>1379</v>
      </c>
      <c r="B941" s="368" t="s">
        <v>220</v>
      </c>
      <c r="C941" s="368" t="s">
        <v>435</v>
      </c>
      <c r="D941" s="368" t="s">
        <v>820</v>
      </c>
      <c r="E941" s="369" t="s">
        <v>368</v>
      </c>
      <c r="F941" s="370">
        <v>40000</v>
      </c>
      <c r="G941" s="143" t="str">
        <f t="shared" si="16"/>
        <v>0702011008П020244</v>
      </c>
    </row>
    <row r="942" spans="1:7" ht="76.5" x14ac:dyDescent="0.2">
      <c r="A942" s="52" t="s">
        <v>1685</v>
      </c>
      <c r="B942" s="368" t="s">
        <v>220</v>
      </c>
      <c r="C942" s="368" t="s">
        <v>435</v>
      </c>
      <c r="D942" s="368" t="s">
        <v>1550</v>
      </c>
      <c r="E942" s="369" t="s">
        <v>1314</v>
      </c>
      <c r="F942" s="370">
        <v>7430500</v>
      </c>
      <c r="G942" s="143" t="str">
        <f t="shared" si="16"/>
        <v>070201100S5630</v>
      </c>
    </row>
    <row r="943" spans="1:7" ht="25.5" x14ac:dyDescent="0.2">
      <c r="A943" s="52" t="s">
        <v>1502</v>
      </c>
      <c r="B943" s="368" t="s">
        <v>220</v>
      </c>
      <c r="C943" s="368" t="s">
        <v>435</v>
      </c>
      <c r="D943" s="368" t="s">
        <v>1550</v>
      </c>
      <c r="E943" s="369" t="s">
        <v>1503</v>
      </c>
      <c r="F943" s="370">
        <v>7430500</v>
      </c>
      <c r="G943" s="143" t="str">
        <f t="shared" si="16"/>
        <v>070201100S5630200</v>
      </c>
    </row>
    <row r="944" spans="1:7" ht="25.5" x14ac:dyDescent="0.2">
      <c r="A944" s="52" t="s">
        <v>1338</v>
      </c>
      <c r="B944" s="368" t="s">
        <v>220</v>
      </c>
      <c r="C944" s="368" t="s">
        <v>435</v>
      </c>
      <c r="D944" s="368" t="s">
        <v>1550</v>
      </c>
      <c r="E944" s="369" t="s">
        <v>1339</v>
      </c>
      <c r="F944" s="370">
        <v>7430500</v>
      </c>
      <c r="G944" s="143" t="str">
        <f t="shared" si="16"/>
        <v>070201100S5630240</v>
      </c>
    </row>
    <row r="945" spans="1:7" x14ac:dyDescent="0.2">
      <c r="A945" s="52" t="s">
        <v>1379</v>
      </c>
      <c r="B945" s="368" t="s">
        <v>220</v>
      </c>
      <c r="C945" s="368" t="s">
        <v>435</v>
      </c>
      <c r="D945" s="368" t="s">
        <v>1550</v>
      </c>
      <c r="E945" s="369" t="s">
        <v>368</v>
      </c>
      <c r="F945" s="370">
        <v>7430500</v>
      </c>
      <c r="G945" s="143" t="str">
        <f t="shared" si="16"/>
        <v>070201100S5630244</v>
      </c>
    </row>
    <row r="946" spans="1:7" ht="114.75" x14ac:dyDescent="0.2">
      <c r="A946" s="52" t="s">
        <v>1686</v>
      </c>
      <c r="B946" s="368" t="s">
        <v>220</v>
      </c>
      <c r="C946" s="368" t="s">
        <v>435</v>
      </c>
      <c r="D946" s="368" t="s">
        <v>1551</v>
      </c>
      <c r="E946" s="369" t="s">
        <v>1314</v>
      </c>
      <c r="F946" s="370">
        <v>910000</v>
      </c>
      <c r="G946" s="143" t="str">
        <f t="shared" si="16"/>
        <v>070201100S5980</v>
      </c>
    </row>
    <row r="947" spans="1:7" ht="25.5" x14ac:dyDescent="0.2">
      <c r="A947" s="52" t="s">
        <v>1502</v>
      </c>
      <c r="B947" s="368" t="s">
        <v>220</v>
      </c>
      <c r="C947" s="368" t="s">
        <v>435</v>
      </c>
      <c r="D947" s="368" t="s">
        <v>1551</v>
      </c>
      <c r="E947" s="369" t="s">
        <v>1503</v>
      </c>
      <c r="F947" s="370">
        <v>910000</v>
      </c>
      <c r="G947" s="143" t="str">
        <f t="shared" si="16"/>
        <v>070201100S5980200</v>
      </c>
    </row>
    <row r="948" spans="1:7" ht="25.5" x14ac:dyDescent="0.2">
      <c r="A948" s="52" t="s">
        <v>1338</v>
      </c>
      <c r="B948" s="368" t="s">
        <v>220</v>
      </c>
      <c r="C948" s="368" t="s">
        <v>435</v>
      </c>
      <c r="D948" s="368" t="s">
        <v>1551</v>
      </c>
      <c r="E948" s="369" t="s">
        <v>1339</v>
      </c>
      <c r="F948" s="370">
        <v>910000</v>
      </c>
      <c r="G948" s="143" t="str">
        <f t="shared" si="16"/>
        <v>070201100S5980240</v>
      </c>
    </row>
    <row r="949" spans="1:7" x14ac:dyDescent="0.2">
      <c r="A949" s="52" t="s">
        <v>1379</v>
      </c>
      <c r="B949" s="368" t="s">
        <v>220</v>
      </c>
      <c r="C949" s="368" t="s">
        <v>435</v>
      </c>
      <c r="D949" s="368" t="s">
        <v>1551</v>
      </c>
      <c r="E949" s="369" t="s">
        <v>368</v>
      </c>
      <c r="F949" s="370">
        <v>910000</v>
      </c>
      <c r="G949" s="143" t="str">
        <f t="shared" si="16"/>
        <v>070201100S5980244</v>
      </c>
    </row>
    <row r="950" spans="1:7" ht="114.75" x14ac:dyDescent="0.2">
      <c r="A950" s="52" t="s">
        <v>1687</v>
      </c>
      <c r="B950" s="368" t="s">
        <v>220</v>
      </c>
      <c r="C950" s="368" t="s">
        <v>435</v>
      </c>
      <c r="D950" s="368" t="s">
        <v>1926</v>
      </c>
      <c r="E950" s="369" t="s">
        <v>1314</v>
      </c>
      <c r="F950" s="370">
        <v>1480600</v>
      </c>
      <c r="G950" s="143" t="str">
        <f t="shared" si="16"/>
        <v>0702011E151690</v>
      </c>
    </row>
    <row r="951" spans="1:7" ht="25.5" x14ac:dyDescent="0.2">
      <c r="A951" s="52" t="s">
        <v>1502</v>
      </c>
      <c r="B951" s="368" t="s">
        <v>220</v>
      </c>
      <c r="C951" s="368" t="s">
        <v>435</v>
      </c>
      <c r="D951" s="368" t="s">
        <v>1926</v>
      </c>
      <c r="E951" s="369" t="s">
        <v>1503</v>
      </c>
      <c r="F951" s="370">
        <v>1480600</v>
      </c>
      <c r="G951" s="143" t="str">
        <f t="shared" si="16"/>
        <v>0702011E151690200</v>
      </c>
    </row>
    <row r="952" spans="1:7" ht="25.5" x14ac:dyDescent="0.2">
      <c r="A952" s="52" t="s">
        <v>1338</v>
      </c>
      <c r="B952" s="368" t="s">
        <v>220</v>
      </c>
      <c r="C952" s="368" t="s">
        <v>435</v>
      </c>
      <c r="D952" s="368" t="s">
        <v>1926</v>
      </c>
      <c r="E952" s="369" t="s">
        <v>1339</v>
      </c>
      <c r="F952" s="370">
        <v>1480600</v>
      </c>
      <c r="G952" s="143" t="str">
        <f t="shared" si="16"/>
        <v>0702011E151690240</v>
      </c>
    </row>
    <row r="953" spans="1:7" x14ac:dyDescent="0.2">
      <c r="A953" s="52" t="s">
        <v>1379</v>
      </c>
      <c r="B953" s="368" t="s">
        <v>220</v>
      </c>
      <c r="C953" s="368" t="s">
        <v>435</v>
      </c>
      <c r="D953" s="368" t="s">
        <v>1926</v>
      </c>
      <c r="E953" s="369" t="s">
        <v>368</v>
      </c>
      <c r="F953" s="370">
        <v>1480600</v>
      </c>
      <c r="G953" s="143" t="str">
        <f t="shared" si="16"/>
        <v>0702011E151690244</v>
      </c>
    </row>
    <row r="954" spans="1:7" ht="76.5" x14ac:dyDescent="0.2">
      <c r="A954" s="52" t="s">
        <v>1740</v>
      </c>
      <c r="B954" s="368" t="s">
        <v>220</v>
      </c>
      <c r="C954" s="368" t="s">
        <v>435</v>
      </c>
      <c r="D954" s="368" t="s">
        <v>1741</v>
      </c>
      <c r="E954" s="369" t="s">
        <v>1314</v>
      </c>
      <c r="F954" s="370">
        <v>5851100</v>
      </c>
      <c r="G954" s="143" t="str">
        <f t="shared" si="16"/>
        <v>0702011E452100</v>
      </c>
    </row>
    <row r="955" spans="1:7" ht="25.5" x14ac:dyDescent="0.2">
      <c r="A955" s="52" t="s">
        <v>1502</v>
      </c>
      <c r="B955" s="368" t="s">
        <v>220</v>
      </c>
      <c r="C955" s="368" t="s">
        <v>435</v>
      </c>
      <c r="D955" s="368" t="s">
        <v>1741</v>
      </c>
      <c r="E955" s="369" t="s">
        <v>1503</v>
      </c>
      <c r="F955" s="370">
        <v>5851100</v>
      </c>
      <c r="G955" s="143" t="str">
        <f t="shared" si="16"/>
        <v>0702011E452100200</v>
      </c>
    </row>
    <row r="956" spans="1:7" ht="25.5" x14ac:dyDescent="0.2">
      <c r="A956" s="52" t="s">
        <v>1338</v>
      </c>
      <c r="B956" s="368" t="s">
        <v>220</v>
      </c>
      <c r="C956" s="368" t="s">
        <v>435</v>
      </c>
      <c r="D956" s="368" t="s">
        <v>1741</v>
      </c>
      <c r="E956" s="369" t="s">
        <v>1339</v>
      </c>
      <c r="F956" s="370">
        <v>5851100</v>
      </c>
      <c r="G956" s="143" t="str">
        <f t="shared" si="16"/>
        <v>0702011E452100240</v>
      </c>
    </row>
    <row r="957" spans="1:7" x14ac:dyDescent="0.2">
      <c r="A957" s="52" t="s">
        <v>1379</v>
      </c>
      <c r="B957" s="368" t="s">
        <v>220</v>
      </c>
      <c r="C957" s="368" t="s">
        <v>435</v>
      </c>
      <c r="D957" s="368" t="s">
        <v>1741</v>
      </c>
      <c r="E957" s="369" t="s">
        <v>368</v>
      </c>
      <c r="F957" s="370">
        <v>5851100</v>
      </c>
      <c r="G957" s="143" t="str">
        <f t="shared" si="16"/>
        <v>0702011E452100244</v>
      </c>
    </row>
    <row r="958" spans="1:7" ht="38.25" x14ac:dyDescent="0.2">
      <c r="A958" s="52" t="s">
        <v>493</v>
      </c>
      <c r="B958" s="368" t="s">
        <v>220</v>
      </c>
      <c r="C958" s="368" t="s">
        <v>435</v>
      </c>
      <c r="D958" s="368" t="s">
        <v>1034</v>
      </c>
      <c r="E958" s="369" t="s">
        <v>1314</v>
      </c>
      <c r="F958" s="370">
        <v>1973146</v>
      </c>
      <c r="G958" s="143" t="str">
        <f t="shared" si="16"/>
        <v>07020300000000</v>
      </c>
    </row>
    <row r="959" spans="1:7" ht="38.25" x14ac:dyDescent="0.2">
      <c r="A959" s="52" t="s">
        <v>495</v>
      </c>
      <c r="B959" s="368" t="s">
        <v>220</v>
      </c>
      <c r="C959" s="368" t="s">
        <v>435</v>
      </c>
      <c r="D959" s="368" t="s">
        <v>1496</v>
      </c>
      <c r="E959" s="369" t="s">
        <v>1314</v>
      </c>
      <c r="F959" s="370">
        <v>1973146</v>
      </c>
      <c r="G959" s="143" t="str">
        <f t="shared" si="16"/>
        <v>07020340000000</v>
      </c>
    </row>
    <row r="960" spans="1:7" ht="76.5" x14ac:dyDescent="0.2">
      <c r="A960" s="52" t="s">
        <v>436</v>
      </c>
      <c r="B960" s="368" t="s">
        <v>220</v>
      </c>
      <c r="C960" s="368" t="s">
        <v>435</v>
      </c>
      <c r="D960" s="368" t="s">
        <v>822</v>
      </c>
      <c r="E960" s="369" t="s">
        <v>1314</v>
      </c>
      <c r="F960" s="370">
        <v>1973146</v>
      </c>
      <c r="G960" s="143" t="str">
        <f t="shared" si="16"/>
        <v>07020340080000</v>
      </c>
    </row>
    <row r="961" spans="1:7" ht="25.5" x14ac:dyDescent="0.2">
      <c r="A961" s="52" t="s">
        <v>1502</v>
      </c>
      <c r="B961" s="368" t="s">
        <v>220</v>
      </c>
      <c r="C961" s="368" t="s">
        <v>435</v>
      </c>
      <c r="D961" s="368" t="s">
        <v>822</v>
      </c>
      <c r="E961" s="369" t="s">
        <v>1503</v>
      </c>
      <c r="F961" s="370">
        <v>1973146</v>
      </c>
      <c r="G961" s="143" t="str">
        <f t="shared" si="16"/>
        <v>07020340080000200</v>
      </c>
    </row>
    <row r="962" spans="1:7" ht="25.5" x14ac:dyDescent="0.2">
      <c r="A962" s="52" t="s">
        <v>1338</v>
      </c>
      <c r="B962" s="368" t="s">
        <v>220</v>
      </c>
      <c r="C962" s="368" t="s">
        <v>435</v>
      </c>
      <c r="D962" s="368" t="s">
        <v>822</v>
      </c>
      <c r="E962" s="369" t="s">
        <v>1339</v>
      </c>
      <c r="F962" s="370">
        <v>1973146</v>
      </c>
      <c r="G962" s="143" t="str">
        <f t="shared" si="16"/>
        <v>07020340080000240</v>
      </c>
    </row>
    <row r="963" spans="1:7" x14ac:dyDescent="0.2">
      <c r="A963" s="52" t="s">
        <v>1379</v>
      </c>
      <c r="B963" s="368" t="s">
        <v>220</v>
      </c>
      <c r="C963" s="368" t="s">
        <v>435</v>
      </c>
      <c r="D963" s="368" t="s">
        <v>822</v>
      </c>
      <c r="E963" s="369" t="s">
        <v>368</v>
      </c>
      <c r="F963" s="370">
        <v>1973146</v>
      </c>
      <c r="G963" s="143" t="str">
        <f t="shared" si="16"/>
        <v>07020340080000244</v>
      </c>
    </row>
    <row r="964" spans="1:7" x14ac:dyDescent="0.2">
      <c r="A964" s="52" t="s">
        <v>1147</v>
      </c>
      <c r="B964" s="368" t="s">
        <v>220</v>
      </c>
      <c r="C964" s="368" t="s">
        <v>1148</v>
      </c>
      <c r="D964" s="368" t="s">
        <v>1314</v>
      </c>
      <c r="E964" s="369" t="s">
        <v>1314</v>
      </c>
      <c r="F964" s="370">
        <v>50782921</v>
      </c>
      <c r="G964" s="143" t="str">
        <f t="shared" si="16"/>
        <v>0703</v>
      </c>
    </row>
    <row r="965" spans="1:7" ht="25.5" x14ac:dyDescent="0.2">
      <c r="A965" s="52" t="s">
        <v>483</v>
      </c>
      <c r="B965" s="368" t="s">
        <v>220</v>
      </c>
      <c r="C965" s="368" t="s">
        <v>1148</v>
      </c>
      <c r="D965" s="368" t="s">
        <v>1031</v>
      </c>
      <c r="E965" s="369" t="s">
        <v>1314</v>
      </c>
      <c r="F965" s="370">
        <v>50702921</v>
      </c>
      <c r="G965" s="143" t="str">
        <f t="shared" si="16"/>
        <v>07030100000000</v>
      </c>
    </row>
    <row r="966" spans="1:7" ht="25.5" x14ac:dyDescent="0.2">
      <c r="A966" s="52" t="s">
        <v>484</v>
      </c>
      <c r="B966" s="368" t="s">
        <v>220</v>
      </c>
      <c r="C966" s="368" t="s">
        <v>1148</v>
      </c>
      <c r="D966" s="368" t="s">
        <v>1032</v>
      </c>
      <c r="E966" s="369" t="s">
        <v>1314</v>
      </c>
      <c r="F966" s="370">
        <v>50702921</v>
      </c>
      <c r="G966" s="143" t="str">
        <f t="shared" si="16"/>
        <v>07030110000000</v>
      </c>
    </row>
    <row r="967" spans="1:7" ht="102" x14ac:dyDescent="0.2">
      <c r="A967" s="52" t="s">
        <v>454</v>
      </c>
      <c r="B967" s="368" t="s">
        <v>220</v>
      </c>
      <c r="C967" s="368" t="s">
        <v>1148</v>
      </c>
      <c r="D967" s="368" t="s">
        <v>811</v>
      </c>
      <c r="E967" s="369" t="s">
        <v>1314</v>
      </c>
      <c r="F967" s="370">
        <v>31116400</v>
      </c>
      <c r="G967" s="143" t="str">
        <f t="shared" si="16"/>
        <v>07030110040030</v>
      </c>
    </row>
    <row r="968" spans="1:7" ht="51" x14ac:dyDescent="0.2">
      <c r="A968" s="52" t="s">
        <v>1501</v>
      </c>
      <c r="B968" s="368" t="s">
        <v>220</v>
      </c>
      <c r="C968" s="368" t="s">
        <v>1148</v>
      </c>
      <c r="D968" s="368" t="s">
        <v>811</v>
      </c>
      <c r="E968" s="369" t="s">
        <v>290</v>
      </c>
      <c r="F968" s="370">
        <v>16445000</v>
      </c>
      <c r="G968" s="143" t="str">
        <f t="shared" si="16"/>
        <v>07030110040030100</v>
      </c>
    </row>
    <row r="969" spans="1:7" x14ac:dyDescent="0.2">
      <c r="A969" s="52" t="s">
        <v>1331</v>
      </c>
      <c r="B969" s="368" t="s">
        <v>220</v>
      </c>
      <c r="C969" s="368" t="s">
        <v>1148</v>
      </c>
      <c r="D969" s="368" t="s">
        <v>811</v>
      </c>
      <c r="E969" s="369" t="s">
        <v>140</v>
      </c>
      <c r="F969" s="370">
        <v>16445000</v>
      </c>
      <c r="G969" s="143" t="str">
        <f t="shared" si="16"/>
        <v>07030110040030110</v>
      </c>
    </row>
    <row r="970" spans="1:7" x14ac:dyDescent="0.2">
      <c r="A970" s="52" t="s">
        <v>1216</v>
      </c>
      <c r="B970" s="368" t="s">
        <v>220</v>
      </c>
      <c r="C970" s="368" t="s">
        <v>1148</v>
      </c>
      <c r="D970" s="368" t="s">
        <v>811</v>
      </c>
      <c r="E970" s="369" t="s">
        <v>382</v>
      </c>
      <c r="F970" s="370">
        <v>12540000</v>
      </c>
      <c r="G970" s="143" t="str">
        <f t="shared" si="16"/>
        <v>07030110040030111</v>
      </c>
    </row>
    <row r="971" spans="1:7" ht="25.5" x14ac:dyDescent="0.2">
      <c r="A971" s="52" t="s">
        <v>1225</v>
      </c>
      <c r="B971" s="368" t="s">
        <v>220</v>
      </c>
      <c r="C971" s="368" t="s">
        <v>1148</v>
      </c>
      <c r="D971" s="368" t="s">
        <v>811</v>
      </c>
      <c r="E971" s="369" t="s">
        <v>431</v>
      </c>
      <c r="F971" s="370">
        <v>130000</v>
      </c>
      <c r="G971" s="143" t="str">
        <f t="shared" si="16"/>
        <v>07030110040030112</v>
      </c>
    </row>
    <row r="972" spans="1:7" ht="38.25" x14ac:dyDescent="0.2">
      <c r="A972" s="52" t="s">
        <v>1217</v>
      </c>
      <c r="B972" s="368" t="s">
        <v>220</v>
      </c>
      <c r="C972" s="368" t="s">
        <v>1148</v>
      </c>
      <c r="D972" s="368" t="s">
        <v>811</v>
      </c>
      <c r="E972" s="369" t="s">
        <v>1117</v>
      </c>
      <c r="F972" s="370">
        <v>3775000</v>
      </c>
      <c r="G972" s="143" t="str">
        <f t="shared" si="16"/>
        <v>07030110040030119</v>
      </c>
    </row>
    <row r="973" spans="1:7" ht="25.5" x14ac:dyDescent="0.2">
      <c r="A973" s="52" t="s">
        <v>1502</v>
      </c>
      <c r="B973" s="368" t="s">
        <v>220</v>
      </c>
      <c r="C973" s="368" t="s">
        <v>1148</v>
      </c>
      <c r="D973" s="368" t="s">
        <v>811</v>
      </c>
      <c r="E973" s="369" t="s">
        <v>1503</v>
      </c>
      <c r="F973" s="370">
        <v>742500</v>
      </c>
      <c r="G973" s="143" t="str">
        <f t="shared" si="16"/>
        <v>07030110040030200</v>
      </c>
    </row>
    <row r="974" spans="1:7" ht="25.5" x14ac:dyDescent="0.2">
      <c r="A974" s="52" t="s">
        <v>1338</v>
      </c>
      <c r="B974" s="368" t="s">
        <v>220</v>
      </c>
      <c r="C974" s="368" t="s">
        <v>1148</v>
      </c>
      <c r="D974" s="368" t="s">
        <v>811</v>
      </c>
      <c r="E974" s="369" t="s">
        <v>1339</v>
      </c>
      <c r="F974" s="370">
        <v>742500</v>
      </c>
      <c r="G974" s="143" t="str">
        <f t="shared" si="16"/>
        <v>07030110040030240</v>
      </c>
    </row>
    <row r="975" spans="1:7" x14ac:dyDescent="0.2">
      <c r="A975" s="52" t="s">
        <v>1379</v>
      </c>
      <c r="B975" s="368" t="s">
        <v>220</v>
      </c>
      <c r="C975" s="368" t="s">
        <v>1148</v>
      </c>
      <c r="D975" s="368" t="s">
        <v>811</v>
      </c>
      <c r="E975" s="369" t="s">
        <v>368</v>
      </c>
      <c r="F975" s="370">
        <v>742500</v>
      </c>
      <c r="G975" s="143" t="str">
        <f t="shared" si="16"/>
        <v>07030110040030244</v>
      </c>
    </row>
    <row r="976" spans="1:7" ht="25.5" x14ac:dyDescent="0.2">
      <c r="A976" s="52" t="s">
        <v>1510</v>
      </c>
      <c r="B976" s="368" t="s">
        <v>220</v>
      </c>
      <c r="C976" s="368" t="s">
        <v>1148</v>
      </c>
      <c r="D976" s="368" t="s">
        <v>811</v>
      </c>
      <c r="E976" s="369" t="s">
        <v>1511</v>
      </c>
      <c r="F976" s="370">
        <v>13926900</v>
      </c>
      <c r="G976" s="143" t="str">
        <f t="shared" si="16"/>
        <v>07030110040030600</v>
      </c>
    </row>
    <row r="977" spans="1:7" x14ac:dyDescent="0.2">
      <c r="A977" s="52" t="s">
        <v>1340</v>
      </c>
      <c r="B977" s="368" t="s">
        <v>220</v>
      </c>
      <c r="C977" s="368" t="s">
        <v>1148</v>
      </c>
      <c r="D977" s="368" t="s">
        <v>811</v>
      </c>
      <c r="E977" s="369" t="s">
        <v>1341</v>
      </c>
      <c r="F977" s="371">
        <v>13926900</v>
      </c>
      <c r="G977" s="143" t="str">
        <f t="shared" si="16"/>
        <v>07030110040030610</v>
      </c>
    </row>
    <row r="978" spans="1:7" ht="51" x14ac:dyDescent="0.2">
      <c r="A978" s="52" t="s">
        <v>387</v>
      </c>
      <c r="B978" s="368" t="s">
        <v>220</v>
      </c>
      <c r="C978" s="368" t="s">
        <v>1148</v>
      </c>
      <c r="D978" s="368" t="s">
        <v>811</v>
      </c>
      <c r="E978" s="369" t="s">
        <v>388</v>
      </c>
      <c r="F978" s="371">
        <v>13926900</v>
      </c>
      <c r="G978" s="143" t="str">
        <f t="shared" si="16"/>
        <v>07030110040030611</v>
      </c>
    </row>
    <row r="979" spans="1:7" x14ac:dyDescent="0.2">
      <c r="A979" s="52" t="s">
        <v>1504</v>
      </c>
      <c r="B979" s="368" t="s">
        <v>220</v>
      </c>
      <c r="C979" s="368" t="s">
        <v>1148</v>
      </c>
      <c r="D979" s="368" t="s">
        <v>811</v>
      </c>
      <c r="E979" s="369" t="s">
        <v>1505</v>
      </c>
      <c r="F979" s="371">
        <v>2000</v>
      </c>
      <c r="G979" s="143" t="str">
        <f t="shared" si="16"/>
        <v>07030110040030800</v>
      </c>
    </row>
    <row r="980" spans="1:7" x14ac:dyDescent="0.2">
      <c r="A980" s="52" t="s">
        <v>1343</v>
      </c>
      <c r="B980" s="368" t="s">
        <v>220</v>
      </c>
      <c r="C980" s="368" t="s">
        <v>1148</v>
      </c>
      <c r="D980" s="368" t="s">
        <v>811</v>
      </c>
      <c r="E980" s="369" t="s">
        <v>1344</v>
      </c>
      <c r="F980" s="371">
        <v>2000</v>
      </c>
      <c r="G980" s="143" t="str">
        <f t="shared" si="16"/>
        <v>07030110040030850</v>
      </c>
    </row>
    <row r="981" spans="1:7" x14ac:dyDescent="0.2">
      <c r="A981" s="52" t="s">
        <v>1118</v>
      </c>
      <c r="B981" s="368" t="s">
        <v>220</v>
      </c>
      <c r="C981" s="368" t="s">
        <v>1148</v>
      </c>
      <c r="D981" s="368" t="s">
        <v>811</v>
      </c>
      <c r="E981" s="369" t="s">
        <v>1119</v>
      </c>
      <c r="F981" s="370">
        <v>2000</v>
      </c>
      <c r="G981" s="143" t="str">
        <f t="shared" si="16"/>
        <v>07030110040030853</v>
      </c>
    </row>
    <row r="982" spans="1:7" ht="140.25" x14ac:dyDescent="0.2">
      <c r="A982" s="52" t="s">
        <v>1689</v>
      </c>
      <c r="B982" s="368" t="s">
        <v>220</v>
      </c>
      <c r="C982" s="368" t="s">
        <v>1148</v>
      </c>
      <c r="D982" s="368" t="s">
        <v>1690</v>
      </c>
      <c r="E982" s="369" t="s">
        <v>1314</v>
      </c>
      <c r="F982" s="370">
        <v>651000</v>
      </c>
      <c r="G982" s="143" t="str">
        <f t="shared" si="16"/>
        <v>07030110040032</v>
      </c>
    </row>
    <row r="983" spans="1:7" ht="51" x14ac:dyDescent="0.2">
      <c r="A983" s="52" t="s">
        <v>1501</v>
      </c>
      <c r="B983" s="368" t="s">
        <v>220</v>
      </c>
      <c r="C983" s="368" t="s">
        <v>1148</v>
      </c>
      <c r="D983" s="368" t="s">
        <v>1690</v>
      </c>
      <c r="E983" s="369" t="s">
        <v>290</v>
      </c>
      <c r="F983" s="370">
        <v>651000</v>
      </c>
      <c r="G983" s="143" t="str">
        <f t="shared" si="16"/>
        <v>07030110040032100</v>
      </c>
    </row>
    <row r="984" spans="1:7" x14ac:dyDescent="0.2">
      <c r="A984" s="52" t="s">
        <v>1331</v>
      </c>
      <c r="B984" s="368" t="s">
        <v>220</v>
      </c>
      <c r="C984" s="368" t="s">
        <v>1148</v>
      </c>
      <c r="D984" s="368" t="s">
        <v>1690</v>
      </c>
      <c r="E984" s="369" t="s">
        <v>140</v>
      </c>
      <c r="F984" s="370">
        <v>651000</v>
      </c>
      <c r="G984" s="143" t="str">
        <f t="shared" si="16"/>
        <v>07030110040032110</v>
      </c>
    </row>
    <row r="985" spans="1:7" x14ac:dyDescent="0.2">
      <c r="A985" s="52" t="s">
        <v>1216</v>
      </c>
      <c r="B985" s="368" t="s">
        <v>220</v>
      </c>
      <c r="C985" s="368" t="s">
        <v>1148</v>
      </c>
      <c r="D985" s="368" t="s">
        <v>1690</v>
      </c>
      <c r="E985" s="369" t="s">
        <v>382</v>
      </c>
      <c r="F985" s="370">
        <v>500000</v>
      </c>
      <c r="G985" s="143" t="str">
        <f t="shared" si="16"/>
        <v>07030110040032111</v>
      </c>
    </row>
    <row r="986" spans="1:7" ht="38.25" x14ac:dyDescent="0.2">
      <c r="A986" s="52" t="s">
        <v>1217</v>
      </c>
      <c r="B986" s="368" t="s">
        <v>220</v>
      </c>
      <c r="C986" s="368" t="s">
        <v>1148</v>
      </c>
      <c r="D986" s="368" t="s">
        <v>1690</v>
      </c>
      <c r="E986" s="369" t="s">
        <v>1117</v>
      </c>
      <c r="F986" s="370">
        <v>151000</v>
      </c>
      <c r="G986" s="143" t="str">
        <f t="shared" si="16"/>
        <v>07030110040032119</v>
      </c>
    </row>
    <row r="987" spans="1:7" ht="153" x14ac:dyDescent="0.2">
      <c r="A987" s="52" t="s">
        <v>1691</v>
      </c>
      <c r="B987" s="368" t="s">
        <v>220</v>
      </c>
      <c r="C987" s="368" t="s">
        <v>1148</v>
      </c>
      <c r="D987" s="368" t="s">
        <v>1692</v>
      </c>
      <c r="E987" s="369" t="s">
        <v>1314</v>
      </c>
      <c r="F987" s="370">
        <v>1411400</v>
      </c>
      <c r="G987" s="143" t="str">
        <f t="shared" si="16"/>
        <v>07030110040033</v>
      </c>
    </row>
    <row r="988" spans="1:7" ht="51" x14ac:dyDescent="0.2">
      <c r="A988" s="52" t="s">
        <v>1501</v>
      </c>
      <c r="B988" s="368" t="s">
        <v>220</v>
      </c>
      <c r="C988" s="368" t="s">
        <v>1148</v>
      </c>
      <c r="D988" s="368" t="s">
        <v>1692</v>
      </c>
      <c r="E988" s="369" t="s">
        <v>290</v>
      </c>
      <c r="F988" s="370">
        <v>911400</v>
      </c>
      <c r="G988" s="143" t="str">
        <f t="shared" si="16"/>
        <v>07030110040033100</v>
      </c>
    </row>
    <row r="989" spans="1:7" x14ac:dyDescent="0.2">
      <c r="A989" s="52" t="s">
        <v>1331</v>
      </c>
      <c r="B989" s="368" t="s">
        <v>220</v>
      </c>
      <c r="C989" s="368" t="s">
        <v>1148</v>
      </c>
      <c r="D989" s="368" t="s">
        <v>1692</v>
      </c>
      <c r="E989" s="369" t="s">
        <v>140</v>
      </c>
      <c r="F989" s="370">
        <v>911400</v>
      </c>
      <c r="G989" s="143" t="str">
        <f t="shared" si="16"/>
        <v>07030110040033110</v>
      </c>
    </row>
    <row r="990" spans="1:7" x14ac:dyDescent="0.2">
      <c r="A990" s="52" t="s">
        <v>1216</v>
      </c>
      <c r="B990" s="368" t="s">
        <v>220</v>
      </c>
      <c r="C990" s="368" t="s">
        <v>1148</v>
      </c>
      <c r="D990" s="368" t="s">
        <v>1692</v>
      </c>
      <c r="E990" s="369" t="s">
        <v>382</v>
      </c>
      <c r="F990" s="370">
        <v>700000</v>
      </c>
      <c r="G990" s="143" t="str">
        <f t="shared" si="16"/>
        <v>07030110040033111</v>
      </c>
    </row>
    <row r="991" spans="1:7" ht="38.25" x14ac:dyDescent="0.2">
      <c r="A991" s="52" t="s">
        <v>1217</v>
      </c>
      <c r="B991" s="368" t="s">
        <v>220</v>
      </c>
      <c r="C991" s="368" t="s">
        <v>1148</v>
      </c>
      <c r="D991" s="368" t="s">
        <v>1692</v>
      </c>
      <c r="E991" s="369" t="s">
        <v>1117</v>
      </c>
      <c r="F991" s="370">
        <v>211400</v>
      </c>
      <c r="G991" s="143" t="str">
        <f t="shared" si="16"/>
        <v>07030110040033119</v>
      </c>
    </row>
    <row r="992" spans="1:7" ht="25.5" x14ac:dyDescent="0.2">
      <c r="A992" s="52" t="s">
        <v>1510</v>
      </c>
      <c r="B992" s="368" t="s">
        <v>220</v>
      </c>
      <c r="C992" s="368" t="s">
        <v>1148</v>
      </c>
      <c r="D992" s="368" t="s">
        <v>1692</v>
      </c>
      <c r="E992" s="369" t="s">
        <v>1511</v>
      </c>
      <c r="F992" s="370">
        <v>500000</v>
      </c>
      <c r="G992" s="143" t="str">
        <f t="shared" si="16"/>
        <v>07030110040033600</v>
      </c>
    </row>
    <row r="993" spans="1:7" x14ac:dyDescent="0.2">
      <c r="A993" s="52" t="s">
        <v>1340</v>
      </c>
      <c r="B993" s="368" t="s">
        <v>220</v>
      </c>
      <c r="C993" s="368" t="s">
        <v>1148</v>
      </c>
      <c r="D993" s="368" t="s">
        <v>1692</v>
      </c>
      <c r="E993" s="369" t="s">
        <v>1341</v>
      </c>
      <c r="F993" s="370">
        <v>500000</v>
      </c>
      <c r="G993" s="143" t="str">
        <f t="shared" si="16"/>
        <v>07030110040033610</v>
      </c>
    </row>
    <row r="994" spans="1:7" ht="51" x14ac:dyDescent="0.2">
      <c r="A994" s="52" t="s">
        <v>387</v>
      </c>
      <c r="B994" s="368" t="s">
        <v>220</v>
      </c>
      <c r="C994" s="368" t="s">
        <v>1148</v>
      </c>
      <c r="D994" s="368" t="s">
        <v>1692</v>
      </c>
      <c r="E994" s="369" t="s">
        <v>388</v>
      </c>
      <c r="F994" s="370">
        <v>500000</v>
      </c>
      <c r="G994" s="143" t="str">
        <f t="shared" si="16"/>
        <v>07030110040033611</v>
      </c>
    </row>
    <row r="995" spans="1:7" ht="140.25" x14ac:dyDescent="0.2">
      <c r="A995" s="52" t="s">
        <v>623</v>
      </c>
      <c r="B995" s="368" t="s">
        <v>220</v>
      </c>
      <c r="C995" s="368" t="s">
        <v>1148</v>
      </c>
      <c r="D995" s="368" t="s">
        <v>812</v>
      </c>
      <c r="E995" s="369" t="s">
        <v>1314</v>
      </c>
      <c r="F995" s="370">
        <v>3653000</v>
      </c>
      <c r="G995" s="143" t="str">
        <f t="shared" si="16"/>
        <v>07030110041030</v>
      </c>
    </row>
    <row r="996" spans="1:7" ht="51" x14ac:dyDescent="0.2">
      <c r="A996" s="52" t="s">
        <v>1501</v>
      </c>
      <c r="B996" s="368" t="s">
        <v>220</v>
      </c>
      <c r="C996" s="368" t="s">
        <v>1148</v>
      </c>
      <c r="D996" s="368" t="s">
        <v>812</v>
      </c>
      <c r="E996" s="369" t="s">
        <v>290</v>
      </c>
      <c r="F996" s="370">
        <v>1953000</v>
      </c>
      <c r="G996" s="143" t="str">
        <f t="shared" si="16"/>
        <v>07030110041030100</v>
      </c>
    </row>
    <row r="997" spans="1:7" x14ac:dyDescent="0.2">
      <c r="A997" s="52" t="s">
        <v>1331</v>
      </c>
      <c r="B997" s="368" t="s">
        <v>220</v>
      </c>
      <c r="C997" s="368" t="s">
        <v>1148</v>
      </c>
      <c r="D997" s="368" t="s">
        <v>812</v>
      </c>
      <c r="E997" s="369" t="s">
        <v>140</v>
      </c>
      <c r="F997" s="370">
        <v>1953000</v>
      </c>
      <c r="G997" s="143" t="str">
        <f t="shared" si="16"/>
        <v>07030110041030110</v>
      </c>
    </row>
    <row r="998" spans="1:7" x14ac:dyDescent="0.2">
      <c r="A998" s="52" t="s">
        <v>1216</v>
      </c>
      <c r="B998" s="368" t="s">
        <v>220</v>
      </c>
      <c r="C998" s="368" t="s">
        <v>1148</v>
      </c>
      <c r="D998" s="368" t="s">
        <v>812</v>
      </c>
      <c r="E998" s="369" t="s">
        <v>382</v>
      </c>
      <c r="F998" s="370">
        <v>1500000</v>
      </c>
      <c r="G998" s="143" t="str">
        <f t="shared" si="16"/>
        <v>07030110041030111</v>
      </c>
    </row>
    <row r="999" spans="1:7" ht="38.25" x14ac:dyDescent="0.2">
      <c r="A999" s="52" t="s">
        <v>1217</v>
      </c>
      <c r="B999" s="368" t="s">
        <v>220</v>
      </c>
      <c r="C999" s="368" t="s">
        <v>1148</v>
      </c>
      <c r="D999" s="368" t="s">
        <v>812</v>
      </c>
      <c r="E999" s="369" t="s">
        <v>1117</v>
      </c>
      <c r="F999" s="370">
        <v>453000</v>
      </c>
      <c r="G999" s="143" t="str">
        <f t="shared" si="16"/>
        <v>07030110041030119</v>
      </c>
    </row>
    <row r="1000" spans="1:7" ht="25.5" x14ac:dyDescent="0.2">
      <c r="A1000" s="52" t="s">
        <v>1510</v>
      </c>
      <c r="B1000" s="368" t="s">
        <v>220</v>
      </c>
      <c r="C1000" s="368" t="s">
        <v>1148</v>
      </c>
      <c r="D1000" s="368" t="s">
        <v>812</v>
      </c>
      <c r="E1000" s="369" t="s">
        <v>1511</v>
      </c>
      <c r="F1000" s="370">
        <v>1700000</v>
      </c>
      <c r="G1000" s="143" t="str">
        <f t="shared" si="16"/>
        <v>07030110041030600</v>
      </c>
    </row>
    <row r="1001" spans="1:7" x14ac:dyDescent="0.2">
      <c r="A1001" s="52" t="s">
        <v>1340</v>
      </c>
      <c r="B1001" s="368" t="s">
        <v>220</v>
      </c>
      <c r="C1001" s="368" t="s">
        <v>1148</v>
      </c>
      <c r="D1001" s="368" t="s">
        <v>812</v>
      </c>
      <c r="E1001" s="369" t="s">
        <v>1341</v>
      </c>
      <c r="F1001" s="370">
        <v>1700000</v>
      </c>
      <c r="G1001" s="143" t="str">
        <f t="shared" ref="G1001:G1064" si="17">CONCATENATE(C1001,D1001,E1001)</f>
        <v>07030110041030610</v>
      </c>
    </row>
    <row r="1002" spans="1:7" ht="51" x14ac:dyDescent="0.2">
      <c r="A1002" s="52" t="s">
        <v>387</v>
      </c>
      <c r="B1002" s="368" t="s">
        <v>220</v>
      </c>
      <c r="C1002" s="368" t="s">
        <v>1148</v>
      </c>
      <c r="D1002" s="368" t="s">
        <v>812</v>
      </c>
      <c r="E1002" s="369" t="s">
        <v>388</v>
      </c>
      <c r="F1002" s="370">
        <v>1700000</v>
      </c>
      <c r="G1002" s="143" t="str">
        <f t="shared" si="17"/>
        <v>07030110041030611</v>
      </c>
    </row>
    <row r="1003" spans="1:7" ht="114.75" x14ac:dyDescent="0.2">
      <c r="A1003" s="52" t="s">
        <v>624</v>
      </c>
      <c r="B1003" s="368" t="s">
        <v>220</v>
      </c>
      <c r="C1003" s="368" t="s">
        <v>1148</v>
      </c>
      <c r="D1003" s="368" t="s">
        <v>813</v>
      </c>
      <c r="E1003" s="369" t="s">
        <v>1314</v>
      </c>
      <c r="F1003" s="370">
        <v>78700</v>
      </c>
      <c r="G1003" s="143" t="str">
        <f t="shared" si="17"/>
        <v>07030110045030</v>
      </c>
    </row>
    <row r="1004" spans="1:7" ht="51" x14ac:dyDescent="0.2">
      <c r="A1004" s="52" t="s">
        <v>1501</v>
      </c>
      <c r="B1004" s="368" t="s">
        <v>220</v>
      </c>
      <c r="C1004" s="368" t="s">
        <v>1148</v>
      </c>
      <c r="D1004" s="368" t="s">
        <v>813</v>
      </c>
      <c r="E1004" s="369" t="s">
        <v>290</v>
      </c>
      <c r="F1004" s="370">
        <v>23500</v>
      </c>
      <c r="G1004" s="143" t="str">
        <f t="shared" si="17"/>
        <v>07030110045030100</v>
      </c>
    </row>
    <row r="1005" spans="1:7" x14ac:dyDescent="0.2">
      <c r="A1005" s="52" t="s">
        <v>1331</v>
      </c>
      <c r="B1005" s="368" t="s">
        <v>220</v>
      </c>
      <c r="C1005" s="368" t="s">
        <v>1148</v>
      </c>
      <c r="D1005" s="368" t="s">
        <v>813</v>
      </c>
      <c r="E1005" s="369" t="s">
        <v>140</v>
      </c>
      <c r="F1005" s="370">
        <v>23500</v>
      </c>
      <c r="G1005" s="143" t="str">
        <f t="shared" si="17"/>
        <v>07030110045030110</v>
      </c>
    </row>
    <row r="1006" spans="1:7" x14ac:dyDescent="0.2">
      <c r="A1006" s="52" t="s">
        <v>1216</v>
      </c>
      <c r="B1006" s="368" t="s">
        <v>220</v>
      </c>
      <c r="C1006" s="368" t="s">
        <v>1148</v>
      </c>
      <c r="D1006" s="368" t="s">
        <v>813</v>
      </c>
      <c r="E1006" s="369" t="s">
        <v>382</v>
      </c>
      <c r="F1006" s="370">
        <v>18000</v>
      </c>
      <c r="G1006" s="143" t="str">
        <f t="shared" si="17"/>
        <v>07030110045030111</v>
      </c>
    </row>
    <row r="1007" spans="1:7" ht="38.25" x14ac:dyDescent="0.2">
      <c r="A1007" s="52" t="s">
        <v>1217</v>
      </c>
      <c r="B1007" s="368" t="s">
        <v>220</v>
      </c>
      <c r="C1007" s="368" t="s">
        <v>1148</v>
      </c>
      <c r="D1007" s="368" t="s">
        <v>813</v>
      </c>
      <c r="E1007" s="369" t="s">
        <v>1117</v>
      </c>
      <c r="F1007" s="370">
        <v>5500</v>
      </c>
      <c r="G1007" s="143" t="str">
        <f t="shared" si="17"/>
        <v>07030110045030119</v>
      </c>
    </row>
    <row r="1008" spans="1:7" ht="25.5" x14ac:dyDescent="0.2">
      <c r="A1008" s="52" t="s">
        <v>1510</v>
      </c>
      <c r="B1008" s="368" t="s">
        <v>220</v>
      </c>
      <c r="C1008" s="368" t="s">
        <v>1148</v>
      </c>
      <c r="D1008" s="368" t="s">
        <v>813</v>
      </c>
      <c r="E1008" s="369" t="s">
        <v>1511</v>
      </c>
      <c r="F1008" s="370">
        <v>55200</v>
      </c>
      <c r="G1008" s="143" t="str">
        <f t="shared" si="17"/>
        <v>07030110045030600</v>
      </c>
    </row>
    <row r="1009" spans="1:7" x14ac:dyDescent="0.2">
      <c r="A1009" s="52" t="s">
        <v>1340</v>
      </c>
      <c r="B1009" s="368" t="s">
        <v>220</v>
      </c>
      <c r="C1009" s="368" t="s">
        <v>1148</v>
      </c>
      <c r="D1009" s="368" t="s">
        <v>813</v>
      </c>
      <c r="E1009" s="369" t="s">
        <v>1341</v>
      </c>
      <c r="F1009" s="370">
        <v>55200</v>
      </c>
      <c r="G1009" s="143" t="str">
        <f t="shared" si="17"/>
        <v>07030110045030610</v>
      </c>
    </row>
    <row r="1010" spans="1:7" ht="51" x14ac:dyDescent="0.2">
      <c r="A1010" s="52" t="s">
        <v>387</v>
      </c>
      <c r="B1010" s="368" t="s">
        <v>220</v>
      </c>
      <c r="C1010" s="368" t="s">
        <v>1148</v>
      </c>
      <c r="D1010" s="368" t="s">
        <v>813</v>
      </c>
      <c r="E1010" s="369" t="s">
        <v>388</v>
      </c>
      <c r="F1010" s="370">
        <v>55200</v>
      </c>
      <c r="G1010" s="143" t="str">
        <f t="shared" si="17"/>
        <v>07030110045030611</v>
      </c>
    </row>
    <row r="1011" spans="1:7" ht="102" x14ac:dyDescent="0.2">
      <c r="A1011" s="52" t="s">
        <v>626</v>
      </c>
      <c r="B1011" s="368" t="s">
        <v>220</v>
      </c>
      <c r="C1011" s="368" t="s">
        <v>1148</v>
      </c>
      <c r="D1011" s="368" t="s">
        <v>816</v>
      </c>
      <c r="E1011" s="369" t="s">
        <v>1314</v>
      </c>
      <c r="F1011" s="370">
        <v>310000</v>
      </c>
      <c r="G1011" s="143" t="str">
        <f t="shared" si="17"/>
        <v>07030110047030</v>
      </c>
    </row>
    <row r="1012" spans="1:7" ht="51" x14ac:dyDescent="0.2">
      <c r="A1012" s="52" t="s">
        <v>1501</v>
      </c>
      <c r="B1012" s="368" t="s">
        <v>220</v>
      </c>
      <c r="C1012" s="368" t="s">
        <v>1148</v>
      </c>
      <c r="D1012" s="368" t="s">
        <v>816</v>
      </c>
      <c r="E1012" s="369" t="s">
        <v>290</v>
      </c>
      <c r="F1012" s="370">
        <v>150000</v>
      </c>
      <c r="G1012" s="143" t="str">
        <f t="shared" si="17"/>
        <v>07030110047030100</v>
      </c>
    </row>
    <row r="1013" spans="1:7" x14ac:dyDescent="0.2">
      <c r="A1013" s="52" t="s">
        <v>1331</v>
      </c>
      <c r="B1013" s="368" t="s">
        <v>220</v>
      </c>
      <c r="C1013" s="368" t="s">
        <v>1148</v>
      </c>
      <c r="D1013" s="368" t="s">
        <v>816</v>
      </c>
      <c r="E1013" s="369" t="s">
        <v>140</v>
      </c>
      <c r="F1013" s="370">
        <v>150000</v>
      </c>
      <c r="G1013" s="143" t="str">
        <f t="shared" si="17"/>
        <v>07030110047030110</v>
      </c>
    </row>
    <row r="1014" spans="1:7" ht="25.5" x14ac:dyDescent="0.2">
      <c r="A1014" s="52" t="s">
        <v>1225</v>
      </c>
      <c r="B1014" s="368" t="s">
        <v>220</v>
      </c>
      <c r="C1014" s="368" t="s">
        <v>1148</v>
      </c>
      <c r="D1014" s="368" t="s">
        <v>816</v>
      </c>
      <c r="E1014" s="369" t="s">
        <v>431</v>
      </c>
      <c r="F1014" s="370">
        <v>150000</v>
      </c>
      <c r="G1014" s="143" t="str">
        <f t="shared" si="17"/>
        <v>07030110047030112</v>
      </c>
    </row>
    <row r="1015" spans="1:7" ht="25.5" x14ac:dyDescent="0.2">
      <c r="A1015" s="52" t="s">
        <v>1510</v>
      </c>
      <c r="B1015" s="368" t="s">
        <v>220</v>
      </c>
      <c r="C1015" s="368" t="s">
        <v>1148</v>
      </c>
      <c r="D1015" s="368" t="s">
        <v>816</v>
      </c>
      <c r="E1015" s="369" t="s">
        <v>1511</v>
      </c>
      <c r="F1015" s="370">
        <v>160000</v>
      </c>
      <c r="G1015" s="143" t="str">
        <f t="shared" si="17"/>
        <v>07030110047030600</v>
      </c>
    </row>
    <row r="1016" spans="1:7" x14ac:dyDescent="0.2">
      <c r="A1016" s="52" t="s">
        <v>1340</v>
      </c>
      <c r="B1016" s="368" t="s">
        <v>220</v>
      </c>
      <c r="C1016" s="368" t="s">
        <v>1148</v>
      </c>
      <c r="D1016" s="368" t="s">
        <v>816</v>
      </c>
      <c r="E1016" s="369" t="s">
        <v>1341</v>
      </c>
      <c r="F1016" s="370">
        <v>160000</v>
      </c>
      <c r="G1016" s="143" t="str">
        <f t="shared" si="17"/>
        <v>07030110047030610</v>
      </c>
    </row>
    <row r="1017" spans="1:7" x14ac:dyDescent="0.2">
      <c r="A1017" s="52" t="s">
        <v>406</v>
      </c>
      <c r="B1017" s="368" t="s">
        <v>220</v>
      </c>
      <c r="C1017" s="368" t="s">
        <v>1148</v>
      </c>
      <c r="D1017" s="368" t="s">
        <v>816</v>
      </c>
      <c r="E1017" s="369" t="s">
        <v>407</v>
      </c>
      <c r="F1017" s="370">
        <v>160000</v>
      </c>
      <c r="G1017" s="143" t="str">
        <f t="shared" si="17"/>
        <v>07030110047030612</v>
      </c>
    </row>
    <row r="1018" spans="1:7" ht="102" x14ac:dyDescent="0.2">
      <c r="A1018" s="52" t="s">
        <v>628</v>
      </c>
      <c r="B1018" s="368" t="s">
        <v>220</v>
      </c>
      <c r="C1018" s="368" t="s">
        <v>1148</v>
      </c>
      <c r="D1018" s="368" t="s">
        <v>817</v>
      </c>
      <c r="E1018" s="369" t="s">
        <v>1314</v>
      </c>
      <c r="F1018" s="370">
        <v>2103400</v>
      </c>
      <c r="G1018" s="143" t="str">
        <f t="shared" si="17"/>
        <v>0703011004Г030</v>
      </c>
    </row>
    <row r="1019" spans="1:7" ht="25.5" x14ac:dyDescent="0.2">
      <c r="A1019" s="52" t="s">
        <v>1502</v>
      </c>
      <c r="B1019" s="368" t="s">
        <v>220</v>
      </c>
      <c r="C1019" s="368" t="s">
        <v>1148</v>
      </c>
      <c r="D1019" s="368" t="s">
        <v>817</v>
      </c>
      <c r="E1019" s="369" t="s">
        <v>1503</v>
      </c>
      <c r="F1019" s="370">
        <v>1232000</v>
      </c>
      <c r="G1019" s="143" t="str">
        <f t="shared" si="17"/>
        <v>0703011004Г030200</v>
      </c>
    </row>
    <row r="1020" spans="1:7" ht="25.5" x14ac:dyDescent="0.2">
      <c r="A1020" s="52" t="s">
        <v>1338</v>
      </c>
      <c r="B1020" s="368" t="s">
        <v>220</v>
      </c>
      <c r="C1020" s="368" t="s">
        <v>1148</v>
      </c>
      <c r="D1020" s="368" t="s">
        <v>817</v>
      </c>
      <c r="E1020" s="369" t="s">
        <v>1339</v>
      </c>
      <c r="F1020" s="370">
        <v>1232000</v>
      </c>
      <c r="G1020" s="143" t="str">
        <f t="shared" si="17"/>
        <v>0703011004Г030240</v>
      </c>
    </row>
    <row r="1021" spans="1:7" x14ac:dyDescent="0.2">
      <c r="A1021" s="52" t="s">
        <v>2024</v>
      </c>
      <c r="B1021" s="368" t="s">
        <v>220</v>
      </c>
      <c r="C1021" s="368" t="s">
        <v>1148</v>
      </c>
      <c r="D1021" s="368" t="s">
        <v>817</v>
      </c>
      <c r="E1021" s="369" t="s">
        <v>2025</v>
      </c>
      <c r="F1021" s="370">
        <v>1232000</v>
      </c>
      <c r="G1021" s="143" t="str">
        <f t="shared" si="17"/>
        <v>0703011004Г030247</v>
      </c>
    </row>
    <row r="1022" spans="1:7" ht="25.5" x14ac:dyDescent="0.2">
      <c r="A1022" s="52" t="s">
        <v>1510</v>
      </c>
      <c r="B1022" s="368" t="s">
        <v>220</v>
      </c>
      <c r="C1022" s="368" t="s">
        <v>1148</v>
      </c>
      <c r="D1022" s="368" t="s">
        <v>817</v>
      </c>
      <c r="E1022" s="369" t="s">
        <v>1511</v>
      </c>
      <c r="F1022" s="370">
        <v>871400</v>
      </c>
      <c r="G1022" s="143" t="str">
        <f t="shared" si="17"/>
        <v>0703011004Г030600</v>
      </c>
    </row>
    <row r="1023" spans="1:7" x14ac:dyDescent="0.2">
      <c r="A1023" s="52" t="s">
        <v>1340</v>
      </c>
      <c r="B1023" s="368" t="s">
        <v>220</v>
      </c>
      <c r="C1023" s="368" t="s">
        <v>1148</v>
      </c>
      <c r="D1023" s="368" t="s">
        <v>817</v>
      </c>
      <c r="E1023" s="369" t="s">
        <v>1341</v>
      </c>
      <c r="F1023" s="370">
        <v>871400</v>
      </c>
      <c r="G1023" s="143" t="str">
        <f t="shared" si="17"/>
        <v>0703011004Г030610</v>
      </c>
    </row>
    <row r="1024" spans="1:7" ht="51" x14ac:dyDescent="0.2">
      <c r="A1024" s="52" t="s">
        <v>387</v>
      </c>
      <c r="B1024" s="368" t="s">
        <v>220</v>
      </c>
      <c r="C1024" s="368" t="s">
        <v>1148</v>
      </c>
      <c r="D1024" s="368" t="s">
        <v>817</v>
      </c>
      <c r="E1024" s="369" t="s">
        <v>388</v>
      </c>
      <c r="F1024" s="370">
        <v>871400</v>
      </c>
      <c r="G1024" s="143" t="str">
        <f t="shared" si="17"/>
        <v>0703011004Г030611</v>
      </c>
    </row>
    <row r="1025" spans="1:7" ht="89.25" x14ac:dyDescent="0.2">
      <c r="A1025" s="52" t="s">
        <v>1026</v>
      </c>
      <c r="B1025" s="368" t="s">
        <v>220</v>
      </c>
      <c r="C1025" s="368" t="s">
        <v>1148</v>
      </c>
      <c r="D1025" s="368" t="s">
        <v>1027</v>
      </c>
      <c r="E1025" s="369" t="s">
        <v>1314</v>
      </c>
      <c r="F1025" s="370">
        <v>327500</v>
      </c>
      <c r="G1025" s="143" t="str">
        <f t="shared" si="17"/>
        <v>0703011004Э030</v>
      </c>
    </row>
    <row r="1026" spans="1:7" ht="25.5" x14ac:dyDescent="0.2">
      <c r="A1026" s="52" t="s">
        <v>1502</v>
      </c>
      <c r="B1026" s="368" t="s">
        <v>220</v>
      </c>
      <c r="C1026" s="368" t="s">
        <v>1148</v>
      </c>
      <c r="D1026" s="368" t="s">
        <v>1027</v>
      </c>
      <c r="E1026" s="369" t="s">
        <v>1503</v>
      </c>
      <c r="F1026" s="370">
        <v>270000</v>
      </c>
      <c r="G1026" s="143" t="str">
        <f t="shared" si="17"/>
        <v>0703011004Э030200</v>
      </c>
    </row>
    <row r="1027" spans="1:7" ht="25.5" x14ac:dyDescent="0.2">
      <c r="A1027" s="52" t="s">
        <v>1338</v>
      </c>
      <c r="B1027" s="368" t="s">
        <v>220</v>
      </c>
      <c r="C1027" s="368" t="s">
        <v>1148</v>
      </c>
      <c r="D1027" s="368" t="s">
        <v>1027</v>
      </c>
      <c r="E1027" s="369" t="s">
        <v>1339</v>
      </c>
      <c r="F1027" s="370">
        <v>270000</v>
      </c>
      <c r="G1027" s="143" t="str">
        <f t="shared" si="17"/>
        <v>0703011004Э030240</v>
      </c>
    </row>
    <row r="1028" spans="1:7" x14ac:dyDescent="0.2">
      <c r="A1028" s="52" t="s">
        <v>2024</v>
      </c>
      <c r="B1028" s="368" t="s">
        <v>220</v>
      </c>
      <c r="C1028" s="368" t="s">
        <v>1148</v>
      </c>
      <c r="D1028" s="368" t="s">
        <v>1027</v>
      </c>
      <c r="E1028" s="369" t="s">
        <v>2025</v>
      </c>
      <c r="F1028" s="370">
        <v>270000</v>
      </c>
      <c r="G1028" s="143" t="str">
        <f t="shared" si="17"/>
        <v>0703011004Э030247</v>
      </c>
    </row>
    <row r="1029" spans="1:7" ht="25.5" x14ac:dyDescent="0.2">
      <c r="A1029" s="52" t="s">
        <v>1510</v>
      </c>
      <c r="B1029" s="368" t="s">
        <v>220</v>
      </c>
      <c r="C1029" s="368" t="s">
        <v>1148</v>
      </c>
      <c r="D1029" s="368" t="s">
        <v>1027</v>
      </c>
      <c r="E1029" s="369" t="s">
        <v>1511</v>
      </c>
      <c r="F1029" s="370">
        <v>57500</v>
      </c>
      <c r="G1029" s="143" t="str">
        <f t="shared" si="17"/>
        <v>0703011004Э030600</v>
      </c>
    </row>
    <row r="1030" spans="1:7" x14ac:dyDescent="0.2">
      <c r="A1030" s="52" t="s">
        <v>1340</v>
      </c>
      <c r="B1030" s="368" t="s">
        <v>220</v>
      </c>
      <c r="C1030" s="368" t="s">
        <v>1148</v>
      </c>
      <c r="D1030" s="368" t="s">
        <v>1027</v>
      </c>
      <c r="E1030" s="369" t="s">
        <v>1341</v>
      </c>
      <c r="F1030" s="370">
        <v>57500</v>
      </c>
      <c r="G1030" s="143" t="str">
        <f t="shared" si="17"/>
        <v>0703011004Э030610</v>
      </c>
    </row>
    <row r="1031" spans="1:7" ht="51" x14ac:dyDescent="0.2">
      <c r="A1031" s="52" t="s">
        <v>387</v>
      </c>
      <c r="B1031" s="368" t="s">
        <v>220</v>
      </c>
      <c r="C1031" s="368" t="s">
        <v>1148</v>
      </c>
      <c r="D1031" s="368" t="s">
        <v>1027</v>
      </c>
      <c r="E1031" s="369" t="s">
        <v>388</v>
      </c>
      <c r="F1031" s="370">
        <v>57500</v>
      </c>
      <c r="G1031" s="143" t="str">
        <f t="shared" si="17"/>
        <v>0703011004Э030611</v>
      </c>
    </row>
    <row r="1032" spans="1:7" ht="229.5" x14ac:dyDescent="0.2">
      <c r="A1032" s="52" t="s">
        <v>1549</v>
      </c>
      <c r="B1032" s="368" t="s">
        <v>220</v>
      </c>
      <c r="C1032" s="368" t="s">
        <v>1148</v>
      </c>
      <c r="D1032" s="368" t="s">
        <v>804</v>
      </c>
      <c r="E1032" s="369" t="s">
        <v>1314</v>
      </c>
      <c r="F1032" s="370">
        <v>10751521</v>
      </c>
      <c r="G1032" s="143" t="str">
        <f t="shared" si="17"/>
        <v>07030110075640</v>
      </c>
    </row>
    <row r="1033" spans="1:7" ht="51" x14ac:dyDescent="0.2">
      <c r="A1033" s="52" t="s">
        <v>1501</v>
      </c>
      <c r="B1033" s="368" t="s">
        <v>220</v>
      </c>
      <c r="C1033" s="368" t="s">
        <v>1148</v>
      </c>
      <c r="D1033" s="368" t="s">
        <v>804</v>
      </c>
      <c r="E1033" s="369" t="s">
        <v>290</v>
      </c>
      <c r="F1033" s="370">
        <v>4708032</v>
      </c>
      <c r="G1033" s="143" t="str">
        <f t="shared" si="17"/>
        <v>07030110075640100</v>
      </c>
    </row>
    <row r="1034" spans="1:7" x14ac:dyDescent="0.2">
      <c r="A1034" s="52" t="s">
        <v>1331</v>
      </c>
      <c r="B1034" s="368" t="s">
        <v>220</v>
      </c>
      <c r="C1034" s="368" t="s">
        <v>1148</v>
      </c>
      <c r="D1034" s="368" t="s">
        <v>804</v>
      </c>
      <c r="E1034" s="369" t="s">
        <v>140</v>
      </c>
      <c r="F1034" s="370">
        <v>4708032</v>
      </c>
      <c r="G1034" s="143" t="str">
        <f t="shared" si="17"/>
        <v>07030110075640110</v>
      </c>
    </row>
    <row r="1035" spans="1:7" x14ac:dyDescent="0.2">
      <c r="A1035" s="52" t="s">
        <v>1216</v>
      </c>
      <c r="B1035" s="368" t="s">
        <v>220</v>
      </c>
      <c r="C1035" s="368" t="s">
        <v>1148</v>
      </c>
      <c r="D1035" s="368" t="s">
        <v>804</v>
      </c>
      <c r="E1035" s="369" t="s">
        <v>382</v>
      </c>
      <c r="F1035" s="370">
        <v>3616000</v>
      </c>
      <c r="G1035" s="143" t="str">
        <f t="shared" si="17"/>
        <v>07030110075640111</v>
      </c>
    </row>
    <row r="1036" spans="1:7" ht="38.25" x14ac:dyDescent="0.2">
      <c r="A1036" s="52" t="s">
        <v>1217</v>
      </c>
      <c r="B1036" s="368" t="s">
        <v>220</v>
      </c>
      <c r="C1036" s="368" t="s">
        <v>1148</v>
      </c>
      <c r="D1036" s="368" t="s">
        <v>804</v>
      </c>
      <c r="E1036" s="369" t="s">
        <v>1117</v>
      </c>
      <c r="F1036" s="370">
        <v>1092032</v>
      </c>
      <c r="G1036" s="143" t="str">
        <f t="shared" si="17"/>
        <v>07030110075640119</v>
      </c>
    </row>
    <row r="1037" spans="1:7" ht="25.5" x14ac:dyDescent="0.2">
      <c r="A1037" s="52" t="s">
        <v>1502</v>
      </c>
      <c r="B1037" s="368" t="s">
        <v>220</v>
      </c>
      <c r="C1037" s="368" t="s">
        <v>1148</v>
      </c>
      <c r="D1037" s="368" t="s">
        <v>804</v>
      </c>
      <c r="E1037" s="369" t="s">
        <v>1503</v>
      </c>
      <c r="F1037" s="370">
        <v>6043489</v>
      </c>
      <c r="G1037" s="143" t="str">
        <f t="shared" si="17"/>
        <v>07030110075640200</v>
      </c>
    </row>
    <row r="1038" spans="1:7" ht="25.5" x14ac:dyDescent="0.2">
      <c r="A1038" s="52" t="s">
        <v>1338</v>
      </c>
      <c r="B1038" s="368" t="s">
        <v>220</v>
      </c>
      <c r="C1038" s="368" t="s">
        <v>1148</v>
      </c>
      <c r="D1038" s="368" t="s">
        <v>804</v>
      </c>
      <c r="E1038" s="369" t="s">
        <v>1339</v>
      </c>
      <c r="F1038" s="370">
        <v>6043489</v>
      </c>
      <c r="G1038" s="143" t="str">
        <f t="shared" si="17"/>
        <v>07030110075640240</v>
      </c>
    </row>
    <row r="1039" spans="1:7" x14ac:dyDescent="0.2">
      <c r="A1039" s="52" t="s">
        <v>1379</v>
      </c>
      <c r="B1039" s="368" t="s">
        <v>220</v>
      </c>
      <c r="C1039" s="368" t="s">
        <v>1148</v>
      </c>
      <c r="D1039" s="368" t="s">
        <v>804</v>
      </c>
      <c r="E1039" s="369" t="s">
        <v>368</v>
      </c>
      <c r="F1039" s="370">
        <v>6043489</v>
      </c>
      <c r="G1039" s="143" t="str">
        <f t="shared" si="17"/>
        <v>07030110075640244</v>
      </c>
    </row>
    <row r="1040" spans="1:7" ht="63.75" x14ac:dyDescent="0.2">
      <c r="A1040" s="52" t="s">
        <v>451</v>
      </c>
      <c r="B1040" s="368" t="s">
        <v>220</v>
      </c>
      <c r="C1040" s="368" t="s">
        <v>1148</v>
      </c>
      <c r="D1040" s="368" t="s">
        <v>818</v>
      </c>
      <c r="E1040" s="369" t="s">
        <v>1314</v>
      </c>
      <c r="F1040" s="370">
        <v>300000</v>
      </c>
      <c r="G1040" s="143" t="str">
        <f t="shared" si="17"/>
        <v>07030110080020</v>
      </c>
    </row>
    <row r="1041" spans="1:7" ht="25.5" x14ac:dyDescent="0.2">
      <c r="A1041" s="52" t="s">
        <v>1502</v>
      </c>
      <c r="B1041" s="368" t="s">
        <v>220</v>
      </c>
      <c r="C1041" s="368" t="s">
        <v>1148</v>
      </c>
      <c r="D1041" s="368" t="s">
        <v>818</v>
      </c>
      <c r="E1041" s="369" t="s">
        <v>1503</v>
      </c>
      <c r="F1041" s="370">
        <v>300000</v>
      </c>
      <c r="G1041" s="143" t="str">
        <f t="shared" si="17"/>
        <v>07030110080020200</v>
      </c>
    </row>
    <row r="1042" spans="1:7" ht="25.5" x14ac:dyDescent="0.2">
      <c r="A1042" s="52" t="s">
        <v>1338</v>
      </c>
      <c r="B1042" s="368" t="s">
        <v>220</v>
      </c>
      <c r="C1042" s="368" t="s">
        <v>1148</v>
      </c>
      <c r="D1042" s="368" t="s">
        <v>818</v>
      </c>
      <c r="E1042" s="369" t="s">
        <v>1339</v>
      </c>
      <c r="F1042" s="370">
        <v>300000</v>
      </c>
      <c r="G1042" s="143" t="str">
        <f t="shared" si="17"/>
        <v>07030110080020240</v>
      </c>
    </row>
    <row r="1043" spans="1:7" x14ac:dyDescent="0.2">
      <c r="A1043" s="52" t="s">
        <v>1379</v>
      </c>
      <c r="B1043" s="368" t="s">
        <v>220</v>
      </c>
      <c r="C1043" s="368" t="s">
        <v>1148</v>
      </c>
      <c r="D1043" s="368" t="s">
        <v>818</v>
      </c>
      <c r="E1043" s="369" t="s">
        <v>368</v>
      </c>
      <c r="F1043" s="370">
        <v>300000</v>
      </c>
      <c r="G1043" s="143" t="str">
        <f t="shared" si="17"/>
        <v>07030110080020244</v>
      </c>
    </row>
    <row r="1044" spans="1:7" ht="25.5" x14ac:dyDescent="0.2">
      <c r="A1044" s="52" t="s">
        <v>524</v>
      </c>
      <c r="B1044" s="368" t="s">
        <v>220</v>
      </c>
      <c r="C1044" s="368" t="s">
        <v>1148</v>
      </c>
      <c r="D1044" s="368" t="s">
        <v>1054</v>
      </c>
      <c r="E1044" s="369" t="s">
        <v>1314</v>
      </c>
      <c r="F1044" s="370">
        <v>80000</v>
      </c>
      <c r="G1044" s="143" t="str">
        <f t="shared" si="17"/>
        <v>07030900000000</v>
      </c>
    </row>
    <row r="1045" spans="1:7" ht="25.5" x14ac:dyDescent="0.2">
      <c r="A1045" s="52" t="s">
        <v>529</v>
      </c>
      <c r="B1045" s="368" t="s">
        <v>220</v>
      </c>
      <c r="C1045" s="368" t="s">
        <v>1148</v>
      </c>
      <c r="D1045" s="368" t="s">
        <v>1057</v>
      </c>
      <c r="E1045" s="369" t="s">
        <v>1314</v>
      </c>
      <c r="F1045" s="370">
        <v>80000</v>
      </c>
      <c r="G1045" s="143" t="str">
        <f t="shared" si="17"/>
        <v>07030930000000</v>
      </c>
    </row>
    <row r="1046" spans="1:7" ht="51" x14ac:dyDescent="0.2">
      <c r="A1046" s="52" t="s">
        <v>447</v>
      </c>
      <c r="B1046" s="368" t="s">
        <v>220</v>
      </c>
      <c r="C1046" s="368" t="s">
        <v>1148</v>
      </c>
      <c r="D1046" s="368" t="s">
        <v>2072</v>
      </c>
      <c r="E1046" s="369" t="s">
        <v>1314</v>
      </c>
      <c r="F1046" s="370">
        <v>80000</v>
      </c>
      <c r="G1046" s="143" t="str">
        <f t="shared" si="17"/>
        <v>07030930080000</v>
      </c>
    </row>
    <row r="1047" spans="1:7" ht="25.5" x14ac:dyDescent="0.2">
      <c r="A1047" s="52" t="s">
        <v>1502</v>
      </c>
      <c r="B1047" s="368" t="s">
        <v>220</v>
      </c>
      <c r="C1047" s="368" t="s">
        <v>1148</v>
      </c>
      <c r="D1047" s="368" t="s">
        <v>2072</v>
      </c>
      <c r="E1047" s="369" t="s">
        <v>1503</v>
      </c>
      <c r="F1047" s="370">
        <v>80000</v>
      </c>
      <c r="G1047" s="143" t="str">
        <f t="shared" si="17"/>
        <v>07030930080000200</v>
      </c>
    </row>
    <row r="1048" spans="1:7" ht="25.5" x14ac:dyDescent="0.2">
      <c r="A1048" s="52" t="s">
        <v>1338</v>
      </c>
      <c r="B1048" s="368" t="s">
        <v>220</v>
      </c>
      <c r="C1048" s="368" t="s">
        <v>1148</v>
      </c>
      <c r="D1048" s="368" t="s">
        <v>2072</v>
      </c>
      <c r="E1048" s="369" t="s">
        <v>1339</v>
      </c>
      <c r="F1048" s="370">
        <v>80000</v>
      </c>
      <c r="G1048" s="143" t="str">
        <f t="shared" si="17"/>
        <v>07030930080000240</v>
      </c>
    </row>
    <row r="1049" spans="1:7" x14ac:dyDescent="0.2">
      <c r="A1049" s="52" t="s">
        <v>1379</v>
      </c>
      <c r="B1049" s="368" t="s">
        <v>220</v>
      </c>
      <c r="C1049" s="368" t="s">
        <v>1148</v>
      </c>
      <c r="D1049" s="368" t="s">
        <v>2072</v>
      </c>
      <c r="E1049" s="369" t="s">
        <v>368</v>
      </c>
      <c r="F1049" s="370">
        <v>80000</v>
      </c>
      <c r="G1049" s="143" t="str">
        <f t="shared" si="17"/>
        <v>07030930080000244</v>
      </c>
    </row>
    <row r="1050" spans="1:7" x14ac:dyDescent="0.2">
      <c r="A1050" s="52" t="s">
        <v>1145</v>
      </c>
      <c r="B1050" s="368" t="s">
        <v>220</v>
      </c>
      <c r="C1050" s="368" t="s">
        <v>405</v>
      </c>
      <c r="D1050" s="368" t="s">
        <v>1314</v>
      </c>
      <c r="E1050" s="369" t="s">
        <v>1314</v>
      </c>
      <c r="F1050" s="370">
        <v>18543928</v>
      </c>
      <c r="G1050" s="143" t="str">
        <f t="shared" si="17"/>
        <v>0707</v>
      </c>
    </row>
    <row r="1051" spans="1:7" ht="25.5" x14ac:dyDescent="0.2">
      <c r="A1051" s="52" t="s">
        <v>483</v>
      </c>
      <c r="B1051" s="368" t="s">
        <v>220</v>
      </c>
      <c r="C1051" s="368" t="s">
        <v>405</v>
      </c>
      <c r="D1051" s="368" t="s">
        <v>1031</v>
      </c>
      <c r="E1051" s="369" t="s">
        <v>1314</v>
      </c>
      <c r="F1051" s="370">
        <v>18543928</v>
      </c>
      <c r="G1051" s="143" t="str">
        <f t="shared" si="17"/>
        <v>07070100000000</v>
      </c>
    </row>
    <row r="1052" spans="1:7" ht="25.5" x14ac:dyDescent="0.2">
      <c r="A1052" s="52" t="s">
        <v>484</v>
      </c>
      <c r="B1052" s="368" t="s">
        <v>220</v>
      </c>
      <c r="C1052" s="368" t="s">
        <v>405</v>
      </c>
      <c r="D1052" s="368" t="s">
        <v>1032</v>
      </c>
      <c r="E1052" s="369" t="s">
        <v>1314</v>
      </c>
      <c r="F1052" s="370">
        <v>18270838</v>
      </c>
      <c r="G1052" s="143" t="str">
        <f t="shared" si="17"/>
        <v>07070110000000</v>
      </c>
    </row>
    <row r="1053" spans="1:7" ht="102" x14ac:dyDescent="0.2">
      <c r="A1053" s="52" t="s">
        <v>457</v>
      </c>
      <c r="B1053" s="368" t="s">
        <v>220</v>
      </c>
      <c r="C1053" s="368" t="s">
        <v>405</v>
      </c>
      <c r="D1053" s="368" t="s">
        <v>824</v>
      </c>
      <c r="E1053" s="369" t="s">
        <v>1314</v>
      </c>
      <c r="F1053" s="370">
        <v>1008000</v>
      </c>
      <c r="G1053" s="143" t="str">
        <f t="shared" si="17"/>
        <v>07070110040040</v>
      </c>
    </row>
    <row r="1054" spans="1:7" ht="25.5" x14ac:dyDescent="0.2">
      <c r="A1054" s="52" t="s">
        <v>1510</v>
      </c>
      <c r="B1054" s="368" t="s">
        <v>220</v>
      </c>
      <c r="C1054" s="368" t="s">
        <v>405</v>
      </c>
      <c r="D1054" s="368" t="s">
        <v>824</v>
      </c>
      <c r="E1054" s="369" t="s">
        <v>1511</v>
      </c>
      <c r="F1054" s="370">
        <v>1008000</v>
      </c>
      <c r="G1054" s="143" t="str">
        <f t="shared" si="17"/>
        <v>07070110040040600</v>
      </c>
    </row>
    <row r="1055" spans="1:7" x14ac:dyDescent="0.2">
      <c r="A1055" s="52" t="s">
        <v>1340</v>
      </c>
      <c r="B1055" s="368" t="s">
        <v>220</v>
      </c>
      <c r="C1055" s="368" t="s">
        <v>405</v>
      </c>
      <c r="D1055" s="368" t="s">
        <v>824</v>
      </c>
      <c r="E1055" s="369" t="s">
        <v>1341</v>
      </c>
      <c r="F1055" s="370">
        <v>1008000</v>
      </c>
      <c r="G1055" s="143" t="str">
        <f t="shared" si="17"/>
        <v>07070110040040610</v>
      </c>
    </row>
    <row r="1056" spans="1:7" ht="51" x14ac:dyDescent="0.2">
      <c r="A1056" s="52" t="s">
        <v>387</v>
      </c>
      <c r="B1056" s="368" t="s">
        <v>220</v>
      </c>
      <c r="C1056" s="368" t="s">
        <v>405</v>
      </c>
      <c r="D1056" s="368" t="s">
        <v>824</v>
      </c>
      <c r="E1056" s="369" t="s">
        <v>388</v>
      </c>
      <c r="F1056" s="370">
        <v>1008000</v>
      </c>
      <c r="G1056" s="143" t="str">
        <f t="shared" si="17"/>
        <v>07070110040040611</v>
      </c>
    </row>
    <row r="1057" spans="1:7" ht="140.25" x14ac:dyDescent="0.2">
      <c r="A1057" s="52" t="s">
        <v>458</v>
      </c>
      <c r="B1057" s="368" t="s">
        <v>220</v>
      </c>
      <c r="C1057" s="368" t="s">
        <v>405</v>
      </c>
      <c r="D1057" s="368" t="s">
        <v>825</v>
      </c>
      <c r="E1057" s="369" t="s">
        <v>1314</v>
      </c>
      <c r="F1057" s="370">
        <v>850000</v>
      </c>
      <c r="G1057" s="143" t="str">
        <f t="shared" si="17"/>
        <v>07070110041040</v>
      </c>
    </row>
    <row r="1058" spans="1:7" ht="25.5" x14ac:dyDescent="0.2">
      <c r="A1058" s="52" t="s">
        <v>1510</v>
      </c>
      <c r="B1058" s="368" t="s">
        <v>220</v>
      </c>
      <c r="C1058" s="368" t="s">
        <v>405</v>
      </c>
      <c r="D1058" s="368" t="s">
        <v>825</v>
      </c>
      <c r="E1058" s="369" t="s">
        <v>1511</v>
      </c>
      <c r="F1058" s="370">
        <v>850000</v>
      </c>
      <c r="G1058" s="143" t="str">
        <f t="shared" si="17"/>
        <v>07070110041040600</v>
      </c>
    </row>
    <row r="1059" spans="1:7" x14ac:dyDescent="0.2">
      <c r="A1059" s="52" t="s">
        <v>1340</v>
      </c>
      <c r="B1059" s="368" t="s">
        <v>220</v>
      </c>
      <c r="C1059" s="368" t="s">
        <v>405</v>
      </c>
      <c r="D1059" s="368" t="s">
        <v>825</v>
      </c>
      <c r="E1059" s="369" t="s">
        <v>1341</v>
      </c>
      <c r="F1059" s="370">
        <v>850000</v>
      </c>
      <c r="G1059" s="143" t="str">
        <f t="shared" si="17"/>
        <v>07070110041040610</v>
      </c>
    </row>
    <row r="1060" spans="1:7" ht="51" x14ac:dyDescent="0.2">
      <c r="A1060" s="52" t="s">
        <v>387</v>
      </c>
      <c r="B1060" s="368" t="s">
        <v>220</v>
      </c>
      <c r="C1060" s="368" t="s">
        <v>405</v>
      </c>
      <c r="D1060" s="368" t="s">
        <v>825</v>
      </c>
      <c r="E1060" s="369" t="s">
        <v>388</v>
      </c>
      <c r="F1060" s="370">
        <v>850000</v>
      </c>
      <c r="G1060" s="143" t="str">
        <f t="shared" si="17"/>
        <v>07070110041040611</v>
      </c>
    </row>
    <row r="1061" spans="1:7" ht="102" x14ac:dyDescent="0.2">
      <c r="A1061" s="52" t="s">
        <v>826</v>
      </c>
      <c r="B1061" s="368" t="s">
        <v>220</v>
      </c>
      <c r="C1061" s="368" t="s">
        <v>405</v>
      </c>
      <c r="D1061" s="368" t="s">
        <v>827</v>
      </c>
      <c r="E1061" s="369" t="s">
        <v>1314</v>
      </c>
      <c r="F1061" s="370">
        <v>93000</v>
      </c>
      <c r="G1061" s="143" t="str">
        <f t="shared" si="17"/>
        <v>07070110047040</v>
      </c>
    </row>
    <row r="1062" spans="1:7" ht="25.5" x14ac:dyDescent="0.2">
      <c r="A1062" s="52" t="s">
        <v>1510</v>
      </c>
      <c r="B1062" s="368" t="s">
        <v>220</v>
      </c>
      <c r="C1062" s="368" t="s">
        <v>405</v>
      </c>
      <c r="D1062" s="368" t="s">
        <v>827</v>
      </c>
      <c r="E1062" s="369" t="s">
        <v>1511</v>
      </c>
      <c r="F1062" s="370">
        <v>93000</v>
      </c>
      <c r="G1062" s="143" t="str">
        <f t="shared" si="17"/>
        <v>07070110047040600</v>
      </c>
    </row>
    <row r="1063" spans="1:7" x14ac:dyDescent="0.2">
      <c r="A1063" s="52" t="s">
        <v>1340</v>
      </c>
      <c r="B1063" s="368" t="s">
        <v>220</v>
      </c>
      <c r="C1063" s="368" t="s">
        <v>405</v>
      </c>
      <c r="D1063" s="368" t="s">
        <v>827</v>
      </c>
      <c r="E1063" s="369" t="s">
        <v>1341</v>
      </c>
      <c r="F1063" s="370">
        <v>93000</v>
      </c>
      <c r="G1063" s="143" t="str">
        <f t="shared" si="17"/>
        <v>07070110047040610</v>
      </c>
    </row>
    <row r="1064" spans="1:7" x14ac:dyDescent="0.2">
      <c r="A1064" s="52" t="s">
        <v>406</v>
      </c>
      <c r="B1064" s="368" t="s">
        <v>220</v>
      </c>
      <c r="C1064" s="368" t="s">
        <v>405</v>
      </c>
      <c r="D1064" s="368" t="s">
        <v>827</v>
      </c>
      <c r="E1064" s="369" t="s">
        <v>407</v>
      </c>
      <c r="F1064" s="370">
        <v>93000</v>
      </c>
      <c r="G1064" s="143" t="str">
        <f t="shared" si="17"/>
        <v>07070110047040612</v>
      </c>
    </row>
    <row r="1065" spans="1:7" ht="114.75" x14ac:dyDescent="0.2">
      <c r="A1065" s="52" t="s">
        <v>1228</v>
      </c>
      <c r="B1065" s="368" t="s">
        <v>220</v>
      </c>
      <c r="C1065" s="368" t="s">
        <v>405</v>
      </c>
      <c r="D1065" s="368" t="s">
        <v>1229</v>
      </c>
      <c r="E1065" s="369" t="s">
        <v>1314</v>
      </c>
      <c r="F1065" s="370">
        <v>102700</v>
      </c>
      <c r="G1065" s="143" t="str">
        <f t="shared" ref="G1065:G1128" si="18">CONCATENATE(C1065,D1065,E1065)</f>
        <v>0707011004Г040</v>
      </c>
    </row>
    <row r="1066" spans="1:7" ht="25.5" x14ac:dyDescent="0.2">
      <c r="A1066" s="52" t="s">
        <v>1510</v>
      </c>
      <c r="B1066" s="368" t="s">
        <v>220</v>
      </c>
      <c r="C1066" s="368" t="s">
        <v>405</v>
      </c>
      <c r="D1066" s="368" t="s">
        <v>1229</v>
      </c>
      <c r="E1066" s="369" t="s">
        <v>1511</v>
      </c>
      <c r="F1066" s="370">
        <v>102700</v>
      </c>
      <c r="G1066" s="143" t="str">
        <f t="shared" si="18"/>
        <v>0707011004Г040600</v>
      </c>
    </row>
    <row r="1067" spans="1:7" x14ac:dyDescent="0.2">
      <c r="A1067" s="52" t="s">
        <v>1340</v>
      </c>
      <c r="B1067" s="368" t="s">
        <v>220</v>
      </c>
      <c r="C1067" s="368" t="s">
        <v>405</v>
      </c>
      <c r="D1067" s="368" t="s">
        <v>1229</v>
      </c>
      <c r="E1067" s="369" t="s">
        <v>1341</v>
      </c>
      <c r="F1067" s="370">
        <v>102700</v>
      </c>
      <c r="G1067" s="143" t="str">
        <f t="shared" si="18"/>
        <v>0707011004Г040610</v>
      </c>
    </row>
    <row r="1068" spans="1:7" ht="51" x14ac:dyDescent="0.2">
      <c r="A1068" s="52" t="s">
        <v>387</v>
      </c>
      <c r="B1068" s="368" t="s">
        <v>220</v>
      </c>
      <c r="C1068" s="368" t="s">
        <v>405</v>
      </c>
      <c r="D1068" s="368" t="s">
        <v>1229</v>
      </c>
      <c r="E1068" s="369" t="s">
        <v>388</v>
      </c>
      <c r="F1068" s="370">
        <v>102700</v>
      </c>
      <c r="G1068" s="143" t="str">
        <f t="shared" si="18"/>
        <v>0707011004Г040611</v>
      </c>
    </row>
    <row r="1069" spans="1:7" ht="102" x14ac:dyDescent="0.2">
      <c r="A1069" s="52" t="s">
        <v>1230</v>
      </c>
      <c r="B1069" s="368" t="s">
        <v>220</v>
      </c>
      <c r="C1069" s="368" t="s">
        <v>405</v>
      </c>
      <c r="D1069" s="368" t="s">
        <v>1231</v>
      </c>
      <c r="E1069" s="369" t="s">
        <v>1314</v>
      </c>
      <c r="F1069" s="370">
        <v>308700</v>
      </c>
      <c r="G1069" s="143" t="str">
        <f t="shared" si="18"/>
        <v>0707011004Э040</v>
      </c>
    </row>
    <row r="1070" spans="1:7" ht="25.5" x14ac:dyDescent="0.2">
      <c r="A1070" s="52" t="s">
        <v>1510</v>
      </c>
      <c r="B1070" s="368" t="s">
        <v>220</v>
      </c>
      <c r="C1070" s="368" t="s">
        <v>405</v>
      </c>
      <c r="D1070" s="368" t="s">
        <v>1231</v>
      </c>
      <c r="E1070" s="369" t="s">
        <v>1511</v>
      </c>
      <c r="F1070" s="370">
        <v>308700</v>
      </c>
      <c r="G1070" s="143" t="str">
        <f t="shared" si="18"/>
        <v>0707011004Э040600</v>
      </c>
    </row>
    <row r="1071" spans="1:7" x14ac:dyDescent="0.2">
      <c r="A1071" s="52" t="s">
        <v>1340</v>
      </c>
      <c r="B1071" s="368" t="s">
        <v>220</v>
      </c>
      <c r="C1071" s="368" t="s">
        <v>405</v>
      </c>
      <c r="D1071" s="368" t="s">
        <v>1231</v>
      </c>
      <c r="E1071" s="369" t="s">
        <v>1341</v>
      </c>
      <c r="F1071" s="370">
        <v>308700</v>
      </c>
      <c r="G1071" s="143" t="str">
        <f t="shared" si="18"/>
        <v>0707011004Э040610</v>
      </c>
    </row>
    <row r="1072" spans="1:7" ht="51" x14ac:dyDescent="0.2">
      <c r="A1072" s="52" t="s">
        <v>387</v>
      </c>
      <c r="B1072" s="368" t="s">
        <v>220</v>
      </c>
      <c r="C1072" s="368" t="s">
        <v>405</v>
      </c>
      <c r="D1072" s="368" t="s">
        <v>1231</v>
      </c>
      <c r="E1072" s="369" t="s">
        <v>388</v>
      </c>
      <c r="F1072" s="370">
        <v>308700</v>
      </c>
      <c r="G1072" s="143" t="str">
        <f t="shared" si="18"/>
        <v>0707011004Э040611</v>
      </c>
    </row>
    <row r="1073" spans="1:7" ht="63.75" x14ac:dyDescent="0.2">
      <c r="A1073" s="52" t="s">
        <v>1329</v>
      </c>
      <c r="B1073" s="368" t="s">
        <v>220</v>
      </c>
      <c r="C1073" s="368" t="s">
        <v>405</v>
      </c>
      <c r="D1073" s="368" t="s">
        <v>1330</v>
      </c>
      <c r="E1073" s="369" t="s">
        <v>1314</v>
      </c>
      <c r="F1073" s="370">
        <v>11374500</v>
      </c>
      <c r="G1073" s="143" t="str">
        <f t="shared" si="18"/>
        <v>07070110076490</v>
      </c>
    </row>
    <row r="1074" spans="1:7" ht="25.5" x14ac:dyDescent="0.2">
      <c r="A1074" s="52" t="s">
        <v>1510</v>
      </c>
      <c r="B1074" s="368" t="s">
        <v>220</v>
      </c>
      <c r="C1074" s="368" t="s">
        <v>405</v>
      </c>
      <c r="D1074" s="368" t="s">
        <v>1330</v>
      </c>
      <c r="E1074" s="369" t="s">
        <v>1511</v>
      </c>
      <c r="F1074" s="370">
        <v>11374500</v>
      </c>
      <c r="G1074" s="143" t="str">
        <f t="shared" si="18"/>
        <v>07070110076490600</v>
      </c>
    </row>
    <row r="1075" spans="1:7" x14ac:dyDescent="0.2">
      <c r="A1075" s="52" t="s">
        <v>1340</v>
      </c>
      <c r="B1075" s="368" t="s">
        <v>220</v>
      </c>
      <c r="C1075" s="368" t="s">
        <v>405</v>
      </c>
      <c r="D1075" s="368" t="s">
        <v>1330</v>
      </c>
      <c r="E1075" s="369" t="s">
        <v>1341</v>
      </c>
      <c r="F1075" s="370">
        <v>11374500</v>
      </c>
      <c r="G1075" s="143" t="str">
        <f t="shared" si="18"/>
        <v>07070110076490610</v>
      </c>
    </row>
    <row r="1076" spans="1:7" ht="51" x14ac:dyDescent="0.2">
      <c r="A1076" s="52" t="s">
        <v>387</v>
      </c>
      <c r="B1076" s="368" t="s">
        <v>220</v>
      </c>
      <c r="C1076" s="368" t="s">
        <v>405</v>
      </c>
      <c r="D1076" s="368" t="s">
        <v>1330</v>
      </c>
      <c r="E1076" s="369" t="s">
        <v>388</v>
      </c>
      <c r="F1076" s="370">
        <v>11374500</v>
      </c>
      <c r="G1076" s="143" t="str">
        <f t="shared" si="18"/>
        <v>07070110076490611</v>
      </c>
    </row>
    <row r="1077" spans="1:7" ht="63.75" x14ac:dyDescent="0.2">
      <c r="A1077" s="52" t="s">
        <v>433</v>
      </c>
      <c r="B1077" s="368" t="s">
        <v>220</v>
      </c>
      <c r="C1077" s="368" t="s">
        <v>405</v>
      </c>
      <c r="D1077" s="368" t="s">
        <v>833</v>
      </c>
      <c r="E1077" s="369" t="s">
        <v>1314</v>
      </c>
      <c r="F1077" s="370">
        <v>4185690</v>
      </c>
      <c r="G1077" s="143" t="str">
        <f t="shared" si="18"/>
        <v>07070110080030</v>
      </c>
    </row>
    <row r="1078" spans="1:7" ht="25.5" x14ac:dyDescent="0.2">
      <c r="A1078" s="52" t="s">
        <v>1510</v>
      </c>
      <c r="B1078" s="368" t="s">
        <v>220</v>
      </c>
      <c r="C1078" s="368" t="s">
        <v>405</v>
      </c>
      <c r="D1078" s="368" t="s">
        <v>833</v>
      </c>
      <c r="E1078" s="369" t="s">
        <v>1511</v>
      </c>
      <c r="F1078" s="370">
        <v>4185690</v>
      </c>
      <c r="G1078" s="143" t="str">
        <f t="shared" si="18"/>
        <v>07070110080030600</v>
      </c>
    </row>
    <row r="1079" spans="1:7" x14ac:dyDescent="0.2">
      <c r="A1079" s="52" t="s">
        <v>1340</v>
      </c>
      <c r="B1079" s="368" t="s">
        <v>220</v>
      </c>
      <c r="C1079" s="368" t="s">
        <v>405</v>
      </c>
      <c r="D1079" s="368" t="s">
        <v>833</v>
      </c>
      <c r="E1079" s="369" t="s">
        <v>1341</v>
      </c>
      <c r="F1079" s="370">
        <v>4185690</v>
      </c>
      <c r="G1079" s="143" t="str">
        <f t="shared" si="18"/>
        <v>07070110080030610</v>
      </c>
    </row>
    <row r="1080" spans="1:7" ht="51" x14ac:dyDescent="0.2">
      <c r="A1080" s="52" t="s">
        <v>387</v>
      </c>
      <c r="B1080" s="368" t="s">
        <v>220</v>
      </c>
      <c r="C1080" s="368" t="s">
        <v>405</v>
      </c>
      <c r="D1080" s="368" t="s">
        <v>833</v>
      </c>
      <c r="E1080" s="369" t="s">
        <v>388</v>
      </c>
      <c r="F1080" s="370">
        <v>4185690</v>
      </c>
      <c r="G1080" s="143" t="str">
        <f t="shared" si="18"/>
        <v>07070110080030611</v>
      </c>
    </row>
    <row r="1081" spans="1:7" ht="153" x14ac:dyDescent="0.2">
      <c r="A1081" s="52" t="s">
        <v>1693</v>
      </c>
      <c r="B1081" s="368" t="s">
        <v>220</v>
      </c>
      <c r="C1081" s="368" t="s">
        <v>405</v>
      </c>
      <c r="D1081" s="368" t="s">
        <v>831</v>
      </c>
      <c r="E1081" s="369" t="s">
        <v>1314</v>
      </c>
      <c r="F1081" s="370">
        <v>348248</v>
      </c>
      <c r="G1081" s="143" t="str">
        <f t="shared" si="18"/>
        <v>070701100S3970</v>
      </c>
    </row>
    <row r="1082" spans="1:7" ht="25.5" x14ac:dyDescent="0.2">
      <c r="A1082" s="52" t="s">
        <v>1510</v>
      </c>
      <c r="B1082" s="368" t="s">
        <v>220</v>
      </c>
      <c r="C1082" s="368" t="s">
        <v>405</v>
      </c>
      <c r="D1082" s="368" t="s">
        <v>831</v>
      </c>
      <c r="E1082" s="369" t="s">
        <v>1511</v>
      </c>
      <c r="F1082" s="370">
        <v>348248</v>
      </c>
      <c r="G1082" s="143" t="str">
        <f t="shared" si="18"/>
        <v>070701100S3970600</v>
      </c>
    </row>
    <row r="1083" spans="1:7" x14ac:dyDescent="0.2">
      <c r="A1083" s="52" t="s">
        <v>1340</v>
      </c>
      <c r="B1083" s="368" t="s">
        <v>220</v>
      </c>
      <c r="C1083" s="368" t="s">
        <v>405</v>
      </c>
      <c r="D1083" s="368" t="s">
        <v>831</v>
      </c>
      <c r="E1083" s="369" t="s">
        <v>1341</v>
      </c>
      <c r="F1083" s="370">
        <v>348248</v>
      </c>
      <c r="G1083" s="143" t="str">
        <f t="shared" si="18"/>
        <v>070701100S3970610</v>
      </c>
    </row>
    <row r="1084" spans="1:7" ht="51" x14ac:dyDescent="0.2">
      <c r="A1084" s="52" t="s">
        <v>387</v>
      </c>
      <c r="B1084" s="368" t="s">
        <v>220</v>
      </c>
      <c r="C1084" s="368" t="s">
        <v>405</v>
      </c>
      <c r="D1084" s="368" t="s">
        <v>831</v>
      </c>
      <c r="E1084" s="369" t="s">
        <v>388</v>
      </c>
      <c r="F1084" s="370">
        <v>348248</v>
      </c>
      <c r="G1084" s="143" t="str">
        <f t="shared" si="18"/>
        <v>070701100S3970611</v>
      </c>
    </row>
    <row r="1085" spans="1:7" ht="25.5" x14ac:dyDescent="0.2">
      <c r="A1085" s="52" t="s">
        <v>663</v>
      </c>
      <c r="B1085" s="368" t="s">
        <v>220</v>
      </c>
      <c r="C1085" s="368" t="s">
        <v>405</v>
      </c>
      <c r="D1085" s="368" t="s">
        <v>1033</v>
      </c>
      <c r="E1085" s="369" t="s">
        <v>1314</v>
      </c>
      <c r="F1085" s="370">
        <v>273090</v>
      </c>
      <c r="G1085" s="143" t="str">
        <f t="shared" si="18"/>
        <v>07070130000000</v>
      </c>
    </row>
    <row r="1086" spans="1:7" ht="63.75" x14ac:dyDescent="0.2">
      <c r="A1086" s="52" t="s">
        <v>655</v>
      </c>
      <c r="B1086" s="368" t="s">
        <v>220</v>
      </c>
      <c r="C1086" s="368" t="s">
        <v>405</v>
      </c>
      <c r="D1086" s="368" t="s">
        <v>2073</v>
      </c>
      <c r="E1086" s="369" t="s">
        <v>1314</v>
      </c>
      <c r="F1086" s="370">
        <v>73090</v>
      </c>
      <c r="G1086" s="143" t="str">
        <f t="shared" si="18"/>
        <v>07070130080030</v>
      </c>
    </row>
    <row r="1087" spans="1:7" ht="51" x14ac:dyDescent="0.2">
      <c r="A1087" s="52" t="s">
        <v>1501</v>
      </c>
      <c r="B1087" s="368" t="s">
        <v>220</v>
      </c>
      <c r="C1087" s="368" t="s">
        <v>405</v>
      </c>
      <c r="D1087" s="368" t="s">
        <v>2073</v>
      </c>
      <c r="E1087" s="369" t="s">
        <v>290</v>
      </c>
      <c r="F1087" s="370">
        <v>69590</v>
      </c>
      <c r="G1087" s="143" t="str">
        <f t="shared" si="18"/>
        <v>07070130080030100</v>
      </c>
    </row>
    <row r="1088" spans="1:7" x14ac:dyDescent="0.2">
      <c r="A1088" s="52" t="s">
        <v>1331</v>
      </c>
      <c r="B1088" s="368" t="s">
        <v>220</v>
      </c>
      <c r="C1088" s="368" t="s">
        <v>405</v>
      </c>
      <c r="D1088" s="368" t="s">
        <v>2073</v>
      </c>
      <c r="E1088" s="369" t="s">
        <v>140</v>
      </c>
      <c r="F1088" s="370">
        <v>69590</v>
      </c>
      <c r="G1088" s="143" t="str">
        <f t="shared" si="18"/>
        <v>07070130080030110</v>
      </c>
    </row>
    <row r="1089" spans="1:7" x14ac:dyDescent="0.2">
      <c r="A1089" s="52" t="s">
        <v>1216</v>
      </c>
      <c r="B1089" s="368" t="s">
        <v>220</v>
      </c>
      <c r="C1089" s="368" t="s">
        <v>405</v>
      </c>
      <c r="D1089" s="368" t="s">
        <v>2073</v>
      </c>
      <c r="E1089" s="369" t="s">
        <v>382</v>
      </c>
      <c r="F1089" s="370">
        <v>53449</v>
      </c>
      <c r="G1089" s="143" t="str">
        <f t="shared" si="18"/>
        <v>07070130080030111</v>
      </c>
    </row>
    <row r="1090" spans="1:7" ht="38.25" x14ac:dyDescent="0.2">
      <c r="A1090" s="52" t="s">
        <v>1217</v>
      </c>
      <c r="B1090" s="368" t="s">
        <v>220</v>
      </c>
      <c r="C1090" s="368" t="s">
        <v>405</v>
      </c>
      <c r="D1090" s="368" t="s">
        <v>2073</v>
      </c>
      <c r="E1090" s="369" t="s">
        <v>1117</v>
      </c>
      <c r="F1090" s="370">
        <v>16141</v>
      </c>
      <c r="G1090" s="143" t="str">
        <f t="shared" si="18"/>
        <v>07070130080030119</v>
      </c>
    </row>
    <row r="1091" spans="1:7" ht="25.5" x14ac:dyDescent="0.2">
      <c r="A1091" s="52" t="s">
        <v>1502</v>
      </c>
      <c r="B1091" s="368" t="s">
        <v>220</v>
      </c>
      <c r="C1091" s="368" t="s">
        <v>405</v>
      </c>
      <c r="D1091" s="368" t="s">
        <v>2073</v>
      </c>
      <c r="E1091" s="369" t="s">
        <v>1503</v>
      </c>
      <c r="F1091" s="370">
        <v>3500</v>
      </c>
      <c r="G1091" s="143" t="str">
        <f t="shared" si="18"/>
        <v>07070130080030200</v>
      </c>
    </row>
    <row r="1092" spans="1:7" ht="25.5" x14ac:dyDescent="0.2">
      <c r="A1092" s="52" t="s">
        <v>1338</v>
      </c>
      <c r="B1092" s="368" t="s">
        <v>220</v>
      </c>
      <c r="C1092" s="368" t="s">
        <v>405</v>
      </c>
      <c r="D1092" s="368" t="s">
        <v>2073</v>
      </c>
      <c r="E1092" s="369" t="s">
        <v>1339</v>
      </c>
      <c r="F1092" s="370">
        <v>3500</v>
      </c>
      <c r="G1092" s="143" t="str">
        <f t="shared" si="18"/>
        <v>07070130080030240</v>
      </c>
    </row>
    <row r="1093" spans="1:7" x14ac:dyDescent="0.2">
      <c r="A1093" s="52" t="s">
        <v>1379</v>
      </c>
      <c r="B1093" s="368" t="s">
        <v>220</v>
      </c>
      <c r="C1093" s="368" t="s">
        <v>405</v>
      </c>
      <c r="D1093" s="368" t="s">
        <v>2073</v>
      </c>
      <c r="E1093" s="369" t="s">
        <v>368</v>
      </c>
      <c r="F1093" s="370">
        <v>3500</v>
      </c>
      <c r="G1093" s="143" t="str">
        <f t="shared" si="18"/>
        <v>07070130080030244</v>
      </c>
    </row>
    <row r="1094" spans="1:7" ht="76.5" x14ac:dyDescent="0.2">
      <c r="A1094" s="52" t="s">
        <v>656</v>
      </c>
      <c r="B1094" s="368" t="s">
        <v>220</v>
      </c>
      <c r="C1094" s="368" t="s">
        <v>405</v>
      </c>
      <c r="D1094" s="368" t="s">
        <v>2074</v>
      </c>
      <c r="E1094" s="369" t="s">
        <v>1314</v>
      </c>
      <c r="F1094" s="370">
        <v>200000</v>
      </c>
      <c r="G1094" s="143" t="str">
        <f t="shared" si="18"/>
        <v>0707013008П030</v>
      </c>
    </row>
    <row r="1095" spans="1:7" ht="25.5" x14ac:dyDescent="0.2">
      <c r="A1095" s="52" t="s">
        <v>1502</v>
      </c>
      <c r="B1095" s="368" t="s">
        <v>220</v>
      </c>
      <c r="C1095" s="368" t="s">
        <v>405</v>
      </c>
      <c r="D1095" s="368" t="s">
        <v>2074</v>
      </c>
      <c r="E1095" s="369" t="s">
        <v>1503</v>
      </c>
      <c r="F1095" s="370">
        <v>200000</v>
      </c>
      <c r="G1095" s="143" t="str">
        <f t="shared" si="18"/>
        <v>0707013008П030200</v>
      </c>
    </row>
    <row r="1096" spans="1:7" ht="25.5" x14ac:dyDescent="0.2">
      <c r="A1096" s="52" t="s">
        <v>1338</v>
      </c>
      <c r="B1096" s="368" t="s">
        <v>220</v>
      </c>
      <c r="C1096" s="368" t="s">
        <v>405</v>
      </c>
      <c r="D1096" s="368" t="s">
        <v>2074</v>
      </c>
      <c r="E1096" s="369" t="s">
        <v>1339</v>
      </c>
      <c r="F1096" s="370">
        <v>200000</v>
      </c>
      <c r="G1096" s="143" t="str">
        <f t="shared" si="18"/>
        <v>0707013008П030240</v>
      </c>
    </row>
    <row r="1097" spans="1:7" x14ac:dyDescent="0.2">
      <c r="A1097" s="52" t="s">
        <v>1379</v>
      </c>
      <c r="B1097" s="368" t="s">
        <v>220</v>
      </c>
      <c r="C1097" s="368" t="s">
        <v>405</v>
      </c>
      <c r="D1097" s="368" t="s">
        <v>2074</v>
      </c>
      <c r="E1097" s="369" t="s">
        <v>368</v>
      </c>
      <c r="F1097" s="370">
        <v>200000</v>
      </c>
      <c r="G1097" s="143" t="str">
        <f t="shared" si="18"/>
        <v>0707013008П030244</v>
      </c>
    </row>
    <row r="1098" spans="1:7" x14ac:dyDescent="0.2">
      <c r="A1098" s="52" t="s">
        <v>4</v>
      </c>
      <c r="B1098" s="368" t="s">
        <v>220</v>
      </c>
      <c r="C1098" s="368" t="s">
        <v>460</v>
      </c>
      <c r="D1098" s="368" t="s">
        <v>1314</v>
      </c>
      <c r="E1098" s="369" t="s">
        <v>1314</v>
      </c>
      <c r="F1098" s="370">
        <v>83210714</v>
      </c>
      <c r="G1098" s="143" t="str">
        <f t="shared" si="18"/>
        <v>0709</v>
      </c>
    </row>
    <row r="1099" spans="1:7" ht="25.5" x14ac:dyDescent="0.2">
      <c r="A1099" s="52" t="s">
        <v>483</v>
      </c>
      <c r="B1099" s="368" t="s">
        <v>220</v>
      </c>
      <c r="C1099" s="368" t="s">
        <v>460</v>
      </c>
      <c r="D1099" s="368" t="s">
        <v>1031</v>
      </c>
      <c r="E1099" s="369" t="s">
        <v>1314</v>
      </c>
      <c r="F1099" s="370">
        <v>83210714</v>
      </c>
      <c r="G1099" s="143" t="str">
        <f t="shared" si="18"/>
        <v>07090100000000</v>
      </c>
    </row>
    <row r="1100" spans="1:7" ht="25.5" x14ac:dyDescent="0.2">
      <c r="A1100" s="52" t="s">
        <v>484</v>
      </c>
      <c r="B1100" s="368" t="s">
        <v>220</v>
      </c>
      <c r="C1100" s="368" t="s">
        <v>460</v>
      </c>
      <c r="D1100" s="368" t="s">
        <v>1032</v>
      </c>
      <c r="E1100" s="369" t="s">
        <v>1314</v>
      </c>
      <c r="F1100" s="370">
        <v>220000</v>
      </c>
      <c r="G1100" s="143" t="str">
        <f t="shared" si="18"/>
        <v>07090110000000</v>
      </c>
    </row>
    <row r="1101" spans="1:7" ht="63.75" x14ac:dyDescent="0.2">
      <c r="A1101" s="52" t="s">
        <v>451</v>
      </c>
      <c r="B1101" s="368" t="s">
        <v>220</v>
      </c>
      <c r="C1101" s="368" t="s">
        <v>460</v>
      </c>
      <c r="D1101" s="368" t="s">
        <v>818</v>
      </c>
      <c r="E1101" s="369" t="s">
        <v>1314</v>
      </c>
      <c r="F1101" s="370">
        <v>220000</v>
      </c>
      <c r="G1101" s="143" t="str">
        <f t="shared" si="18"/>
        <v>07090110080020</v>
      </c>
    </row>
    <row r="1102" spans="1:7" ht="25.5" x14ac:dyDescent="0.2">
      <c r="A1102" s="52" t="s">
        <v>1502</v>
      </c>
      <c r="B1102" s="368" t="s">
        <v>220</v>
      </c>
      <c r="C1102" s="368" t="s">
        <v>460</v>
      </c>
      <c r="D1102" s="368" t="s">
        <v>818</v>
      </c>
      <c r="E1102" s="369" t="s">
        <v>1503</v>
      </c>
      <c r="F1102" s="370">
        <v>220000</v>
      </c>
      <c r="G1102" s="143" t="str">
        <f t="shared" si="18"/>
        <v>07090110080020200</v>
      </c>
    </row>
    <row r="1103" spans="1:7" ht="25.5" x14ac:dyDescent="0.2">
      <c r="A1103" s="52" t="s">
        <v>1338</v>
      </c>
      <c r="B1103" s="368" t="s">
        <v>220</v>
      </c>
      <c r="C1103" s="368" t="s">
        <v>460</v>
      </c>
      <c r="D1103" s="368" t="s">
        <v>818</v>
      </c>
      <c r="E1103" s="369" t="s">
        <v>1339</v>
      </c>
      <c r="F1103" s="370">
        <v>220000</v>
      </c>
      <c r="G1103" s="143" t="str">
        <f t="shared" si="18"/>
        <v>07090110080020240</v>
      </c>
    </row>
    <row r="1104" spans="1:7" x14ac:dyDescent="0.2">
      <c r="A1104" s="52" t="s">
        <v>1379</v>
      </c>
      <c r="B1104" s="368" t="s">
        <v>220</v>
      </c>
      <c r="C1104" s="368" t="s">
        <v>460</v>
      </c>
      <c r="D1104" s="368" t="s">
        <v>818</v>
      </c>
      <c r="E1104" s="369" t="s">
        <v>368</v>
      </c>
      <c r="F1104" s="370">
        <v>220000</v>
      </c>
      <c r="G1104" s="143" t="str">
        <f t="shared" si="18"/>
        <v>07090110080020244</v>
      </c>
    </row>
    <row r="1105" spans="1:7" ht="38.25" x14ac:dyDescent="0.2">
      <c r="A1105" s="52" t="s">
        <v>486</v>
      </c>
      <c r="B1105" s="368" t="s">
        <v>220</v>
      </c>
      <c r="C1105" s="368" t="s">
        <v>460</v>
      </c>
      <c r="D1105" s="368" t="s">
        <v>1211</v>
      </c>
      <c r="E1105" s="369" t="s">
        <v>1314</v>
      </c>
      <c r="F1105" s="370">
        <v>6045800</v>
      </c>
      <c r="G1105" s="143" t="str">
        <f t="shared" si="18"/>
        <v>07090120000000</v>
      </c>
    </row>
    <row r="1106" spans="1:7" ht="89.25" x14ac:dyDescent="0.2">
      <c r="A1106" s="52" t="s">
        <v>461</v>
      </c>
      <c r="B1106" s="368" t="s">
        <v>220</v>
      </c>
      <c r="C1106" s="368" t="s">
        <v>460</v>
      </c>
      <c r="D1106" s="368" t="s">
        <v>1203</v>
      </c>
      <c r="E1106" s="369" t="s">
        <v>1314</v>
      </c>
      <c r="F1106" s="370">
        <v>6045800</v>
      </c>
      <c r="G1106" s="143" t="str">
        <f t="shared" si="18"/>
        <v>07090120075520</v>
      </c>
    </row>
    <row r="1107" spans="1:7" ht="51" x14ac:dyDescent="0.2">
      <c r="A1107" s="52" t="s">
        <v>1501</v>
      </c>
      <c r="B1107" s="368" t="s">
        <v>220</v>
      </c>
      <c r="C1107" s="368" t="s">
        <v>460</v>
      </c>
      <c r="D1107" s="368" t="s">
        <v>1203</v>
      </c>
      <c r="E1107" s="369" t="s">
        <v>290</v>
      </c>
      <c r="F1107" s="370">
        <v>4994006</v>
      </c>
      <c r="G1107" s="143" t="str">
        <f t="shared" si="18"/>
        <v>07090120075520100</v>
      </c>
    </row>
    <row r="1108" spans="1:7" ht="25.5" x14ac:dyDescent="0.2">
      <c r="A1108" s="52" t="s">
        <v>1345</v>
      </c>
      <c r="B1108" s="368" t="s">
        <v>220</v>
      </c>
      <c r="C1108" s="368" t="s">
        <v>460</v>
      </c>
      <c r="D1108" s="368" t="s">
        <v>1203</v>
      </c>
      <c r="E1108" s="369" t="s">
        <v>30</v>
      </c>
      <c r="F1108" s="370">
        <v>4994006</v>
      </c>
      <c r="G1108" s="143" t="str">
        <f t="shared" si="18"/>
        <v>07090120075520120</v>
      </c>
    </row>
    <row r="1109" spans="1:7" ht="25.5" x14ac:dyDescent="0.2">
      <c r="A1109" s="52" t="s">
        <v>1010</v>
      </c>
      <c r="B1109" s="368" t="s">
        <v>220</v>
      </c>
      <c r="C1109" s="368" t="s">
        <v>460</v>
      </c>
      <c r="D1109" s="368" t="s">
        <v>1203</v>
      </c>
      <c r="E1109" s="369" t="s">
        <v>363</v>
      </c>
      <c r="F1109" s="370">
        <v>3585675</v>
      </c>
      <c r="G1109" s="143" t="str">
        <f t="shared" si="18"/>
        <v>07090120075520121</v>
      </c>
    </row>
    <row r="1110" spans="1:7" ht="38.25" x14ac:dyDescent="0.2">
      <c r="A1110" s="52" t="s">
        <v>364</v>
      </c>
      <c r="B1110" s="368" t="s">
        <v>220</v>
      </c>
      <c r="C1110" s="368" t="s">
        <v>460</v>
      </c>
      <c r="D1110" s="368" t="s">
        <v>1203</v>
      </c>
      <c r="E1110" s="369" t="s">
        <v>365</v>
      </c>
      <c r="F1110" s="370">
        <v>331081</v>
      </c>
      <c r="G1110" s="143" t="str">
        <f t="shared" si="18"/>
        <v>07090120075520122</v>
      </c>
    </row>
    <row r="1111" spans="1:7" ht="38.25" x14ac:dyDescent="0.2">
      <c r="A1111" s="52" t="s">
        <v>1115</v>
      </c>
      <c r="B1111" s="368" t="s">
        <v>220</v>
      </c>
      <c r="C1111" s="368" t="s">
        <v>460</v>
      </c>
      <c r="D1111" s="368" t="s">
        <v>1203</v>
      </c>
      <c r="E1111" s="369" t="s">
        <v>1116</v>
      </c>
      <c r="F1111" s="370">
        <v>1077250</v>
      </c>
      <c r="G1111" s="143" t="str">
        <f t="shared" si="18"/>
        <v>07090120075520129</v>
      </c>
    </row>
    <row r="1112" spans="1:7" ht="25.5" x14ac:dyDescent="0.2">
      <c r="A1112" s="52" t="s">
        <v>1502</v>
      </c>
      <c r="B1112" s="368" t="s">
        <v>220</v>
      </c>
      <c r="C1112" s="368" t="s">
        <v>460</v>
      </c>
      <c r="D1112" s="368" t="s">
        <v>1203</v>
      </c>
      <c r="E1112" s="369" t="s">
        <v>1503</v>
      </c>
      <c r="F1112" s="370">
        <v>1051794</v>
      </c>
      <c r="G1112" s="143" t="str">
        <f t="shared" si="18"/>
        <v>07090120075520200</v>
      </c>
    </row>
    <row r="1113" spans="1:7" ht="25.5" x14ac:dyDescent="0.2">
      <c r="A1113" s="52" t="s">
        <v>1338</v>
      </c>
      <c r="B1113" s="368" t="s">
        <v>220</v>
      </c>
      <c r="C1113" s="368" t="s">
        <v>460</v>
      </c>
      <c r="D1113" s="368" t="s">
        <v>1203</v>
      </c>
      <c r="E1113" s="369" t="s">
        <v>1339</v>
      </c>
      <c r="F1113" s="370">
        <v>1051794</v>
      </c>
      <c r="G1113" s="143" t="str">
        <f t="shared" si="18"/>
        <v>07090120075520240</v>
      </c>
    </row>
    <row r="1114" spans="1:7" x14ac:dyDescent="0.2">
      <c r="A1114" s="52" t="s">
        <v>1379</v>
      </c>
      <c r="B1114" s="368" t="s">
        <v>220</v>
      </c>
      <c r="C1114" s="368" t="s">
        <v>460</v>
      </c>
      <c r="D1114" s="368" t="s">
        <v>1203</v>
      </c>
      <c r="E1114" s="369" t="s">
        <v>368</v>
      </c>
      <c r="F1114" s="370">
        <v>1051794</v>
      </c>
      <c r="G1114" s="143" t="str">
        <f t="shared" si="18"/>
        <v>07090120075520244</v>
      </c>
    </row>
    <row r="1115" spans="1:7" ht="25.5" x14ac:dyDescent="0.2">
      <c r="A1115" s="52" t="s">
        <v>663</v>
      </c>
      <c r="B1115" s="368" t="s">
        <v>220</v>
      </c>
      <c r="C1115" s="368" t="s">
        <v>460</v>
      </c>
      <c r="D1115" s="368" t="s">
        <v>1033</v>
      </c>
      <c r="E1115" s="369" t="s">
        <v>1314</v>
      </c>
      <c r="F1115" s="370">
        <v>76944914</v>
      </c>
      <c r="G1115" s="143" t="str">
        <f t="shared" si="18"/>
        <v>07090130000000</v>
      </c>
    </row>
    <row r="1116" spans="1:7" ht="63.75" x14ac:dyDescent="0.2">
      <c r="A1116" s="52" t="s">
        <v>657</v>
      </c>
      <c r="B1116" s="368" t="s">
        <v>220</v>
      </c>
      <c r="C1116" s="368" t="s">
        <v>460</v>
      </c>
      <c r="D1116" s="368" t="s">
        <v>1204</v>
      </c>
      <c r="E1116" s="369" t="s">
        <v>1314</v>
      </c>
      <c r="F1116" s="370">
        <v>50432000</v>
      </c>
      <c r="G1116" s="143" t="str">
        <f t="shared" si="18"/>
        <v>07090130040000</v>
      </c>
    </row>
    <row r="1117" spans="1:7" ht="51" x14ac:dyDescent="0.2">
      <c r="A1117" s="52" t="s">
        <v>1501</v>
      </c>
      <c r="B1117" s="368" t="s">
        <v>220</v>
      </c>
      <c r="C1117" s="368" t="s">
        <v>460</v>
      </c>
      <c r="D1117" s="368" t="s">
        <v>1204</v>
      </c>
      <c r="E1117" s="369" t="s">
        <v>290</v>
      </c>
      <c r="F1117" s="370">
        <v>47012000</v>
      </c>
      <c r="G1117" s="143" t="str">
        <f t="shared" si="18"/>
        <v>07090130040000100</v>
      </c>
    </row>
    <row r="1118" spans="1:7" x14ac:dyDescent="0.2">
      <c r="A1118" s="52" t="s">
        <v>1331</v>
      </c>
      <c r="B1118" s="368" t="s">
        <v>220</v>
      </c>
      <c r="C1118" s="368" t="s">
        <v>460</v>
      </c>
      <c r="D1118" s="368" t="s">
        <v>1204</v>
      </c>
      <c r="E1118" s="369" t="s">
        <v>140</v>
      </c>
      <c r="F1118" s="370">
        <v>47012000</v>
      </c>
      <c r="G1118" s="143" t="str">
        <f t="shared" si="18"/>
        <v>07090130040000110</v>
      </c>
    </row>
    <row r="1119" spans="1:7" x14ac:dyDescent="0.2">
      <c r="A1119" s="52" t="s">
        <v>1216</v>
      </c>
      <c r="B1119" s="368" t="s">
        <v>220</v>
      </c>
      <c r="C1119" s="368" t="s">
        <v>460</v>
      </c>
      <c r="D1119" s="368" t="s">
        <v>1204</v>
      </c>
      <c r="E1119" s="369" t="s">
        <v>382</v>
      </c>
      <c r="F1119" s="370">
        <v>36000000</v>
      </c>
      <c r="G1119" s="143" t="str">
        <f t="shared" si="18"/>
        <v>07090130040000111</v>
      </c>
    </row>
    <row r="1120" spans="1:7" ht="25.5" x14ac:dyDescent="0.2">
      <c r="A1120" s="52" t="s">
        <v>1225</v>
      </c>
      <c r="B1120" s="368" t="s">
        <v>220</v>
      </c>
      <c r="C1120" s="368" t="s">
        <v>460</v>
      </c>
      <c r="D1120" s="368" t="s">
        <v>1204</v>
      </c>
      <c r="E1120" s="369" t="s">
        <v>431</v>
      </c>
      <c r="F1120" s="370">
        <v>140000</v>
      </c>
      <c r="G1120" s="143" t="str">
        <f t="shared" si="18"/>
        <v>07090130040000112</v>
      </c>
    </row>
    <row r="1121" spans="1:7" ht="38.25" x14ac:dyDescent="0.2">
      <c r="A1121" s="52" t="s">
        <v>1217</v>
      </c>
      <c r="B1121" s="368" t="s">
        <v>220</v>
      </c>
      <c r="C1121" s="368" t="s">
        <v>460</v>
      </c>
      <c r="D1121" s="368" t="s">
        <v>1204</v>
      </c>
      <c r="E1121" s="369" t="s">
        <v>1117</v>
      </c>
      <c r="F1121" s="370">
        <v>10872000</v>
      </c>
      <c r="G1121" s="143" t="str">
        <f t="shared" si="18"/>
        <v>07090130040000119</v>
      </c>
    </row>
    <row r="1122" spans="1:7" ht="25.5" x14ac:dyDescent="0.2">
      <c r="A1122" s="52" t="s">
        <v>1502</v>
      </c>
      <c r="B1122" s="368" t="s">
        <v>220</v>
      </c>
      <c r="C1122" s="368" t="s">
        <v>460</v>
      </c>
      <c r="D1122" s="368" t="s">
        <v>1204</v>
      </c>
      <c r="E1122" s="369" t="s">
        <v>1503</v>
      </c>
      <c r="F1122" s="370">
        <v>3420000</v>
      </c>
      <c r="G1122" s="143" t="str">
        <f t="shared" si="18"/>
        <v>07090130040000200</v>
      </c>
    </row>
    <row r="1123" spans="1:7" ht="25.5" x14ac:dyDescent="0.2">
      <c r="A1123" s="52" t="s">
        <v>1338</v>
      </c>
      <c r="B1123" s="368" t="s">
        <v>220</v>
      </c>
      <c r="C1123" s="368" t="s">
        <v>460</v>
      </c>
      <c r="D1123" s="368" t="s">
        <v>1204</v>
      </c>
      <c r="E1123" s="369" t="s">
        <v>1339</v>
      </c>
      <c r="F1123" s="370">
        <v>3420000</v>
      </c>
      <c r="G1123" s="143" t="str">
        <f t="shared" si="18"/>
        <v>07090130040000240</v>
      </c>
    </row>
    <row r="1124" spans="1:7" x14ac:dyDescent="0.2">
      <c r="A1124" s="52" t="s">
        <v>1379</v>
      </c>
      <c r="B1124" s="368" t="s">
        <v>220</v>
      </c>
      <c r="C1124" s="368" t="s">
        <v>460</v>
      </c>
      <c r="D1124" s="368" t="s">
        <v>1204</v>
      </c>
      <c r="E1124" s="369" t="s">
        <v>368</v>
      </c>
      <c r="F1124" s="370">
        <v>3420000</v>
      </c>
      <c r="G1124" s="143" t="str">
        <f t="shared" si="18"/>
        <v>07090130040000244</v>
      </c>
    </row>
    <row r="1125" spans="1:7" ht="76.5" x14ac:dyDescent="0.2">
      <c r="A1125" s="52" t="s">
        <v>658</v>
      </c>
      <c r="B1125" s="368" t="s">
        <v>220</v>
      </c>
      <c r="C1125" s="368" t="s">
        <v>460</v>
      </c>
      <c r="D1125" s="368" t="s">
        <v>1210</v>
      </c>
      <c r="E1125" s="369" t="s">
        <v>1314</v>
      </c>
      <c r="F1125" s="370">
        <v>1148364</v>
      </c>
      <c r="G1125" s="143" t="str">
        <f t="shared" si="18"/>
        <v>07090130040050</v>
      </c>
    </row>
    <row r="1126" spans="1:7" ht="51" x14ac:dyDescent="0.2">
      <c r="A1126" s="52" t="s">
        <v>1501</v>
      </c>
      <c r="B1126" s="368" t="s">
        <v>220</v>
      </c>
      <c r="C1126" s="368" t="s">
        <v>460</v>
      </c>
      <c r="D1126" s="368" t="s">
        <v>1210</v>
      </c>
      <c r="E1126" s="369" t="s">
        <v>290</v>
      </c>
      <c r="F1126" s="370">
        <v>1148364</v>
      </c>
      <c r="G1126" s="143" t="str">
        <f t="shared" si="18"/>
        <v>07090130040050100</v>
      </c>
    </row>
    <row r="1127" spans="1:7" x14ac:dyDescent="0.2">
      <c r="A1127" s="52" t="s">
        <v>1331</v>
      </c>
      <c r="B1127" s="368" t="s">
        <v>220</v>
      </c>
      <c r="C1127" s="368" t="s">
        <v>460</v>
      </c>
      <c r="D1127" s="368" t="s">
        <v>1210</v>
      </c>
      <c r="E1127" s="369" t="s">
        <v>140</v>
      </c>
      <c r="F1127" s="370">
        <v>1148364</v>
      </c>
      <c r="G1127" s="143" t="str">
        <f t="shared" si="18"/>
        <v>07090130040050110</v>
      </c>
    </row>
    <row r="1128" spans="1:7" x14ac:dyDescent="0.2">
      <c r="A1128" s="52" t="s">
        <v>1216</v>
      </c>
      <c r="B1128" s="368" t="s">
        <v>220</v>
      </c>
      <c r="C1128" s="368" t="s">
        <v>460</v>
      </c>
      <c r="D1128" s="368" t="s">
        <v>1210</v>
      </c>
      <c r="E1128" s="369" t="s">
        <v>382</v>
      </c>
      <c r="F1128" s="370">
        <v>882000</v>
      </c>
      <c r="G1128" s="143" t="str">
        <f t="shared" si="18"/>
        <v>07090130040050111</v>
      </c>
    </row>
    <row r="1129" spans="1:7" ht="38.25" x14ac:dyDescent="0.2">
      <c r="A1129" s="52" t="s">
        <v>1217</v>
      </c>
      <c r="B1129" s="368" t="s">
        <v>220</v>
      </c>
      <c r="C1129" s="368" t="s">
        <v>460</v>
      </c>
      <c r="D1129" s="368" t="s">
        <v>1210</v>
      </c>
      <c r="E1129" s="369" t="s">
        <v>1117</v>
      </c>
      <c r="F1129" s="370">
        <v>266364</v>
      </c>
      <c r="G1129" s="143" t="str">
        <f t="shared" ref="G1129:G1192" si="19">CONCATENATE(C1129,D1129,E1129)</f>
        <v>07090130040050119</v>
      </c>
    </row>
    <row r="1130" spans="1:7" ht="102" x14ac:dyDescent="0.2">
      <c r="A1130" s="52" t="s">
        <v>670</v>
      </c>
      <c r="B1130" s="368" t="s">
        <v>220</v>
      </c>
      <c r="C1130" s="368" t="s">
        <v>460</v>
      </c>
      <c r="D1130" s="368" t="s">
        <v>1205</v>
      </c>
      <c r="E1130" s="369" t="s">
        <v>1314</v>
      </c>
      <c r="F1130" s="370">
        <v>14322000</v>
      </c>
      <c r="G1130" s="143" t="str">
        <f t="shared" si="19"/>
        <v>07090130041000</v>
      </c>
    </row>
    <row r="1131" spans="1:7" ht="51" x14ac:dyDescent="0.2">
      <c r="A1131" s="52" t="s">
        <v>1501</v>
      </c>
      <c r="B1131" s="368" t="s">
        <v>220</v>
      </c>
      <c r="C1131" s="368" t="s">
        <v>460</v>
      </c>
      <c r="D1131" s="368" t="s">
        <v>1205</v>
      </c>
      <c r="E1131" s="369" t="s">
        <v>290</v>
      </c>
      <c r="F1131" s="370">
        <v>14322000</v>
      </c>
      <c r="G1131" s="143" t="str">
        <f t="shared" si="19"/>
        <v>07090130041000100</v>
      </c>
    </row>
    <row r="1132" spans="1:7" x14ac:dyDescent="0.2">
      <c r="A1132" s="52" t="s">
        <v>1331</v>
      </c>
      <c r="B1132" s="368" t="s">
        <v>220</v>
      </c>
      <c r="C1132" s="368" t="s">
        <v>460</v>
      </c>
      <c r="D1132" s="368" t="s">
        <v>1205</v>
      </c>
      <c r="E1132" s="369" t="s">
        <v>140</v>
      </c>
      <c r="F1132" s="370">
        <v>14322000</v>
      </c>
      <c r="G1132" s="143" t="str">
        <f t="shared" si="19"/>
        <v>07090130041000110</v>
      </c>
    </row>
    <row r="1133" spans="1:7" x14ac:dyDescent="0.2">
      <c r="A1133" s="52" t="s">
        <v>1216</v>
      </c>
      <c r="B1133" s="368" t="s">
        <v>220</v>
      </c>
      <c r="C1133" s="368" t="s">
        <v>460</v>
      </c>
      <c r="D1133" s="368" t="s">
        <v>1205</v>
      </c>
      <c r="E1133" s="369" t="s">
        <v>382</v>
      </c>
      <c r="F1133" s="370">
        <v>11000000</v>
      </c>
      <c r="G1133" s="143" t="str">
        <f t="shared" si="19"/>
        <v>07090130041000111</v>
      </c>
    </row>
    <row r="1134" spans="1:7" ht="38.25" x14ac:dyDescent="0.2">
      <c r="A1134" s="52" t="s">
        <v>1217</v>
      </c>
      <c r="B1134" s="368" t="s">
        <v>220</v>
      </c>
      <c r="C1134" s="368" t="s">
        <v>460</v>
      </c>
      <c r="D1134" s="368" t="s">
        <v>1205</v>
      </c>
      <c r="E1134" s="369" t="s">
        <v>1117</v>
      </c>
      <c r="F1134" s="370">
        <v>3322000</v>
      </c>
      <c r="G1134" s="143" t="str">
        <f t="shared" si="19"/>
        <v>07090130041000119</v>
      </c>
    </row>
    <row r="1135" spans="1:7" ht="76.5" x14ac:dyDescent="0.2">
      <c r="A1135" s="52" t="s">
        <v>659</v>
      </c>
      <c r="B1135" s="368" t="s">
        <v>220</v>
      </c>
      <c r="C1135" s="368" t="s">
        <v>460</v>
      </c>
      <c r="D1135" s="368" t="s">
        <v>1206</v>
      </c>
      <c r="E1135" s="369" t="s">
        <v>1314</v>
      </c>
      <c r="F1135" s="370">
        <v>450000</v>
      </c>
      <c r="G1135" s="143" t="str">
        <f t="shared" si="19"/>
        <v>07090130047000</v>
      </c>
    </row>
    <row r="1136" spans="1:7" ht="51" x14ac:dyDescent="0.2">
      <c r="A1136" s="52" t="s">
        <v>1501</v>
      </c>
      <c r="B1136" s="368" t="s">
        <v>220</v>
      </c>
      <c r="C1136" s="368" t="s">
        <v>460</v>
      </c>
      <c r="D1136" s="368" t="s">
        <v>1206</v>
      </c>
      <c r="E1136" s="369" t="s">
        <v>290</v>
      </c>
      <c r="F1136" s="370">
        <v>450000</v>
      </c>
      <c r="G1136" s="143" t="str">
        <f t="shared" si="19"/>
        <v>07090130047000100</v>
      </c>
    </row>
    <row r="1137" spans="1:7" x14ac:dyDescent="0.2">
      <c r="A1137" s="52" t="s">
        <v>1331</v>
      </c>
      <c r="B1137" s="368" t="s">
        <v>220</v>
      </c>
      <c r="C1137" s="368" t="s">
        <v>460</v>
      </c>
      <c r="D1137" s="368" t="s">
        <v>1206</v>
      </c>
      <c r="E1137" s="369" t="s">
        <v>140</v>
      </c>
      <c r="F1137" s="370">
        <v>450000</v>
      </c>
      <c r="G1137" s="143" t="str">
        <f t="shared" si="19"/>
        <v>07090130047000110</v>
      </c>
    </row>
    <row r="1138" spans="1:7" ht="25.5" x14ac:dyDescent="0.2">
      <c r="A1138" s="52" t="s">
        <v>1225</v>
      </c>
      <c r="B1138" s="368" t="s">
        <v>220</v>
      </c>
      <c r="C1138" s="368" t="s">
        <v>460</v>
      </c>
      <c r="D1138" s="368" t="s">
        <v>1206</v>
      </c>
      <c r="E1138" s="369" t="s">
        <v>431</v>
      </c>
      <c r="F1138" s="370">
        <v>450000</v>
      </c>
      <c r="G1138" s="143" t="str">
        <f t="shared" si="19"/>
        <v>07090130047000112</v>
      </c>
    </row>
    <row r="1139" spans="1:7" ht="63.75" x14ac:dyDescent="0.2">
      <c r="A1139" s="52" t="s">
        <v>660</v>
      </c>
      <c r="B1139" s="368" t="s">
        <v>220</v>
      </c>
      <c r="C1139" s="368" t="s">
        <v>460</v>
      </c>
      <c r="D1139" s="368" t="s">
        <v>1207</v>
      </c>
      <c r="E1139" s="369" t="s">
        <v>1314</v>
      </c>
      <c r="F1139" s="370">
        <v>423000</v>
      </c>
      <c r="G1139" s="143" t="str">
        <f t="shared" si="19"/>
        <v>0709013004Г000</v>
      </c>
    </row>
    <row r="1140" spans="1:7" ht="25.5" x14ac:dyDescent="0.2">
      <c r="A1140" s="52" t="s">
        <v>1502</v>
      </c>
      <c r="B1140" s="368" t="s">
        <v>220</v>
      </c>
      <c r="C1140" s="368" t="s">
        <v>460</v>
      </c>
      <c r="D1140" s="368" t="s">
        <v>1207</v>
      </c>
      <c r="E1140" s="369" t="s">
        <v>1503</v>
      </c>
      <c r="F1140" s="370">
        <v>423000</v>
      </c>
      <c r="G1140" s="143" t="str">
        <f t="shared" si="19"/>
        <v>0709013004Г000200</v>
      </c>
    </row>
    <row r="1141" spans="1:7" ht="25.5" x14ac:dyDescent="0.2">
      <c r="A1141" s="52" t="s">
        <v>1338</v>
      </c>
      <c r="B1141" s="368" t="s">
        <v>220</v>
      </c>
      <c r="C1141" s="368" t="s">
        <v>460</v>
      </c>
      <c r="D1141" s="368" t="s">
        <v>1207</v>
      </c>
      <c r="E1141" s="369" t="s">
        <v>1339</v>
      </c>
      <c r="F1141" s="370">
        <v>423000</v>
      </c>
      <c r="G1141" s="143" t="str">
        <f t="shared" si="19"/>
        <v>0709013004Г000240</v>
      </c>
    </row>
    <row r="1142" spans="1:7" x14ac:dyDescent="0.2">
      <c r="A1142" s="52" t="s">
        <v>2024</v>
      </c>
      <c r="B1142" s="368" t="s">
        <v>220</v>
      </c>
      <c r="C1142" s="368" t="s">
        <v>460</v>
      </c>
      <c r="D1142" s="368" t="s">
        <v>1207</v>
      </c>
      <c r="E1142" s="369" t="s">
        <v>2025</v>
      </c>
      <c r="F1142" s="370">
        <v>423000</v>
      </c>
      <c r="G1142" s="143" t="str">
        <f t="shared" si="19"/>
        <v>0709013004Г000247</v>
      </c>
    </row>
    <row r="1143" spans="1:7" ht="51" x14ac:dyDescent="0.2">
      <c r="A1143" s="52" t="s">
        <v>1028</v>
      </c>
      <c r="B1143" s="368" t="s">
        <v>220</v>
      </c>
      <c r="C1143" s="368" t="s">
        <v>460</v>
      </c>
      <c r="D1143" s="368" t="s">
        <v>1232</v>
      </c>
      <c r="E1143" s="369" t="s">
        <v>1314</v>
      </c>
      <c r="F1143" s="370">
        <v>2900000</v>
      </c>
      <c r="G1143" s="143" t="str">
        <f t="shared" si="19"/>
        <v>0709013004Э000</v>
      </c>
    </row>
    <row r="1144" spans="1:7" ht="25.5" x14ac:dyDescent="0.2">
      <c r="A1144" s="52" t="s">
        <v>1502</v>
      </c>
      <c r="B1144" s="368" t="s">
        <v>220</v>
      </c>
      <c r="C1144" s="368" t="s">
        <v>460</v>
      </c>
      <c r="D1144" s="368" t="s">
        <v>1232</v>
      </c>
      <c r="E1144" s="369" t="s">
        <v>1503</v>
      </c>
      <c r="F1144" s="370">
        <v>2900000</v>
      </c>
      <c r="G1144" s="143" t="str">
        <f t="shared" si="19"/>
        <v>0709013004Э000200</v>
      </c>
    </row>
    <row r="1145" spans="1:7" ht="25.5" x14ac:dyDescent="0.2">
      <c r="A1145" s="52" t="s">
        <v>1338</v>
      </c>
      <c r="B1145" s="368" t="s">
        <v>220</v>
      </c>
      <c r="C1145" s="368" t="s">
        <v>460</v>
      </c>
      <c r="D1145" s="368" t="s">
        <v>1232</v>
      </c>
      <c r="E1145" s="369" t="s">
        <v>1339</v>
      </c>
      <c r="F1145" s="370">
        <v>2900000</v>
      </c>
      <c r="G1145" s="143" t="str">
        <f t="shared" si="19"/>
        <v>0709013004Э000240</v>
      </c>
    </row>
    <row r="1146" spans="1:7" x14ac:dyDescent="0.2">
      <c r="A1146" s="52" t="s">
        <v>2024</v>
      </c>
      <c r="B1146" s="368" t="s">
        <v>220</v>
      </c>
      <c r="C1146" s="368" t="s">
        <v>460</v>
      </c>
      <c r="D1146" s="368" t="s">
        <v>1232</v>
      </c>
      <c r="E1146" s="369" t="s">
        <v>2025</v>
      </c>
      <c r="F1146" s="370">
        <v>2900000</v>
      </c>
      <c r="G1146" s="143" t="str">
        <f t="shared" si="19"/>
        <v>0709013004Э000247</v>
      </c>
    </row>
    <row r="1147" spans="1:7" ht="63.75" x14ac:dyDescent="0.2">
      <c r="A1147" s="52" t="s">
        <v>661</v>
      </c>
      <c r="B1147" s="368" t="s">
        <v>220</v>
      </c>
      <c r="C1147" s="368" t="s">
        <v>460</v>
      </c>
      <c r="D1147" s="368" t="s">
        <v>1208</v>
      </c>
      <c r="E1147" s="369" t="s">
        <v>1314</v>
      </c>
      <c r="F1147" s="370">
        <v>7019550</v>
      </c>
      <c r="G1147" s="143" t="str">
        <f t="shared" si="19"/>
        <v>07090130060000</v>
      </c>
    </row>
    <row r="1148" spans="1:7" ht="51" x14ac:dyDescent="0.2">
      <c r="A1148" s="52" t="s">
        <v>1501</v>
      </c>
      <c r="B1148" s="368" t="s">
        <v>220</v>
      </c>
      <c r="C1148" s="368" t="s">
        <v>460</v>
      </c>
      <c r="D1148" s="368" t="s">
        <v>1208</v>
      </c>
      <c r="E1148" s="369" t="s">
        <v>290</v>
      </c>
      <c r="F1148" s="370">
        <v>6782800</v>
      </c>
      <c r="G1148" s="143" t="str">
        <f t="shared" si="19"/>
        <v>07090130060000100</v>
      </c>
    </row>
    <row r="1149" spans="1:7" ht="25.5" x14ac:dyDescent="0.2">
      <c r="A1149" s="52" t="s">
        <v>1345</v>
      </c>
      <c r="B1149" s="368" t="s">
        <v>220</v>
      </c>
      <c r="C1149" s="368" t="s">
        <v>460</v>
      </c>
      <c r="D1149" s="368" t="s">
        <v>1208</v>
      </c>
      <c r="E1149" s="369" t="s">
        <v>30</v>
      </c>
      <c r="F1149" s="370">
        <v>6782800</v>
      </c>
      <c r="G1149" s="143" t="str">
        <f t="shared" si="19"/>
        <v>07090130060000120</v>
      </c>
    </row>
    <row r="1150" spans="1:7" ht="25.5" x14ac:dyDescent="0.2">
      <c r="A1150" s="52" t="s">
        <v>1010</v>
      </c>
      <c r="B1150" s="368" t="s">
        <v>220</v>
      </c>
      <c r="C1150" s="368" t="s">
        <v>460</v>
      </c>
      <c r="D1150" s="368" t="s">
        <v>1208</v>
      </c>
      <c r="E1150" s="369" t="s">
        <v>363</v>
      </c>
      <c r="F1150" s="370">
        <v>5145770</v>
      </c>
      <c r="G1150" s="143" t="str">
        <f t="shared" si="19"/>
        <v>07090130060000121</v>
      </c>
    </row>
    <row r="1151" spans="1:7" ht="38.25" x14ac:dyDescent="0.2">
      <c r="A1151" s="52" t="s">
        <v>364</v>
      </c>
      <c r="B1151" s="368" t="s">
        <v>220</v>
      </c>
      <c r="C1151" s="368" t="s">
        <v>460</v>
      </c>
      <c r="D1151" s="368" t="s">
        <v>1208</v>
      </c>
      <c r="E1151" s="369" t="s">
        <v>365</v>
      </c>
      <c r="F1151" s="370">
        <v>83000</v>
      </c>
      <c r="G1151" s="143" t="str">
        <f t="shared" si="19"/>
        <v>07090130060000122</v>
      </c>
    </row>
    <row r="1152" spans="1:7" ht="38.25" x14ac:dyDescent="0.2">
      <c r="A1152" s="52" t="s">
        <v>1115</v>
      </c>
      <c r="B1152" s="368" t="s">
        <v>220</v>
      </c>
      <c r="C1152" s="368" t="s">
        <v>460</v>
      </c>
      <c r="D1152" s="368" t="s">
        <v>1208</v>
      </c>
      <c r="E1152" s="369" t="s">
        <v>1116</v>
      </c>
      <c r="F1152" s="370">
        <v>1554030</v>
      </c>
      <c r="G1152" s="143" t="str">
        <f t="shared" si="19"/>
        <v>07090130060000129</v>
      </c>
    </row>
    <row r="1153" spans="1:7" ht="25.5" x14ac:dyDescent="0.2">
      <c r="A1153" s="52" t="s">
        <v>1502</v>
      </c>
      <c r="B1153" s="368" t="s">
        <v>220</v>
      </c>
      <c r="C1153" s="368" t="s">
        <v>460</v>
      </c>
      <c r="D1153" s="368" t="s">
        <v>1208</v>
      </c>
      <c r="E1153" s="369" t="s">
        <v>1503</v>
      </c>
      <c r="F1153" s="370">
        <v>236750</v>
      </c>
      <c r="G1153" s="143" t="str">
        <f t="shared" si="19"/>
        <v>07090130060000200</v>
      </c>
    </row>
    <row r="1154" spans="1:7" ht="25.5" x14ac:dyDescent="0.2">
      <c r="A1154" s="52" t="s">
        <v>1338</v>
      </c>
      <c r="B1154" s="368" t="s">
        <v>220</v>
      </c>
      <c r="C1154" s="368" t="s">
        <v>460</v>
      </c>
      <c r="D1154" s="368" t="s">
        <v>1208</v>
      </c>
      <c r="E1154" s="369" t="s">
        <v>1339</v>
      </c>
      <c r="F1154" s="370">
        <v>236750</v>
      </c>
      <c r="G1154" s="143" t="str">
        <f t="shared" si="19"/>
        <v>07090130060000240</v>
      </c>
    </row>
    <row r="1155" spans="1:7" x14ac:dyDescent="0.2">
      <c r="A1155" s="52" t="s">
        <v>1379</v>
      </c>
      <c r="B1155" s="368" t="s">
        <v>220</v>
      </c>
      <c r="C1155" s="368" t="s">
        <v>460</v>
      </c>
      <c r="D1155" s="368" t="s">
        <v>1208</v>
      </c>
      <c r="E1155" s="369" t="s">
        <v>368</v>
      </c>
      <c r="F1155" s="370">
        <v>236750</v>
      </c>
      <c r="G1155" s="143" t="str">
        <f t="shared" si="19"/>
        <v>07090130060000244</v>
      </c>
    </row>
    <row r="1156" spans="1:7" ht="89.25" x14ac:dyDescent="0.2">
      <c r="A1156" s="52" t="s">
        <v>662</v>
      </c>
      <c r="B1156" s="368" t="s">
        <v>220</v>
      </c>
      <c r="C1156" s="368" t="s">
        <v>460</v>
      </c>
      <c r="D1156" s="368" t="s">
        <v>1209</v>
      </c>
      <c r="E1156" s="369" t="s">
        <v>1314</v>
      </c>
      <c r="F1156" s="370">
        <v>250000</v>
      </c>
      <c r="G1156" s="143" t="str">
        <f t="shared" si="19"/>
        <v>07090130067000</v>
      </c>
    </row>
    <row r="1157" spans="1:7" ht="51" x14ac:dyDescent="0.2">
      <c r="A1157" s="52" t="s">
        <v>1501</v>
      </c>
      <c r="B1157" s="368" t="s">
        <v>220</v>
      </c>
      <c r="C1157" s="368" t="s">
        <v>460</v>
      </c>
      <c r="D1157" s="368" t="s">
        <v>1209</v>
      </c>
      <c r="E1157" s="369" t="s">
        <v>290</v>
      </c>
      <c r="F1157" s="370">
        <v>250000</v>
      </c>
      <c r="G1157" s="143" t="str">
        <f t="shared" si="19"/>
        <v>07090130067000100</v>
      </c>
    </row>
    <row r="1158" spans="1:7" ht="25.5" x14ac:dyDescent="0.2">
      <c r="A1158" s="52" t="s">
        <v>1345</v>
      </c>
      <c r="B1158" s="368" t="s">
        <v>220</v>
      </c>
      <c r="C1158" s="368" t="s">
        <v>460</v>
      </c>
      <c r="D1158" s="368" t="s">
        <v>1209</v>
      </c>
      <c r="E1158" s="369" t="s">
        <v>30</v>
      </c>
      <c r="F1158" s="370">
        <v>250000</v>
      </c>
      <c r="G1158" s="143" t="str">
        <f t="shared" si="19"/>
        <v>07090130067000120</v>
      </c>
    </row>
    <row r="1159" spans="1:7" ht="38.25" x14ac:dyDescent="0.2">
      <c r="A1159" s="52" t="s">
        <v>364</v>
      </c>
      <c r="B1159" s="368" t="s">
        <v>220</v>
      </c>
      <c r="C1159" s="368" t="s">
        <v>460</v>
      </c>
      <c r="D1159" s="368" t="s">
        <v>1209</v>
      </c>
      <c r="E1159" s="369" t="s">
        <v>365</v>
      </c>
      <c r="F1159" s="370">
        <v>250000</v>
      </c>
      <c r="G1159" s="143" t="str">
        <f t="shared" si="19"/>
        <v>07090130067000122</v>
      </c>
    </row>
    <row r="1160" spans="1:7" x14ac:dyDescent="0.2">
      <c r="A1160" s="52" t="s">
        <v>148</v>
      </c>
      <c r="B1160" s="368" t="s">
        <v>220</v>
      </c>
      <c r="C1160" s="368" t="s">
        <v>1221</v>
      </c>
      <c r="D1160" s="368" t="s">
        <v>1314</v>
      </c>
      <c r="E1160" s="369" t="s">
        <v>1314</v>
      </c>
      <c r="F1160" s="370">
        <v>62657900</v>
      </c>
      <c r="G1160" s="143" t="str">
        <f t="shared" si="19"/>
        <v>1000</v>
      </c>
    </row>
    <row r="1161" spans="1:7" x14ac:dyDescent="0.2">
      <c r="A1161" s="52" t="s">
        <v>105</v>
      </c>
      <c r="B1161" s="368" t="s">
        <v>220</v>
      </c>
      <c r="C1161" s="368" t="s">
        <v>418</v>
      </c>
      <c r="D1161" s="368" t="s">
        <v>1314</v>
      </c>
      <c r="E1161" s="369" t="s">
        <v>1314</v>
      </c>
      <c r="F1161" s="370">
        <v>59701300</v>
      </c>
      <c r="G1161" s="143" t="str">
        <f t="shared" si="19"/>
        <v>1003</v>
      </c>
    </row>
    <row r="1162" spans="1:7" ht="25.5" x14ac:dyDescent="0.2">
      <c r="A1162" s="52" t="s">
        <v>483</v>
      </c>
      <c r="B1162" s="368" t="s">
        <v>220</v>
      </c>
      <c r="C1162" s="368" t="s">
        <v>418</v>
      </c>
      <c r="D1162" s="368" t="s">
        <v>1031</v>
      </c>
      <c r="E1162" s="369" t="s">
        <v>1314</v>
      </c>
      <c r="F1162" s="370">
        <v>59701300</v>
      </c>
      <c r="G1162" s="143" t="str">
        <f t="shared" si="19"/>
        <v>10030100000000</v>
      </c>
    </row>
    <row r="1163" spans="1:7" ht="25.5" x14ac:dyDescent="0.2">
      <c r="A1163" s="52" t="s">
        <v>484</v>
      </c>
      <c r="B1163" s="368" t="s">
        <v>220</v>
      </c>
      <c r="C1163" s="368" t="s">
        <v>418</v>
      </c>
      <c r="D1163" s="368" t="s">
        <v>1032</v>
      </c>
      <c r="E1163" s="369" t="s">
        <v>1314</v>
      </c>
      <c r="F1163" s="370">
        <v>59701300</v>
      </c>
      <c r="G1163" s="143" t="str">
        <f t="shared" si="19"/>
        <v>10030110000000</v>
      </c>
    </row>
    <row r="1164" spans="1:7" ht="140.25" x14ac:dyDescent="0.2">
      <c r="A1164" s="52" t="s">
        <v>1552</v>
      </c>
      <c r="B1164" s="368" t="s">
        <v>220</v>
      </c>
      <c r="C1164" s="368" t="s">
        <v>418</v>
      </c>
      <c r="D1164" s="368" t="s">
        <v>842</v>
      </c>
      <c r="E1164" s="369" t="s">
        <v>1314</v>
      </c>
      <c r="F1164" s="370">
        <v>800300</v>
      </c>
      <c r="G1164" s="143" t="str">
        <f t="shared" si="19"/>
        <v>10030110075540</v>
      </c>
    </row>
    <row r="1165" spans="1:7" ht="25.5" x14ac:dyDescent="0.2">
      <c r="A1165" s="52" t="s">
        <v>1502</v>
      </c>
      <c r="B1165" s="368" t="s">
        <v>220</v>
      </c>
      <c r="C1165" s="368" t="s">
        <v>418</v>
      </c>
      <c r="D1165" s="368" t="s">
        <v>842</v>
      </c>
      <c r="E1165" s="369" t="s">
        <v>1503</v>
      </c>
      <c r="F1165" s="370">
        <v>800300</v>
      </c>
      <c r="G1165" s="143" t="str">
        <f t="shared" si="19"/>
        <v>10030110075540200</v>
      </c>
    </row>
    <row r="1166" spans="1:7" ht="25.5" x14ac:dyDescent="0.2">
      <c r="A1166" s="52" t="s">
        <v>1338</v>
      </c>
      <c r="B1166" s="368" t="s">
        <v>220</v>
      </c>
      <c r="C1166" s="368" t="s">
        <v>418</v>
      </c>
      <c r="D1166" s="368" t="s">
        <v>842</v>
      </c>
      <c r="E1166" s="369" t="s">
        <v>1339</v>
      </c>
      <c r="F1166" s="370">
        <v>800300</v>
      </c>
      <c r="G1166" s="143" t="str">
        <f t="shared" si="19"/>
        <v>10030110075540240</v>
      </c>
    </row>
    <row r="1167" spans="1:7" x14ac:dyDescent="0.2">
      <c r="A1167" s="52" t="s">
        <v>1379</v>
      </c>
      <c r="B1167" s="368" t="s">
        <v>220</v>
      </c>
      <c r="C1167" s="368" t="s">
        <v>418</v>
      </c>
      <c r="D1167" s="368" t="s">
        <v>842</v>
      </c>
      <c r="E1167" s="369" t="s">
        <v>368</v>
      </c>
      <c r="F1167" s="370">
        <v>800300</v>
      </c>
      <c r="G1167" s="143" t="str">
        <f t="shared" si="19"/>
        <v>10030110075540244</v>
      </c>
    </row>
    <row r="1168" spans="1:7" ht="102" x14ac:dyDescent="0.2">
      <c r="A1168" s="52" t="s">
        <v>1553</v>
      </c>
      <c r="B1168" s="368" t="s">
        <v>220</v>
      </c>
      <c r="C1168" s="368" t="s">
        <v>418</v>
      </c>
      <c r="D1168" s="368" t="s">
        <v>843</v>
      </c>
      <c r="E1168" s="369" t="s">
        <v>1314</v>
      </c>
      <c r="F1168" s="370">
        <v>23806300</v>
      </c>
      <c r="G1168" s="143" t="str">
        <f t="shared" si="19"/>
        <v>10030110075660</v>
      </c>
    </row>
    <row r="1169" spans="1:7" ht="25.5" x14ac:dyDescent="0.2">
      <c r="A1169" s="52" t="s">
        <v>1502</v>
      </c>
      <c r="B1169" s="368" t="s">
        <v>220</v>
      </c>
      <c r="C1169" s="368" t="s">
        <v>418</v>
      </c>
      <c r="D1169" s="368" t="s">
        <v>843</v>
      </c>
      <c r="E1169" s="369" t="s">
        <v>1503</v>
      </c>
      <c r="F1169" s="370">
        <v>23123020</v>
      </c>
      <c r="G1169" s="143" t="str">
        <f t="shared" si="19"/>
        <v>10030110075660200</v>
      </c>
    </row>
    <row r="1170" spans="1:7" ht="25.5" x14ac:dyDescent="0.2">
      <c r="A1170" s="52" t="s">
        <v>1338</v>
      </c>
      <c r="B1170" s="368" t="s">
        <v>220</v>
      </c>
      <c r="C1170" s="368" t="s">
        <v>418</v>
      </c>
      <c r="D1170" s="368" t="s">
        <v>843</v>
      </c>
      <c r="E1170" s="369" t="s">
        <v>1339</v>
      </c>
      <c r="F1170" s="370">
        <v>23123020</v>
      </c>
      <c r="G1170" s="143" t="str">
        <f t="shared" si="19"/>
        <v>10030110075660240</v>
      </c>
    </row>
    <row r="1171" spans="1:7" x14ac:dyDescent="0.2">
      <c r="A1171" s="52" t="s">
        <v>1379</v>
      </c>
      <c r="B1171" s="368" t="s">
        <v>220</v>
      </c>
      <c r="C1171" s="368" t="s">
        <v>418</v>
      </c>
      <c r="D1171" s="368" t="s">
        <v>843</v>
      </c>
      <c r="E1171" s="369" t="s">
        <v>368</v>
      </c>
      <c r="F1171" s="370">
        <v>23123020</v>
      </c>
      <c r="G1171" s="143" t="str">
        <f t="shared" si="19"/>
        <v>10030110075660244</v>
      </c>
    </row>
    <row r="1172" spans="1:7" x14ac:dyDescent="0.2">
      <c r="A1172" s="52" t="s">
        <v>1506</v>
      </c>
      <c r="B1172" s="368" t="s">
        <v>220</v>
      </c>
      <c r="C1172" s="368" t="s">
        <v>418</v>
      </c>
      <c r="D1172" s="368" t="s">
        <v>843</v>
      </c>
      <c r="E1172" s="369" t="s">
        <v>1507</v>
      </c>
      <c r="F1172" s="370">
        <v>683280</v>
      </c>
      <c r="G1172" s="143" t="str">
        <f t="shared" si="19"/>
        <v>10030110075660300</v>
      </c>
    </row>
    <row r="1173" spans="1:7" ht="25.5" x14ac:dyDescent="0.2">
      <c r="A1173" s="52" t="s">
        <v>1342</v>
      </c>
      <c r="B1173" s="368" t="s">
        <v>220</v>
      </c>
      <c r="C1173" s="368" t="s">
        <v>418</v>
      </c>
      <c r="D1173" s="368" t="s">
        <v>843</v>
      </c>
      <c r="E1173" s="369" t="s">
        <v>604</v>
      </c>
      <c r="F1173" s="370">
        <v>683280</v>
      </c>
      <c r="G1173" s="143" t="str">
        <f t="shared" si="19"/>
        <v>10030110075660320</v>
      </c>
    </row>
    <row r="1174" spans="1:7" ht="25.5" x14ac:dyDescent="0.2">
      <c r="A1174" s="52" t="s">
        <v>419</v>
      </c>
      <c r="B1174" s="368" t="s">
        <v>220</v>
      </c>
      <c r="C1174" s="368" t="s">
        <v>418</v>
      </c>
      <c r="D1174" s="368" t="s">
        <v>843</v>
      </c>
      <c r="E1174" s="369" t="s">
        <v>420</v>
      </c>
      <c r="F1174" s="370">
        <v>683280</v>
      </c>
      <c r="G1174" s="143" t="str">
        <f t="shared" si="19"/>
        <v>10030110075660321</v>
      </c>
    </row>
    <row r="1175" spans="1:7" ht="127.5" x14ac:dyDescent="0.2">
      <c r="A1175" s="52" t="s">
        <v>1969</v>
      </c>
      <c r="B1175" s="368" t="s">
        <v>220</v>
      </c>
      <c r="C1175" s="368" t="s">
        <v>418</v>
      </c>
      <c r="D1175" s="368" t="s">
        <v>1970</v>
      </c>
      <c r="E1175" s="369" t="s">
        <v>1314</v>
      </c>
      <c r="F1175" s="370">
        <v>35094700</v>
      </c>
      <c r="G1175" s="143" t="str">
        <f t="shared" si="19"/>
        <v>100301100L3040</v>
      </c>
    </row>
    <row r="1176" spans="1:7" ht="25.5" x14ac:dyDescent="0.2">
      <c r="A1176" s="52" t="s">
        <v>1502</v>
      </c>
      <c r="B1176" s="368" t="s">
        <v>220</v>
      </c>
      <c r="C1176" s="368" t="s">
        <v>418</v>
      </c>
      <c r="D1176" s="368" t="s">
        <v>1970</v>
      </c>
      <c r="E1176" s="369" t="s">
        <v>1503</v>
      </c>
      <c r="F1176" s="370">
        <v>35094700</v>
      </c>
      <c r="G1176" s="143" t="str">
        <f t="shared" si="19"/>
        <v>100301100L3040200</v>
      </c>
    </row>
    <row r="1177" spans="1:7" ht="25.5" x14ac:dyDescent="0.2">
      <c r="A1177" s="52" t="s">
        <v>1338</v>
      </c>
      <c r="B1177" s="368" t="s">
        <v>220</v>
      </c>
      <c r="C1177" s="368" t="s">
        <v>418</v>
      </c>
      <c r="D1177" s="368" t="s">
        <v>1970</v>
      </c>
      <c r="E1177" s="369" t="s">
        <v>1339</v>
      </c>
      <c r="F1177" s="370">
        <v>35094700</v>
      </c>
      <c r="G1177" s="143" t="str">
        <f t="shared" si="19"/>
        <v>100301100L3040240</v>
      </c>
    </row>
    <row r="1178" spans="1:7" x14ac:dyDescent="0.2">
      <c r="A1178" s="52" t="s">
        <v>1379</v>
      </c>
      <c r="B1178" s="368" t="s">
        <v>220</v>
      </c>
      <c r="C1178" s="368" t="s">
        <v>418</v>
      </c>
      <c r="D1178" s="368" t="s">
        <v>1970</v>
      </c>
      <c r="E1178" s="369" t="s">
        <v>368</v>
      </c>
      <c r="F1178" s="370">
        <v>35094700</v>
      </c>
      <c r="G1178" s="143" t="str">
        <f t="shared" si="19"/>
        <v>100301100L3040244</v>
      </c>
    </row>
    <row r="1179" spans="1:7" x14ac:dyDescent="0.2">
      <c r="A1179" s="52" t="s">
        <v>19</v>
      </c>
      <c r="B1179" s="368" t="s">
        <v>220</v>
      </c>
      <c r="C1179" s="368" t="s">
        <v>463</v>
      </c>
      <c r="D1179" s="368" t="s">
        <v>1314</v>
      </c>
      <c r="E1179" s="369" t="s">
        <v>1314</v>
      </c>
      <c r="F1179" s="370">
        <v>2956600</v>
      </c>
      <c r="G1179" s="143" t="str">
        <f t="shared" si="19"/>
        <v>1004</v>
      </c>
    </row>
    <row r="1180" spans="1:7" ht="25.5" x14ac:dyDescent="0.2">
      <c r="A1180" s="52" t="s">
        <v>483</v>
      </c>
      <c r="B1180" s="368" t="s">
        <v>220</v>
      </c>
      <c r="C1180" s="368" t="s">
        <v>463</v>
      </c>
      <c r="D1180" s="368" t="s">
        <v>1031</v>
      </c>
      <c r="E1180" s="369" t="s">
        <v>1314</v>
      </c>
      <c r="F1180" s="370">
        <v>2956600</v>
      </c>
      <c r="G1180" s="143" t="str">
        <f t="shared" si="19"/>
        <v>10040100000000</v>
      </c>
    </row>
    <row r="1181" spans="1:7" ht="25.5" x14ac:dyDescent="0.2">
      <c r="A1181" s="52" t="s">
        <v>484</v>
      </c>
      <c r="B1181" s="368" t="s">
        <v>220</v>
      </c>
      <c r="C1181" s="368" t="s">
        <v>463</v>
      </c>
      <c r="D1181" s="368" t="s">
        <v>1032</v>
      </c>
      <c r="E1181" s="369" t="s">
        <v>1314</v>
      </c>
      <c r="F1181" s="370">
        <v>2956600</v>
      </c>
      <c r="G1181" s="143" t="str">
        <f t="shared" si="19"/>
        <v>10040110000000</v>
      </c>
    </row>
    <row r="1182" spans="1:7" ht="102" x14ac:dyDescent="0.2">
      <c r="A1182" s="52" t="s">
        <v>1554</v>
      </c>
      <c r="B1182" s="368" t="s">
        <v>220</v>
      </c>
      <c r="C1182" s="368" t="s">
        <v>463</v>
      </c>
      <c r="D1182" s="368" t="s">
        <v>844</v>
      </c>
      <c r="E1182" s="369" t="s">
        <v>1314</v>
      </c>
      <c r="F1182" s="370">
        <v>2956600</v>
      </c>
      <c r="G1182" s="143" t="str">
        <f t="shared" si="19"/>
        <v>10040110075560</v>
      </c>
    </row>
    <row r="1183" spans="1:7" ht="25.5" x14ac:dyDescent="0.2">
      <c r="A1183" s="52" t="s">
        <v>1502</v>
      </c>
      <c r="B1183" s="368" t="s">
        <v>220</v>
      </c>
      <c r="C1183" s="368" t="s">
        <v>463</v>
      </c>
      <c r="D1183" s="368" t="s">
        <v>844</v>
      </c>
      <c r="E1183" s="369" t="s">
        <v>1503</v>
      </c>
      <c r="F1183" s="370">
        <v>50000</v>
      </c>
      <c r="G1183" s="143" t="str">
        <f t="shared" si="19"/>
        <v>10040110075560200</v>
      </c>
    </row>
    <row r="1184" spans="1:7" ht="25.5" x14ac:dyDescent="0.2">
      <c r="A1184" s="52" t="s">
        <v>1338</v>
      </c>
      <c r="B1184" s="368" t="s">
        <v>220</v>
      </c>
      <c r="C1184" s="368" t="s">
        <v>463</v>
      </c>
      <c r="D1184" s="368" t="s">
        <v>844</v>
      </c>
      <c r="E1184" s="369" t="s">
        <v>1339</v>
      </c>
      <c r="F1184" s="370">
        <v>50000</v>
      </c>
      <c r="G1184" s="143" t="str">
        <f t="shared" si="19"/>
        <v>10040110075560240</v>
      </c>
    </row>
    <row r="1185" spans="1:7" x14ac:dyDescent="0.2">
      <c r="A1185" s="52" t="s">
        <v>1379</v>
      </c>
      <c r="B1185" s="368" t="s">
        <v>220</v>
      </c>
      <c r="C1185" s="368" t="s">
        <v>463</v>
      </c>
      <c r="D1185" s="368" t="s">
        <v>844</v>
      </c>
      <c r="E1185" s="369" t="s">
        <v>368</v>
      </c>
      <c r="F1185" s="370">
        <v>50000</v>
      </c>
      <c r="G1185" s="143" t="str">
        <f t="shared" si="19"/>
        <v>10040110075560244</v>
      </c>
    </row>
    <row r="1186" spans="1:7" x14ac:dyDescent="0.2">
      <c r="A1186" s="52" t="s">
        <v>1506</v>
      </c>
      <c r="B1186" s="368" t="s">
        <v>220</v>
      </c>
      <c r="C1186" s="368" t="s">
        <v>463</v>
      </c>
      <c r="D1186" s="368" t="s">
        <v>844</v>
      </c>
      <c r="E1186" s="369" t="s">
        <v>1507</v>
      </c>
      <c r="F1186" s="370">
        <v>2906600</v>
      </c>
      <c r="G1186" s="143" t="str">
        <f t="shared" si="19"/>
        <v>10040110075560300</v>
      </c>
    </row>
    <row r="1187" spans="1:7" ht="25.5" x14ac:dyDescent="0.2">
      <c r="A1187" s="52" t="s">
        <v>1342</v>
      </c>
      <c r="B1187" s="368" t="s">
        <v>220</v>
      </c>
      <c r="C1187" s="368" t="s">
        <v>463</v>
      </c>
      <c r="D1187" s="368" t="s">
        <v>844</v>
      </c>
      <c r="E1187" s="369" t="s">
        <v>604</v>
      </c>
      <c r="F1187" s="370">
        <v>2906600</v>
      </c>
      <c r="G1187" s="143" t="str">
        <f t="shared" si="19"/>
        <v>10040110075560320</v>
      </c>
    </row>
    <row r="1188" spans="1:7" ht="25.5" x14ac:dyDescent="0.2">
      <c r="A1188" s="52" t="s">
        <v>419</v>
      </c>
      <c r="B1188" s="368" t="s">
        <v>220</v>
      </c>
      <c r="C1188" s="368" t="s">
        <v>463</v>
      </c>
      <c r="D1188" s="368" t="s">
        <v>844</v>
      </c>
      <c r="E1188" s="369" t="s">
        <v>420</v>
      </c>
      <c r="F1188" s="370">
        <v>2906600</v>
      </c>
      <c r="G1188" s="143" t="str">
        <f t="shared" si="19"/>
        <v>10040110075560321</v>
      </c>
    </row>
    <row r="1189" spans="1:7" x14ac:dyDescent="0.2">
      <c r="A1189" s="52" t="s">
        <v>265</v>
      </c>
      <c r="B1189" s="368" t="s">
        <v>220</v>
      </c>
      <c r="C1189" s="368" t="s">
        <v>1222</v>
      </c>
      <c r="D1189" s="368" t="s">
        <v>1314</v>
      </c>
      <c r="E1189" s="369" t="s">
        <v>1314</v>
      </c>
      <c r="F1189" s="370">
        <v>1917000</v>
      </c>
      <c r="G1189" s="143" t="str">
        <f t="shared" si="19"/>
        <v>1100</v>
      </c>
    </row>
    <row r="1190" spans="1:7" x14ac:dyDescent="0.2">
      <c r="A1190" s="52" t="s">
        <v>1384</v>
      </c>
      <c r="B1190" s="368" t="s">
        <v>220</v>
      </c>
      <c r="C1190" s="368" t="s">
        <v>1385</v>
      </c>
      <c r="D1190" s="368" t="s">
        <v>1314</v>
      </c>
      <c r="E1190" s="369" t="s">
        <v>1314</v>
      </c>
      <c r="F1190" s="370">
        <v>1917000</v>
      </c>
      <c r="G1190" s="143" t="str">
        <f t="shared" si="19"/>
        <v>1101</v>
      </c>
    </row>
    <row r="1191" spans="1:7" ht="25.5" x14ac:dyDescent="0.2">
      <c r="A1191" s="52" t="s">
        <v>483</v>
      </c>
      <c r="B1191" s="368" t="s">
        <v>220</v>
      </c>
      <c r="C1191" s="368" t="s">
        <v>1385</v>
      </c>
      <c r="D1191" s="368" t="s">
        <v>1031</v>
      </c>
      <c r="E1191" s="369" t="s">
        <v>1314</v>
      </c>
      <c r="F1191" s="370">
        <v>1917000</v>
      </c>
      <c r="G1191" s="143" t="str">
        <f t="shared" si="19"/>
        <v>11010100000000</v>
      </c>
    </row>
    <row r="1192" spans="1:7" ht="25.5" x14ac:dyDescent="0.2">
      <c r="A1192" s="52" t="s">
        <v>484</v>
      </c>
      <c r="B1192" s="368" t="s">
        <v>220</v>
      </c>
      <c r="C1192" s="368" t="s">
        <v>1385</v>
      </c>
      <c r="D1192" s="368" t="s">
        <v>1032</v>
      </c>
      <c r="E1192" s="369" t="s">
        <v>1314</v>
      </c>
      <c r="F1192" s="370">
        <v>1917000</v>
      </c>
      <c r="G1192" s="143" t="str">
        <f t="shared" si="19"/>
        <v>11010110000000</v>
      </c>
    </row>
    <row r="1193" spans="1:7" ht="102" x14ac:dyDescent="0.2">
      <c r="A1193" s="52" t="s">
        <v>454</v>
      </c>
      <c r="B1193" s="368" t="s">
        <v>220</v>
      </c>
      <c r="C1193" s="368" t="s">
        <v>1385</v>
      </c>
      <c r="D1193" s="368" t="s">
        <v>811</v>
      </c>
      <c r="E1193" s="369" t="s">
        <v>1314</v>
      </c>
      <c r="F1193" s="370">
        <v>1368100</v>
      </c>
      <c r="G1193" s="143" t="str">
        <f t="shared" ref="G1193:G1256" si="20">CONCATENATE(C1193,D1193,E1193)</f>
        <v>11010110040030</v>
      </c>
    </row>
    <row r="1194" spans="1:7" ht="25.5" x14ac:dyDescent="0.2">
      <c r="A1194" s="52" t="s">
        <v>1510</v>
      </c>
      <c r="B1194" s="368" t="s">
        <v>220</v>
      </c>
      <c r="C1194" s="368" t="s">
        <v>1385</v>
      </c>
      <c r="D1194" s="368" t="s">
        <v>811</v>
      </c>
      <c r="E1194" s="369" t="s">
        <v>1511</v>
      </c>
      <c r="F1194" s="370">
        <v>1368100</v>
      </c>
      <c r="G1194" s="143" t="str">
        <f t="shared" si="20"/>
        <v>11010110040030600</v>
      </c>
    </row>
    <row r="1195" spans="1:7" x14ac:dyDescent="0.2">
      <c r="A1195" s="52" t="s">
        <v>1340</v>
      </c>
      <c r="B1195" s="368" t="s">
        <v>220</v>
      </c>
      <c r="C1195" s="368" t="s">
        <v>1385</v>
      </c>
      <c r="D1195" s="368" t="s">
        <v>811</v>
      </c>
      <c r="E1195" s="369" t="s">
        <v>1341</v>
      </c>
      <c r="F1195" s="370">
        <v>1368100</v>
      </c>
      <c r="G1195" s="143" t="str">
        <f t="shared" si="20"/>
        <v>11010110040030610</v>
      </c>
    </row>
    <row r="1196" spans="1:7" ht="51" x14ac:dyDescent="0.2">
      <c r="A1196" s="52" t="s">
        <v>387</v>
      </c>
      <c r="B1196" s="368" t="s">
        <v>220</v>
      </c>
      <c r="C1196" s="368" t="s">
        <v>1385</v>
      </c>
      <c r="D1196" s="368" t="s">
        <v>811</v>
      </c>
      <c r="E1196" s="369" t="s">
        <v>388</v>
      </c>
      <c r="F1196" s="370">
        <v>1368100</v>
      </c>
      <c r="G1196" s="143" t="str">
        <f t="shared" si="20"/>
        <v>11010110040030611</v>
      </c>
    </row>
    <row r="1197" spans="1:7" ht="102" x14ac:dyDescent="0.2">
      <c r="A1197" s="52" t="s">
        <v>628</v>
      </c>
      <c r="B1197" s="368" t="s">
        <v>220</v>
      </c>
      <c r="C1197" s="368" t="s">
        <v>1385</v>
      </c>
      <c r="D1197" s="368" t="s">
        <v>817</v>
      </c>
      <c r="E1197" s="369" t="s">
        <v>1314</v>
      </c>
      <c r="F1197" s="370">
        <v>504900</v>
      </c>
      <c r="G1197" s="143" t="str">
        <f t="shared" si="20"/>
        <v>1101011004Г030</v>
      </c>
    </row>
    <row r="1198" spans="1:7" ht="25.5" x14ac:dyDescent="0.2">
      <c r="A1198" s="52" t="s">
        <v>1510</v>
      </c>
      <c r="B1198" s="368" t="s">
        <v>220</v>
      </c>
      <c r="C1198" s="368" t="s">
        <v>1385</v>
      </c>
      <c r="D1198" s="368" t="s">
        <v>817</v>
      </c>
      <c r="E1198" s="369" t="s">
        <v>1511</v>
      </c>
      <c r="F1198" s="370">
        <v>504900</v>
      </c>
      <c r="G1198" s="143" t="str">
        <f t="shared" si="20"/>
        <v>1101011004Г030600</v>
      </c>
    </row>
    <row r="1199" spans="1:7" x14ac:dyDescent="0.2">
      <c r="A1199" s="52" t="s">
        <v>1340</v>
      </c>
      <c r="B1199" s="368" t="s">
        <v>220</v>
      </c>
      <c r="C1199" s="368" t="s">
        <v>1385</v>
      </c>
      <c r="D1199" s="368" t="s">
        <v>817</v>
      </c>
      <c r="E1199" s="369" t="s">
        <v>1341</v>
      </c>
      <c r="F1199" s="370">
        <v>504900</v>
      </c>
      <c r="G1199" s="143" t="str">
        <f t="shared" si="20"/>
        <v>1101011004Г030610</v>
      </c>
    </row>
    <row r="1200" spans="1:7" ht="51" x14ac:dyDescent="0.2">
      <c r="A1200" s="52" t="s">
        <v>387</v>
      </c>
      <c r="B1200" s="368" t="s">
        <v>220</v>
      </c>
      <c r="C1200" s="368" t="s">
        <v>1385</v>
      </c>
      <c r="D1200" s="368" t="s">
        <v>817</v>
      </c>
      <c r="E1200" s="369" t="s">
        <v>388</v>
      </c>
      <c r="F1200" s="370">
        <v>504900</v>
      </c>
      <c r="G1200" s="143" t="str">
        <f t="shared" si="20"/>
        <v>1101011004Г030611</v>
      </c>
    </row>
    <row r="1201" spans="1:7" ht="89.25" x14ac:dyDescent="0.2">
      <c r="A1201" s="52" t="s">
        <v>1026</v>
      </c>
      <c r="B1201" s="368" t="s">
        <v>220</v>
      </c>
      <c r="C1201" s="368" t="s">
        <v>1385</v>
      </c>
      <c r="D1201" s="368" t="s">
        <v>1027</v>
      </c>
      <c r="E1201" s="369" t="s">
        <v>1314</v>
      </c>
      <c r="F1201" s="370">
        <v>44000</v>
      </c>
      <c r="G1201" s="143" t="str">
        <f t="shared" si="20"/>
        <v>1101011004Э030</v>
      </c>
    </row>
    <row r="1202" spans="1:7" ht="25.5" x14ac:dyDescent="0.2">
      <c r="A1202" s="52" t="s">
        <v>1510</v>
      </c>
      <c r="B1202" s="368" t="s">
        <v>220</v>
      </c>
      <c r="C1202" s="368" t="s">
        <v>1385</v>
      </c>
      <c r="D1202" s="368" t="s">
        <v>1027</v>
      </c>
      <c r="E1202" s="369" t="s">
        <v>1511</v>
      </c>
      <c r="F1202" s="370">
        <v>44000</v>
      </c>
      <c r="G1202" s="143" t="str">
        <f t="shared" si="20"/>
        <v>1101011004Э030600</v>
      </c>
    </row>
    <row r="1203" spans="1:7" x14ac:dyDescent="0.2">
      <c r="A1203" s="52" t="s">
        <v>1340</v>
      </c>
      <c r="B1203" s="368" t="s">
        <v>220</v>
      </c>
      <c r="C1203" s="368" t="s">
        <v>1385</v>
      </c>
      <c r="D1203" s="368" t="s">
        <v>1027</v>
      </c>
      <c r="E1203" s="369" t="s">
        <v>1341</v>
      </c>
      <c r="F1203" s="370">
        <v>44000</v>
      </c>
      <c r="G1203" s="143" t="str">
        <f t="shared" si="20"/>
        <v>1101011004Э030610</v>
      </c>
    </row>
    <row r="1204" spans="1:7" ht="51" x14ac:dyDescent="0.2">
      <c r="A1204" s="52" t="s">
        <v>387</v>
      </c>
      <c r="B1204" s="368" t="s">
        <v>220</v>
      </c>
      <c r="C1204" s="368" t="s">
        <v>1385</v>
      </c>
      <c r="D1204" s="368" t="s">
        <v>1027</v>
      </c>
      <c r="E1204" s="369" t="s">
        <v>388</v>
      </c>
      <c r="F1204" s="370">
        <v>44000</v>
      </c>
      <c r="G1204" s="143" t="str">
        <f t="shared" si="20"/>
        <v>1101011004Э030611</v>
      </c>
    </row>
    <row r="1205" spans="1:7" ht="25.5" x14ac:dyDescent="0.2">
      <c r="A1205" s="52" t="s">
        <v>1284</v>
      </c>
      <c r="B1205" s="368" t="s">
        <v>1009</v>
      </c>
      <c r="C1205" s="368" t="s">
        <v>1314</v>
      </c>
      <c r="D1205" s="368" t="s">
        <v>1314</v>
      </c>
      <c r="E1205" s="369" t="s">
        <v>1314</v>
      </c>
      <c r="F1205" s="370">
        <v>31724580</v>
      </c>
      <c r="G1205" s="143" t="str">
        <f t="shared" si="20"/>
        <v/>
      </c>
    </row>
    <row r="1206" spans="1:7" ht="25.5" x14ac:dyDescent="0.2">
      <c r="A1206" s="52" t="s">
        <v>254</v>
      </c>
      <c r="B1206" s="368" t="s">
        <v>1009</v>
      </c>
      <c r="C1206" s="368" t="s">
        <v>1215</v>
      </c>
      <c r="D1206" s="368" t="s">
        <v>1314</v>
      </c>
      <c r="E1206" s="369" t="s">
        <v>1314</v>
      </c>
      <c r="F1206" s="370">
        <v>26499600</v>
      </c>
      <c r="G1206" s="143" t="str">
        <f t="shared" si="20"/>
        <v>0300</v>
      </c>
    </row>
    <row r="1207" spans="1:7" ht="38.25" x14ac:dyDescent="0.2">
      <c r="A1207" s="52" t="s">
        <v>2032</v>
      </c>
      <c r="B1207" s="368" t="s">
        <v>1009</v>
      </c>
      <c r="C1207" s="368" t="s">
        <v>385</v>
      </c>
      <c r="D1207" s="368" t="s">
        <v>1314</v>
      </c>
      <c r="E1207" s="369" t="s">
        <v>1314</v>
      </c>
      <c r="F1207" s="370">
        <v>26499600</v>
      </c>
      <c r="G1207" s="143" t="str">
        <f t="shared" si="20"/>
        <v>0310</v>
      </c>
    </row>
    <row r="1208" spans="1:7" ht="38.25" x14ac:dyDescent="0.2">
      <c r="A1208" s="52" t="s">
        <v>497</v>
      </c>
      <c r="B1208" s="368" t="s">
        <v>1009</v>
      </c>
      <c r="C1208" s="368" t="s">
        <v>385</v>
      </c>
      <c r="D1208" s="368" t="s">
        <v>1038</v>
      </c>
      <c r="E1208" s="369" t="s">
        <v>1314</v>
      </c>
      <c r="F1208" s="370">
        <v>26499600</v>
      </c>
      <c r="G1208" s="143" t="str">
        <f t="shared" si="20"/>
        <v>03100400000000</v>
      </c>
    </row>
    <row r="1209" spans="1:7" ht="25.5" x14ac:dyDescent="0.2">
      <c r="A1209" s="52" t="s">
        <v>500</v>
      </c>
      <c r="B1209" s="368" t="s">
        <v>1009</v>
      </c>
      <c r="C1209" s="368" t="s">
        <v>385</v>
      </c>
      <c r="D1209" s="368" t="s">
        <v>1040</v>
      </c>
      <c r="E1209" s="369" t="s">
        <v>1314</v>
      </c>
      <c r="F1209" s="370">
        <v>26499600</v>
      </c>
      <c r="G1209" s="143" t="str">
        <f t="shared" si="20"/>
        <v>03100420000000</v>
      </c>
    </row>
    <row r="1210" spans="1:7" ht="102.75" customHeight="1" x14ac:dyDescent="0.2">
      <c r="A1210" s="52" t="s">
        <v>386</v>
      </c>
      <c r="B1210" s="368" t="s">
        <v>1009</v>
      </c>
      <c r="C1210" s="368" t="s">
        <v>385</v>
      </c>
      <c r="D1210" s="368" t="s">
        <v>715</v>
      </c>
      <c r="E1210" s="369" t="s">
        <v>1314</v>
      </c>
      <c r="F1210" s="370">
        <v>21631235</v>
      </c>
      <c r="G1210" s="143" t="str">
        <f t="shared" si="20"/>
        <v>03100420040010</v>
      </c>
    </row>
    <row r="1211" spans="1:7" ht="21.75" customHeight="1" x14ac:dyDescent="0.2">
      <c r="A1211" s="52" t="s">
        <v>1501</v>
      </c>
      <c r="B1211" s="368" t="s">
        <v>1009</v>
      </c>
      <c r="C1211" s="368" t="s">
        <v>385</v>
      </c>
      <c r="D1211" s="368" t="s">
        <v>715</v>
      </c>
      <c r="E1211" s="369" t="s">
        <v>290</v>
      </c>
      <c r="F1211" s="370">
        <v>19172042</v>
      </c>
      <c r="G1211" s="143" t="str">
        <f t="shared" si="20"/>
        <v>03100420040010100</v>
      </c>
    </row>
    <row r="1212" spans="1:7" ht="33.75" customHeight="1" x14ac:dyDescent="0.2">
      <c r="A1212" s="52" t="s">
        <v>1331</v>
      </c>
      <c r="B1212" s="368" t="s">
        <v>1009</v>
      </c>
      <c r="C1212" s="368" t="s">
        <v>385</v>
      </c>
      <c r="D1212" s="368" t="s">
        <v>715</v>
      </c>
      <c r="E1212" s="369" t="s">
        <v>140</v>
      </c>
      <c r="F1212" s="370">
        <v>19172042</v>
      </c>
      <c r="G1212" s="143" t="str">
        <f t="shared" si="20"/>
        <v>03100420040010110</v>
      </c>
    </row>
    <row r="1213" spans="1:7" x14ac:dyDescent="0.2">
      <c r="A1213" s="52" t="s">
        <v>1216</v>
      </c>
      <c r="B1213" s="368" t="s">
        <v>1009</v>
      </c>
      <c r="C1213" s="368" t="s">
        <v>385</v>
      </c>
      <c r="D1213" s="368" t="s">
        <v>715</v>
      </c>
      <c r="E1213" s="369" t="s">
        <v>382</v>
      </c>
      <c r="F1213" s="370">
        <v>14701000</v>
      </c>
      <c r="G1213" s="143" t="str">
        <f t="shared" si="20"/>
        <v>03100420040010111</v>
      </c>
    </row>
    <row r="1214" spans="1:7" ht="25.5" x14ac:dyDescent="0.2">
      <c r="A1214" s="52" t="s">
        <v>1225</v>
      </c>
      <c r="B1214" s="368" t="s">
        <v>1009</v>
      </c>
      <c r="C1214" s="368" t="s">
        <v>385</v>
      </c>
      <c r="D1214" s="368" t="s">
        <v>715</v>
      </c>
      <c r="E1214" s="369" t="s">
        <v>431</v>
      </c>
      <c r="F1214" s="370">
        <v>40400</v>
      </c>
      <c r="G1214" s="143" t="str">
        <f t="shared" si="20"/>
        <v>03100420040010112</v>
      </c>
    </row>
    <row r="1215" spans="1:7" ht="38.25" x14ac:dyDescent="0.2">
      <c r="A1215" s="52" t="s">
        <v>1217</v>
      </c>
      <c r="B1215" s="368" t="s">
        <v>1009</v>
      </c>
      <c r="C1215" s="368" t="s">
        <v>385</v>
      </c>
      <c r="D1215" s="368" t="s">
        <v>715</v>
      </c>
      <c r="E1215" s="369" t="s">
        <v>1117</v>
      </c>
      <c r="F1215" s="370">
        <v>4430642</v>
      </c>
      <c r="G1215" s="143" t="str">
        <f t="shared" si="20"/>
        <v>03100420040010119</v>
      </c>
    </row>
    <row r="1216" spans="1:7" ht="25.5" x14ac:dyDescent="0.2">
      <c r="A1216" s="52" t="s">
        <v>1502</v>
      </c>
      <c r="B1216" s="368" t="s">
        <v>1009</v>
      </c>
      <c r="C1216" s="368" t="s">
        <v>385</v>
      </c>
      <c r="D1216" s="368" t="s">
        <v>715</v>
      </c>
      <c r="E1216" s="369" t="s">
        <v>1503</v>
      </c>
      <c r="F1216" s="370">
        <v>2459193</v>
      </c>
      <c r="G1216" s="143" t="str">
        <f t="shared" si="20"/>
        <v>03100420040010200</v>
      </c>
    </row>
    <row r="1217" spans="1:7" ht="25.5" x14ac:dyDescent="0.2">
      <c r="A1217" s="52" t="s">
        <v>1338</v>
      </c>
      <c r="B1217" s="368" t="s">
        <v>1009</v>
      </c>
      <c r="C1217" s="368" t="s">
        <v>385</v>
      </c>
      <c r="D1217" s="368" t="s">
        <v>715</v>
      </c>
      <c r="E1217" s="369" t="s">
        <v>1339</v>
      </c>
      <c r="F1217" s="370">
        <v>2459193</v>
      </c>
      <c r="G1217" s="143" t="str">
        <f t="shared" si="20"/>
        <v>03100420040010240</v>
      </c>
    </row>
    <row r="1218" spans="1:7" x14ac:dyDescent="0.2">
      <c r="A1218" s="52" t="s">
        <v>1379</v>
      </c>
      <c r="B1218" s="368" t="s">
        <v>1009</v>
      </c>
      <c r="C1218" s="368" t="s">
        <v>385</v>
      </c>
      <c r="D1218" s="368" t="s">
        <v>715</v>
      </c>
      <c r="E1218" s="369" t="s">
        <v>368</v>
      </c>
      <c r="F1218" s="370">
        <v>2459193</v>
      </c>
      <c r="G1218" s="143" t="str">
        <f t="shared" si="20"/>
        <v>03100420040010244</v>
      </c>
    </row>
    <row r="1219" spans="1:7" ht="114.75" x14ac:dyDescent="0.2">
      <c r="A1219" s="52" t="s">
        <v>1555</v>
      </c>
      <c r="B1219" s="368" t="s">
        <v>1009</v>
      </c>
      <c r="C1219" s="368" t="s">
        <v>385</v>
      </c>
      <c r="D1219" s="368" t="s">
        <v>1556</v>
      </c>
      <c r="E1219" s="369" t="s">
        <v>1314</v>
      </c>
      <c r="F1219" s="370">
        <v>1282300</v>
      </c>
      <c r="G1219" s="143" t="str">
        <f t="shared" si="20"/>
        <v>03100420041010</v>
      </c>
    </row>
    <row r="1220" spans="1:7" ht="51" x14ac:dyDescent="0.2">
      <c r="A1220" s="52" t="s">
        <v>1501</v>
      </c>
      <c r="B1220" s="368" t="s">
        <v>1009</v>
      </c>
      <c r="C1220" s="368" t="s">
        <v>385</v>
      </c>
      <c r="D1220" s="368" t="s">
        <v>1556</v>
      </c>
      <c r="E1220" s="369" t="s">
        <v>290</v>
      </c>
      <c r="F1220" s="370">
        <v>1282300</v>
      </c>
      <c r="G1220" s="143" t="str">
        <f t="shared" si="20"/>
        <v>03100420041010100</v>
      </c>
    </row>
    <row r="1221" spans="1:7" x14ac:dyDescent="0.2">
      <c r="A1221" s="52" t="s">
        <v>1331</v>
      </c>
      <c r="B1221" s="368" t="s">
        <v>1009</v>
      </c>
      <c r="C1221" s="368" t="s">
        <v>385</v>
      </c>
      <c r="D1221" s="368" t="s">
        <v>1556</v>
      </c>
      <c r="E1221" s="369" t="s">
        <v>140</v>
      </c>
      <c r="F1221" s="370">
        <v>1282300</v>
      </c>
      <c r="G1221" s="143" t="str">
        <f t="shared" si="20"/>
        <v>03100420041010110</v>
      </c>
    </row>
    <row r="1222" spans="1:7" x14ac:dyDescent="0.2">
      <c r="A1222" s="52" t="s">
        <v>1216</v>
      </c>
      <c r="B1222" s="368" t="s">
        <v>1009</v>
      </c>
      <c r="C1222" s="368" t="s">
        <v>385</v>
      </c>
      <c r="D1222" s="368" t="s">
        <v>1556</v>
      </c>
      <c r="E1222" s="369" t="s">
        <v>382</v>
      </c>
      <c r="F1222" s="370">
        <v>984870</v>
      </c>
      <c r="G1222" s="143" t="str">
        <f t="shared" si="20"/>
        <v>03100420041010111</v>
      </c>
    </row>
    <row r="1223" spans="1:7" ht="38.25" x14ac:dyDescent="0.2">
      <c r="A1223" s="52" t="s">
        <v>1217</v>
      </c>
      <c r="B1223" s="368" t="s">
        <v>1009</v>
      </c>
      <c r="C1223" s="368" t="s">
        <v>385</v>
      </c>
      <c r="D1223" s="368" t="s">
        <v>1556</v>
      </c>
      <c r="E1223" s="369" t="s">
        <v>1117</v>
      </c>
      <c r="F1223" s="370">
        <v>297430</v>
      </c>
      <c r="G1223" s="143" t="str">
        <f t="shared" si="20"/>
        <v>03100420041010119</v>
      </c>
    </row>
    <row r="1224" spans="1:7" ht="102" x14ac:dyDescent="0.2">
      <c r="A1224" s="52" t="s">
        <v>1557</v>
      </c>
      <c r="B1224" s="368" t="s">
        <v>1009</v>
      </c>
      <c r="C1224" s="368" t="s">
        <v>385</v>
      </c>
      <c r="D1224" s="368" t="s">
        <v>1558</v>
      </c>
      <c r="E1224" s="369" t="s">
        <v>1314</v>
      </c>
      <c r="F1224" s="370">
        <v>365000</v>
      </c>
      <c r="G1224" s="143" t="str">
        <f t="shared" si="20"/>
        <v>03100420047010</v>
      </c>
    </row>
    <row r="1225" spans="1:7" ht="51" x14ac:dyDescent="0.2">
      <c r="A1225" s="52" t="s">
        <v>1501</v>
      </c>
      <c r="B1225" s="368" t="s">
        <v>1009</v>
      </c>
      <c r="C1225" s="368" t="s">
        <v>385</v>
      </c>
      <c r="D1225" s="368" t="s">
        <v>1558</v>
      </c>
      <c r="E1225" s="369" t="s">
        <v>290</v>
      </c>
      <c r="F1225" s="370">
        <v>365000</v>
      </c>
      <c r="G1225" s="143" t="str">
        <f t="shared" si="20"/>
        <v>03100420047010100</v>
      </c>
    </row>
    <row r="1226" spans="1:7" x14ac:dyDescent="0.2">
      <c r="A1226" s="52" t="s">
        <v>1331</v>
      </c>
      <c r="B1226" s="368" t="s">
        <v>1009</v>
      </c>
      <c r="C1226" s="368" t="s">
        <v>385</v>
      </c>
      <c r="D1226" s="368" t="s">
        <v>1558</v>
      </c>
      <c r="E1226" s="369" t="s">
        <v>140</v>
      </c>
      <c r="F1226" s="370">
        <v>365000</v>
      </c>
      <c r="G1226" s="143" t="str">
        <f t="shared" si="20"/>
        <v>03100420047010110</v>
      </c>
    </row>
    <row r="1227" spans="1:7" ht="25.5" x14ac:dyDescent="0.2">
      <c r="A1227" s="52" t="s">
        <v>1225</v>
      </c>
      <c r="B1227" s="368" t="s">
        <v>1009</v>
      </c>
      <c r="C1227" s="368" t="s">
        <v>385</v>
      </c>
      <c r="D1227" s="368" t="s">
        <v>1558</v>
      </c>
      <c r="E1227" s="369" t="s">
        <v>431</v>
      </c>
      <c r="F1227" s="370">
        <v>365000</v>
      </c>
      <c r="G1227" s="143" t="str">
        <f t="shared" si="20"/>
        <v>03100420047010112</v>
      </c>
    </row>
    <row r="1228" spans="1:7" ht="114.75" x14ac:dyDescent="0.2">
      <c r="A1228" s="52" t="s">
        <v>2104</v>
      </c>
      <c r="B1228" s="368" t="s">
        <v>1009</v>
      </c>
      <c r="C1228" s="368" t="s">
        <v>385</v>
      </c>
      <c r="D1228" s="368" t="s">
        <v>717</v>
      </c>
      <c r="E1228" s="369" t="s">
        <v>1314</v>
      </c>
      <c r="F1228" s="370">
        <v>2563670</v>
      </c>
      <c r="G1228" s="143" t="str">
        <f t="shared" si="20"/>
        <v>0310042004Г010</v>
      </c>
    </row>
    <row r="1229" spans="1:7" ht="25.5" x14ac:dyDescent="0.2">
      <c r="A1229" s="52" t="s">
        <v>1502</v>
      </c>
      <c r="B1229" s="368" t="s">
        <v>1009</v>
      </c>
      <c r="C1229" s="368" t="s">
        <v>385</v>
      </c>
      <c r="D1229" s="368" t="s">
        <v>717</v>
      </c>
      <c r="E1229" s="369" t="s">
        <v>1503</v>
      </c>
      <c r="F1229" s="370">
        <v>2563670</v>
      </c>
      <c r="G1229" s="143" t="str">
        <f t="shared" si="20"/>
        <v>0310042004Г010200</v>
      </c>
    </row>
    <row r="1230" spans="1:7" ht="25.5" x14ac:dyDescent="0.2">
      <c r="A1230" s="52" t="s">
        <v>1338</v>
      </c>
      <c r="B1230" s="368" t="s">
        <v>1009</v>
      </c>
      <c r="C1230" s="368" t="s">
        <v>385</v>
      </c>
      <c r="D1230" s="368" t="s">
        <v>717</v>
      </c>
      <c r="E1230" s="369" t="s">
        <v>1339</v>
      </c>
      <c r="F1230" s="370">
        <v>2563670</v>
      </c>
      <c r="G1230" s="143" t="str">
        <f t="shared" si="20"/>
        <v>0310042004Г010240</v>
      </c>
    </row>
    <row r="1231" spans="1:7" x14ac:dyDescent="0.2">
      <c r="A1231" s="52" t="s">
        <v>2024</v>
      </c>
      <c r="B1231" s="368" t="s">
        <v>1009</v>
      </c>
      <c r="C1231" s="368" t="s">
        <v>385</v>
      </c>
      <c r="D1231" s="368" t="s">
        <v>717</v>
      </c>
      <c r="E1231" s="369" t="s">
        <v>2025</v>
      </c>
      <c r="F1231" s="370">
        <v>2563670</v>
      </c>
      <c r="G1231" s="143" t="str">
        <f t="shared" si="20"/>
        <v>0310042004Г010247</v>
      </c>
    </row>
    <row r="1232" spans="1:7" ht="114.75" x14ac:dyDescent="0.2">
      <c r="A1232" s="52" t="s">
        <v>1559</v>
      </c>
      <c r="B1232" s="368" t="s">
        <v>1009</v>
      </c>
      <c r="C1232" s="368" t="s">
        <v>385</v>
      </c>
      <c r="D1232" s="368" t="s">
        <v>1560</v>
      </c>
      <c r="E1232" s="369" t="s">
        <v>1314</v>
      </c>
      <c r="F1232" s="370">
        <v>657395</v>
      </c>
      <c r="G1232" s="143" t="str">
        <f t="shared" si="20"/>
        <v>0310042004Э010</v>
      </c>
    </row>
    <row r="1233" spans="1:7" ht="25.5" x14ac:dyDescent="0.2">
      <c r="A1233" s="52" t="s">
        <v>1502</v>
      </c>
      <c r="B1233" s="368" t="s">
        <v>1009</v>
      </c>
      <c r="C1233" s="368" t="s">
        <v>385</v>
      </c>
      <c r="D1233" s="368" t="s">
        <v>1560</v>
      </c>
      <c r="E1233" s="369" t="s">
        <v>1503</v>
      </c>
      <c r="F1233" s="370">
        <v>657395</v>
      </c>
      <c r="G1233" s="143" t="str">
        <f t="shared" si="20"/>
        <v>0310042004Э010200</v>
      </c>
    </row>
    <row r="1234" spans="1:7" ht="25.5" x14ac:dyDescent="0.2">
      <c r="A1234" s="52" t="s">
        <v>1338</v>
      </c>
      <c r="B1234" s="368" t="s">
        <v>1009</v>
      </c>
      <c r="C1234" s="368" t="s">
        <v>385</v>
      </c>
      <c r="D1234" s="368" t="s">
        <v>1560</v>
      </c>
      <c r="E1234" s="369" t="s">
        <v>1339</v>
      </c>
      <c r="F1234" s="370">
        <v>657395</v>
      </c>
      <c r="G1234" s="143" t="str">
        <f t="shared" si="20"/>
        <v>0310042004Э010240</v>
      </c>
    </row>
    <row r="1235" spans="1:7" x14ac:dyDescent="0.2">
      <c r="A1235" s="52" t="s">
        <v>2024</v>
      </c>
      <c r="B1235" s="368" t="s">
        <v>1009</v>
      </c>
      <c r="C1235" s="368" t="s">
        <v>385</v>
      </c>
      <c r="D1235" s="368" t="s">
        <v>1560</v>
      </c>
      <c r="E1235" s="369" t="s">
        <v>2025</v>
      </c>
      <c r="F1235" s="370">
        <v>657395</v>
      </c>
      <c r="G1235" s="143" t="str">
        <f t="shared" si="20"/>
        <v>0310042004Э010247</v>
      </c>
    </row>
    <row r="1236" spans="1:7" x14ac:dyDescent="0.2">
      <c r="A1236" s="52" t="s">
        <v>255</v>
      </c>
      <c r="B1236" s="368" t="s">
        <v>1009</v>
      </c>
      <c r="C1236" s="368" t="s">
        <v>1219</v>
      </c>
      <c r="D1236" s="368" t="s">
        <v>1314</v>
      </c>
      <c r="E1236" s="369" t="s">
        <v>1314</v>
      </c>
      <c r="F1236" s="370">
        <v>5224980</v>
      </c>
      <c r="G1236" s="143" t="str">
        <f t="shared" si="20"/>
        <v>0500</v>
      </c>
    </row>
    <row r="1237" spans="1:7" x14ac:dyDescent="0.2">
      <c r="A1237" s="52" t="s">
        <v>153</v>
      </c>
      <c r="B1237" s="368" t="s">
        <v>1009</v>
      </c>
      <c r="C1237" s="368" t="s">
        <v>404</v>
      </c>
      <c r="D1237" s="368" t="s">
        <v>1314</v>
      </c>
      <c r="E1237" s="369" t="s">
        <v>1314</v>
      </c>
      <c r="F1237" s="370">
        <v>5224980</v>
      </c>
      <c r="G1237" s="143" t="str">
        <f t="shared" si="20"/>
        <v>0502</v>
      </c>
    </row>
    <row r="1238" spans="1:7" ht="38.25" x14ac:dyDescent="0.2">
      <c r="A1238" s="52" t="s">
        <v>493</v>
      </c>
      <c r="B1238" s="368" t="s">
        <v>1009</v>
      </c>
      <c r="C1238" s="368" t="s">
        <v>404</v>
      </c>
      <c r="D1238" s="368" t="s">
        <v>1034</v>
      </c>
      <c r="E1238" s="369" t="s">
        <v>1314</v>
      </c>
      <c r="F1238" s="370">
        <v>5224980</v>
      </c>
      <c r="G1238" s="143" t="str">
        <f t="shared" si="20"/>
        <v>05020300000000</v>
      </c>
    </row>
    <row r="1239" spans="1:7" ht="38.25" x14ac:dyDescent="0.2">
      <c r="A1239" s="52" t="s">
        <v>638</v>
      </c>
      <c r="B1239" s="368" t="s">
        <v>1009</v>
      </c>
      <c r="C1239" s="368" t="s">
        <v>404</v>
      </c>
      <c r="D1239" s="368" t="s">
        <v>1035</v>
      </c>
      <c r="E1239" s="369" t="s">
        <v>1314</v>
      </c>
      <c r="F1239" s="370">
        <v>5224980</v>
      </c>
      <c r="G1239" s="143" t="str">
        <f t="shared" si="20"/>
        <v>05020320000000</v>
      </c>
    </row>
    <row r="1240" spans="1:7" ht="102" x14ac:dyDescent="0.2">
      <c r="A1240" s="52" t="s">
        <v>1270</v>
      </c>
      <c r="B1240" s="368" t="s">
        <v>1009</v>
      </c>
      <c r="C1240" s="368" t="s">
        <v>404</v>
      </c>
      <c r="D1240" s="368" t="s">
        <v>736</v>
      </c>
      <c r="E1240" s="369" t="s">
        <v>1314</v>
      </c>
      <c r="F1240" s="370">
        <v>1450680</v>
      </c>
      <c r="G1240" s="143" t="str">
        <f t="shared" si="20"/>
        <v>05020320075700</v>
      </c>
    </row>
    <row r="1241" spans="1:7" ht="51" x14ac:dyDescent="0.2">
      <c r="A1241" s="52" t="s">
        <v>1501</v>
      </c>
      <c r="B1241" s="368" t="s">
        <v>1009</v>
      </c>
      <c r="C1241" s="368" t="s">
        <v>404</v>
      </c>
      <c r="D1241" s="368" t="s">
        <v>736</v>
      </c>
      <c r="E1241" s="369" t="s">
        <v>290</v>
      </c>
      <c r="F1241" s="370">
        <v>1181565</v>
      </c>
      <c r="G1241" s="143" t="str">
        <f t="shared" si="20"/>
        <v>05020320075700100</v>
      </c>
    </row>
    <row r="1242" spans="1:7" x14ac:dyDescent="0.2">
      <c r="A1242" s="52" t="s">
        <v>1331</v>
      </c>
      <c r="B1242" s="368" t="s">
        <v>1009</v>
      </c>
      <c r="C1242" s="368" t="s">
        <v>404</v>
      </c>
      <c r="D1242" s="368" t="s">
        <v>736</v>
      </c>
      <c r="E1242" s="369" t="s">
        <v>140</v>
      </c>
      <c r="F1242" s="370">
        <v>1181565</v>
      </c>
      <c r="G1242" s="143" t="str">
        <f t="shared" si="20"/>
        <v>05020320075700110</v>
      </c>
    </row>
    <row r="1243" spans="1:7" x14ac:dyDescent="0.2">
      <c r="A1243" s="52" t="s">
        <v>1216</v>
      </c>
      <c r="B1243" s="368" t="s">
        <v>1009</v>
      </c>
      <c r="C1243" s="368" t="s">
        <v>404</v>
      </c>
      <c r="D1243" s="368" t="s">
        <v>736</v>
      </c>
      <c r="E1243" s="369" t="s">
        <v>382</v>
      </c>
      <c r="F1243" s="370">
        <v>907500</v>
      </c>
      <c r="G1243" s="143" t="str">
        <f t="shared" si="20"/>
        <v>05020320075700111</v>
      </c>
    </row>
    <row r="1244" spans="1:7" ht="38.25" x14ac:dyDescent="0.2">
      <c r="A1244" s="52" t="s">
        <v>1217</v>
      </c>
      <c r="B1244" s="368" t="s">
        <v>1009</v>
      </c>
      <c r="C1244" s="368" t="s">
        <v>404</v>
      </c>
      <c r="D1244" s="368" t="s">
        <v>736</v>
      </c>
      <c r="E1244" s="369" t="s">
        <v>1117</v>
      </c>
      <c r="F1244" s="370">
        <v>274065</v>
      </c>
      <c r="G1244" s="143" t="str">
        <f t="shared" si="20"/>
        <v>05020320075700119</v>
      </c>
    </row>
    <row r="1245" spans="1:7" ht="25.5" x14ac:dyDescent="0.2">
      <c r="A1245" s="52" t="s">
        <v>1502</v>
      </c>
      <c r="B1245" s="368" t="s">
        <v>1009</v>
      </c>
      <c r="C1245" s="368" t="s">
        <v>404</v>
      </c>
      <c r="D1245" s="368" t="s">
        <v>736</v>
      </c>
      <c r="E1245" s="369" t="s">
        <v>1503</v>
      </c>
      <c r="F1245" s="370">
        <v>196032</v>
      </c>
      <c r="G1245" s="143" t="str">
        <f t="shared" si="20"/>
        <v>05020320075700200</v>
      </c>
    </row>
    <row r="1246" spans="1:7" ht="25.5" x14ac:dyDescent="0.2">
      <c r="A1246" s="52" t="s">
        <v>1338</v>
      </c>
      <c r="B1246" s="368" t="s">
        <v>1009</v>
      </c>
      <c r="C1246" s="368" t="s">
        <v>404</v>
      </c>
      <c r="D1246" s="368" t="s">
        <v>736</v>
      </c>
      <c r="E1246" s="369" t="s">
        <v>1339</v>
      </c>
      <c r="F1246" s="371">
        <v>196032</v>
      </c>
      <c r="G1246" s="143" t="str">
        <f t="shared" si="20"/>
        <v>05020320075700240</v>
      </c>
    </row>
    <row r="1247" spans="1:7" x14ac:dyDescent="0.2">
      <c r="A1247" s="52" t="s">
        <v>1379</v>
      </c>
      <c r="B1247" s="368" t="s">
        <v>1009</v>
      </c>
      <c r="C1247" s="368" t="s">
        <v>404</v>
      </c>
      <c r="D1247" s="368" t="s">
        <v>736</v>
      </c>
      <c r="E1247" s="369" t="s">
        <v>368</v>
      </c>
      <c r="F1247" s="371">
        <v>105862</v>
      </c>
      <c r="G1247" s="143" t="str">
        <f t="shared" si="20"/>
        <v>05020320075700244</v>
      </c>
    </row>
    <row r="1248" spans="1:7" x14ac:dyDescent="0.2">
      <c r="A1248" s="52" t="s">
        <v>2024</v>
      </c>
      <c r="B1248" s="368" t="s">
        <v>1009</v>
      </c>
      <c r="C1248" s="368" t="s">
        <v>404</v>
      </c>
      <c r="D1248" s="368" t="s">
        <v>736</v>
      </c>
      <c r="E1248" s="369" t="s">
        <v>2025</v>
      </c>
      <c r="F1248" s="371">
        <v>90170</v>
      </c>
      <c r="G1248" s="143" t="str">
        <f t="shared" si="20"/>
        <v>05020320075700247</v>
      </c>
    </row>
    <row r="1249" spans="1:7" x14ac:dyDescent="0.2">
      <c r="A1249" s="52" t="s">
        <v>1504</v>
      </c>
      <c r="B1249" s="368" t="s">
        <v>1009</v>
      </c>
      <c r="C1249" s="368" t="s">
        <v>404</v>
      </c>
      <c r="D1249" s="368" t="s">
        <v>736</v>
      </c>
      <c r="E1249" s="369" t="s">
        <v>1505</v>
      </c>
      <c r="F1249" s="371">
        <v>73083</v>
      </c>
      <c r="G1249" s="143" t="str">
        <f t="shared" si="20"/>
        <v>05020320075700800</v>
      </c>
    </row>
    <row r="1250" spans="1:7" x14ac:dyDescent="0.2">
      <c r="A1250" s="52" t="s">
        <v>1343</v>
      </c>
      <c r="B1250" s="368" t="s">
        <v>1009</v>
      </c>
      <c r="C1250" s="368" t="s">
        <v>404</v>
      </c>
      <c r="D1250" s="368" t="s">
        <v>736</v>
      </c>
      <c r="E1250" s="369" t="s">
        <v>1344</v>
      </c>
      <c r="F1250" s="370">
        <v>73083</v>
      </c>
      <c r="G1250" s="143" t="str">
        <f t="shared" si="20"/>
        <v>05020320075700850</v>
      </c>
    </row>
    <row r="1251" spans="1:7" x14ac:dyDescent="0.2">
      <c r="A1251" s="52" t="s">
        <v>1011</v>
      </c>
      <c r="B1251" s="368" t="s">
        <v>1009</v>
      </c>
      <c r="C1251" s="368" t="s">
        <v>404</v>
      </c>
      <c r="D1251" s="368" t="s">
        <v>736</v>
      </c>
      <c r="E1251" s="369" t="s">
        <v>539</v>
      </c>
      <c r="F1251" s="370">
        <v>73083</v>
      </c>
      <c r="G1251" s="143" t="str">
        <f t="shared" si="20"/>
        <v>05020320075700852</v>
      </c>
    </row>
    <row r="1252" spans="1:7" ht="102" x14ac:dyDescent="0.2">
      <c r="A1252" s="52" t="s">
        <v>1497</v>
      </c>
      <c r="B1252" s="368" t="s">
        <v>1009</v>
      </c>
      <c r="C1252" s="368" t="s">
        <v>404</v>
      </c>
      <c r="D1252" s="368" t="s">
        <v>1498</v>
      </c>
      <c r="E1252" s="369" t="s">
        <v>1314</v>
      </c>
      <c r="F1252" s="370">
        <v>2917665</v>
      </c>
      <c r="G1252" s="143" t="str">
        <f t="shared" si="20"/>
        <v>05020320080090</v>
      </c>
    </row>
    <row r="1253" spans="1:7" ht="51" x14ac:dyDescent="0.2">
      <c r="A1253" s="52" t="s">
        <v>1501</v>
      </c>
      <c r="B1253" s="368" t="s">
        <v>1009</v>
      </c>
      <c r="C1253" s="368" t="s">
        <v>404</v>
      </c>
      <c r="D1253" s="368" t="s">
        <v>1498</v>
      </c>
      <c r="E1253" s="369" t="s">
        <v>290</v>
      </c>
      <c r="F1253" s="370">
        <v>2402551</v>
      </c>
      <c r="G1253" s="143" t="str">
        <f t="shared" si="20"/>
        <v>05020320080090100</v>
      </c>
    </row>
    <row r="1254" spans="1:7" x14ac:dyDescent="0.2">
      <c r="A1254" s="52" t="s">
        <v>1331</v>
      </c>
      <c r="B1254" s="368" t="s">
        <v>1009</v>
      </c>
      <c r="C1254" s="368" t="s">
        <v>404</v>
      </c>
      <c r="D1254" s="368" t="s">
        <v>1498</v>
      </c>
      <c r="E1254" s="369" t="s">
        <v>140</v>
      </c>
      <c r="F1254" s="371">
        <v>2402551</v>
      </c>
      <c r="G1254" s="143" t="str">
        <f t="shared" si="20"/>
        <v>05020320080090110</v>
      </c>
    </row>
    <row r="1255" spans="1:7" x14ac:dyDescent="0.2">
      <c r="A1255" s="52" t="s">
        <v>1216</v>
      </c>
      <c r="B1255" s="368" t="s">
        <v>1009</v>
      </c>
      <c r="C1255" s="368" t="s">
        <v>404</v>
      </c>
      <c r="D1255" s="368" t="s">
        <v>1498</v>
      </c>
      <c r="E1255" s="369" t="s">
        <v>382</v>
      </c>
      <c r="F1255" s="371">
        <v>1838380</v>
      </c>
      <c r="G1255" s="143" t="str">
        <f t="shared" si="20"/>
        <v>05020320080090111</v>
      </c>
    </row>
    <row r="1256" spans="1:7" ht="25.5" x14ac:dyDescent="0.2">
      <c r="A1256" s="52" t="s">
        <v>1225</v>
      </c>
      <c r="B1256" s="368" t="s">
        <v>1009</v>
      </c>
      <c r="C1256" s="368" t="s">
        <v>404</v>
      </c>
      <c r="D1256" s="368" t="s">
        <v>1498</v>
      </c>
      <c r="E1256" s="369" t="s">
        <v>431</v>
      </c>
      <c r="F1256" s="371">
        <v>12000</v>
      </c>
      <c r="G1256" s="143" t="str">
        <f t="shared" si="20"/>
        <v>05020320080090112</v>
      </c>
    </row>
    <row r="1257" spans="1:7" ht="38.25" x14ac:dyDescent="0.2">
      <c r="A1257" s="52" t="s">
        <v>1217</v>
      </c>
      <c r="B1257" s="368" t="s">
        <v>1009</v>
      </c>
      <c r="C1257" s="368" t="s">
        <v>404</v>
      </c>
      <c r="D1257" s="368" t="s">
        <v>1498</v>
      </c>
      <c r="E1257" s="369" t="s">
        <v>1117</v>
      </c>
      <c r="F1257" s="371">
        <v>552171</v>
      </c>
      <c r="G1257" s="143" t="str">
        <f t="shared" ref="G1257:G1320" si="21">CONCATENATE(C1257,D1257,E1257)</f>
        <v>05020320080090119</v>
      </c>
    </row>
    <row r="1258" spans="1:7" ht="25.5" x14ac:dyDescent="0.2">
      <c r="A1258" s="353" t="s">
        <v>1502</v>
      </c>
      <c r="B1258" s="368" t="s">
        <v>1009</v>
      </c>
      <c r="C1258" s="368" t="s">
        <v>404</v>
      </c>
      <c r="D1258" s="368" t="s">
        <v>1498</v>
      </c>
      <c r="E1258" s="369" t="s">
        <v>1503</v>
      </c>
      <c r="F1258" s="371">
        <v>468457</v>
      </c>
      <c r="G1258" s="143" t="str">
        <f t="shared" si="21"/>
        <v>05020320080090200</v>
      </c>
    </row>
    <row r="1259" spans="1:7" ht="25.5" x14ac:dyDescent="0.2">
      <c r="A1259" s="353" t="s">
        <v>1338</v>
      </c>
      <c r="B1259" s="368" t="s">
        <v>1009</v>
      </c>
      <c r="C1259" s="368" t="s">
        <v>404</v>
      </c>
      <c r="D1259" s="368" t="s">
        <v>1498</v>
      </c>
      <c r="E1259" s="369" t="s">
        <v>1339</v>
      </c>
      <c r="F1259" s="371">
        <v>468457</v>
      </c>
      <c r="G1259" s="143" t="str">
        <f t="shared" si="21"/>
        <v>05020320080090240</v>
      </c>
    </row>
    <row r="1260" spans="1:7" x14ac:dyDescent="0.2">
      <c r="A1260" s="353" t="s">
        <v>1379</v>
      </c>
      <c r="B1260" s="368" t="s">
        <v>1009</v>
      </c>
      <c r="C1260" s="368" t="s">
        <v>404</v>
      </c>
      <c r="D1260" s="368" t="s">
        <v>1498</v>
      </c>
      <c r="E1260" s="369" t="s">
        <v>368</v>
      </c>
      <c r="F1260" s="371">
        <v>468457</v>
      </c>
      <c r="G1260" s="143" t="str">
        <f t="shared" si="21"/>
        <v>05020320080090244</v>
      </c>
    </row>
    <row r="1261" spans="1:7" x14ac:dyDescent="0.2">
      <c r="A1261" s="353" t="s">
        <v>1504</v>
      </c>
      <c r="B1261" s="368" t="s">
        <v>1009</v>
      </c>
      <c r="C1261" s="368" t="s">
        <v>404</v>
      </c>
      <c r="D1261" s="368" t="s">
        <v>1498</v>
      </c>
      <c r="E1261" s="369" t="s">
        <v>1505</v>
      </c>
      <c r="F1261" s="371">
        <v>46657</v>
      </c>
      <c r="G1261" s="143" t="str">
        <f t="shared" si="21"/>
        <v>05020320080090800</v>
      </c>
    </row>
    <row r="1262" spans="1:7" x14ac:dyDescent="0.2">
      <c r="A1262" s="353" t="s">
        <v>1343</v>
      </c>
      <c r="B1262" s="368" t="s">
        <v>1009</v>
      </c>
      <c r="C1262" s="368" t="s">
        <v>404</v>
      </c>
      <c r="D1262" s="368" t="s">
        <v>1498</v>
      </c>
      <c r="E1262" s="369" t="s">
        <v>1344</v>
      </c>
      <c r="F1262" s="370">
        <v>46657</v>
      </c>
      <c r="G1262" s="143" t="str">
        <f t="shared" si="21"/>
        <v>05020320080090850</v>
      </c>
    </row>
    <row r="1263" spans="1:7" x14ac:dyDescent="0.2">
      <c r="A1263" s="353" t="s">
        <v>1011</v>
      </c>
      <c r="B1263" s="368" t="s">
        <v>1009</v>
      </c>
      <c r="C1263" s="368" t="s">
        <v>404</v>
      </c>
      <c r="D1263" s="368" t="s">
        <v>1498</v>
      </c>
      <c r="E1263" s="369" t="s">
        <v>539</v>
      </c>
      <c r="F1263" s="370">
        <v>46657</v>
      </c>
      <c r="G1263" s="143" t="str">
        <f t="shared" si="21"/>
        <v>05020320080090852</v>
      </c>
    </row>
    <row r="1264" spans="1:7" ht="140.25" x14ac:dyDescent="0.2">
      <c r="A1264" s="353" t="s">
        <v>1561</v>
      </c>
      <c r="B1264" s="368" t="s">
        <v>1009</v>
      </c>
      <c r="C1264" s="368" t="s">
        <v>404</v>
      </c>
      <c r="D1264" s="368" t="s">
        <v>1562</v>
      </c>
      <c r="E1264" s="369" t="s">
        <v>1314</v>
      </c>
      <c r="F1264" s="370">
        <v>320700</v>
      </c>
      <c r="G1264" s="143" t="str">
        <f t="shared" si="21"/>
        <v>05020320081090</v>
      </c>
    </row>
    <row r="1265" spans="1:7" ht="51" x14ac:dyDescent="0.2">
      <c r="A1265" s="353" t="s">
        <v>1501</v>
      </c>
      <c r="B1265" s="368" t="s">
        <v>1009</v>
      </c>
      <c r="C1265" s="368" t="s">
        <v>404</v>
      </c>
      <c r="D1265" s="368" t="s">
        <v>1562</v>
      </c>
      <c r="E1265" s="369" t="s">
        <v>290</v>
      </c>
      <c r="F1265" s="370">
        <v>320700</v>
      </c>
      <c r="G1265" s="143" t="str">
        <f t="shared" si="21"/>
        <v>05020320081090100</v>
      </c>
    </row>
    <row r="1266" spans="1:7" x14ac:dyDescent="0.2">
      <c r="A1266" s="353" t="s">
        <v>1331</v>
      </c>
      <c r="B1266" s="368" t="s">
        <v>1009</v>
      </c>
      <c r="C1266" s="368" t="s">
        <v>404</v>
      </c>
      <c r="D1266" s="368" t="s">
        <v>1562</v>
      </c>
      <c r="E1266" s="369" t="s">
        <v>140</v>
      </c>
      <c r="F1266" s="370">
        <v>320700</v>
      </c>
      <c r="G1266" s="143" t="str">
        <f t="shared" si="21"/>
        <v>05020320081090110</v>
      </c>
    </row>
    <row r="1267" spans="1:7" x14ac:dyDescent="0.2">
      <c r="A1267" s="353" t="s">
        <v>1216</v>
      </c>
      <c r="B1267" s="368" t="s">
        <v>1009</v>
      </c>
      <c r="C1267" s="368" t="s">
        <v>404</v>
      </c>
      <c r="D1267" s="368" t="s">
        <v>1562</v>
      </c>
      <c r="E1267" s="369" t="s">
        <v>382</v>
      </c>
      <c r="F1267" s="370">
        <v>246313</v>
      </c>
      <c r="G1267" s="143" t="str">
        <f t="shared" si="21"/>
        <v>05020320081090111</v>
      </c>
    </row>
    <row r="1268" spans="1:7" ht="38.25" x14ac:dyDescent="0.2">
      <c r="A1268" s="353" t="s">
        <v>1217</v>
      </c>
      <c r="B1268" s="368" t="s">
        <v>1009</v>
      </c>
      <c r="C1268" s="368" t="s">
        <v>404</v>
      </c>
      <c r="D1268" s="368" t="s">
        <v>1562</v>
      </c>
      <c r="E1268" s="369" t="s">
        <v>1117</v>
      </c>
      <c r="F1268" s="370">
        <v>74387</v>
      </c>
      <c r="G1268" s="143" t="str">
        <f t="shared" si="21"/>
        <v>05020320081090119</v>
      </c>
    </row>
    <row r="1269" spans="1:7" ht="114.75" x14ac:dyDescent="0.2">
      <c r="A1269" s="353" t="s">
        <v>2075</v>
      </c>
      <c r="B1269" s="368" t="s">
        <v>1009</v>
      </c>
      <c r="C1269" s="368" t="s">
        <v>404</v>
      </c>
      <c r="D1269" s="368" t="s">
        <v>2076</v>
      </c>
      <c r="E1269" s="369" t="s">
        <v>1314</v>
      </c>
      <c r="F1269" s="370">
        <v>40000</v>
      </c>
      <c r="G1269" s="143" t="str">
        <f t="shared" si="21"/>
        <v>05020320087090</v>
      </c>
    </row>
    <row r="1270" spans="1:7" ht="51" x14ac:dyDescent="0.2">
      <c r="A1270" s="353" t="s">
        <v>1501</v>
      </c>
      <c r="B1270" s="368" t="s">
        <v>1009</v>
      </c>
      <c r="C1270" s="368" t="s">
        <v>404</v>
      </c>
      <c r="D1270" s="368" t="s">
        <v>2076</v>
      </c>
      <c r="E1270" s="369" t="s">
        <v>290</v>
      </c>
      <c r="F1270" s="370">
        <v>40000</v>
      </c>
      <c r="G1270" s="143" t="str">
        <f t="shared" si="21"/>
        <v>05020320087090100</v>
      </c>
    </row>
    <row r="1271" spans="1:7" x14ac:dyDescent="0.2">
      <c r="A1271" s="353" t="s">
        <v>1331</v>
      </c>
      <c r="B1271" s="368" t="s">
        <v>1009</v>
      </c>
      <c r="C1271" s="368" t="s">
        <v>404</v>
      </c>
      <c r="D1271" s="368" t="s">
        <v>2076</v>
      </c>
      <c r="E1271" s="369" t="s">
        <v>140</v>
      </c>
      <c r="F1271" s="370">
        <v>40000</v>
      </c>
      <c r="G1271" s="143" t="str">
        <f t="shared" si="21"/>
        <v>05020320087090110</v>
      </c>
    </row>
    <row r="1272" spans="1:7" ht="25.5" x14ac:dyDescent="0.2">
      <c r="A1272" s="353" t="s">
        <v>1225</v>
      </c>
      <c r="B1272" s="368" t="s">
        <v>1009</v>
      </c>
      <c r="C1272" s="368" t="s">
        <v>404</v>
      </c>
      <c r="D1272" s="368" t="s">
        <v>2076</v>
      </c>
      <c r="E1272" s="369" t="s">
        <v>431</v>
      </c>
      <c r="F1272" s="370">
        <v>40000</v>
      </c>
      <c r="G1272" s="143" t="str">
        <f t="shared" si="21"/>
        <v>05020320087090112</v>
      </c>
    </row>
    <row r="1273" spans="1:7" ht="102" x14ac:dyDescent="0.2">
      <c r="A1273" s="353" t="s">
        <v>1499</v>
      </c>
      <c r="B1273" s="368" t="s">
        <v>1009</v>
      </c>
      <c r="C1273" s="368" t="s">
        <v>404</v>
      </c>
      <c r="D1273" s="368" t="s">
        <v>1500</v>
      </c>
      <c r="E1273" s="369" t="s">
        <v>1314</v>
      </c>
      <c r="F1273" s="371">
        <v>495935</v>
      </c>
      <c r="G1273" s="143" t="str">
        <f t="shared" si="21"/>
        <v>0502032008Г090</v>
      </c>
    </row>
    <row r="1274" spans="1:7" ht="25.5" x14ac:dyDescent="0.2">
      <c r="A1274" s="353" t="s">
        <v>1502</v>
      </c>
      <c r="B1274" s="368" t="s">
        <v>1009</v>
      </c>
      <c r="C1274" s="368" t="s">
        <v>404</v>
      </c>
      <c r="D1274" s="368" t="s">
        <v>1500</v>
      </c>
      <c r="E1274" s="369" t="s">
        <v>1503</v>
      </c>
      <c r="F1274" s="371">
        <v>495935</v>
      </c>
      <c r="G1274" s="143" t="str">
        <f t="shared" si="21"/>
        <v>0502032008Г090200</v>
      </c>
    </row>
    <row r="1275" spans="1:7" ht="25.5" x14ac:dyDescent="0.2">
      <c r="A1275" s="353" t="s">
        <v>1338</v>
      </c>
      <c r="B1275" s="368" t="s">
        <v>1009</v>
      </c>
      <c r="C1275" s="368" t="s">
        <v>404</v>
      </c>
      <c r="D1275" s="368" t="s">
        <v>1500</v>
      </c>
      <c r="E1275" s="369" t="s">
        <v>1339</v>
      </c>
      <c r="F1275" s="371">
        <v>495935</v>
      </c>
      <c r="G1275" s="143" t="str">
        <f t="shared" si="21"/>
        <v>0502032008Г090240</v>
      </c>
    </row>
    <row r="1276" spans="1:7" x14ac:dyDescent="0.2">
      <c r="A1276" s="353" t="s">
        <v>2024</v>
      </c>
      <c r="B1276" s="368" t="s">
        <v>1009</v>
      </c>
      <c r="C1276" s="368" t="s">
        <v>404</v>
      </c>
      <c r="D1276" s="368" t="s">
        <v>1500</v>
      </c>
      <c r="E1276" s="369" t="s">
        <v>2025</v>
      </c>
      <c r="F1276" s="371">
        <v>495935</v>
      </c>
      <c r="G1276" s="143" t="str">
        <f t="shared" si="21"/>
        <v>0502032008Г090247</v>
      </c>
    </row>
    <row r="1277" spans="1:7" ht="25.5" x14ac:dyDescent="0.2">
      <c r="A1277" s="353" t="s">
        <v>37</v>
      </c>
      <c r="B1277" s="368" t="s">
        <v>221</v>
      </c>
      <c r="C1277" s="368" t="s">
        <v>1314</v>
      </c>
      <c r="D1277" s="368" t="s">
        <v>1314</v>
      </c>
      <c r="E1277" s="369" t="s">
        <v>1314</v>
      </c>
      <c r="F1277" s="370">
        <v>257935426</v>
      </c>
      <c r="G1277" s="143" t="str">
        <f t="shared" si="21"/>
        <v/>
      </c>
    </row>
    <row r="1278" spans="1:7" x14ac:dyDescent="0.2">
      <c r="A1278" s="353" t="s">
        <v>250</v>
      </c>
      <c r="B1278" s="368" t="s">
        <v>221</v>
      </c>
      <c r="C1278" s="368" t="s">
        <v>1212</v>
      </c>
      <c r="D1278" s="368" t="s">
        <v>1314</v>
      </c>
      <c r="E1278" s="369" t="s">
        <v>1314</v>
      </c>
      <c r="F1278" s="370">
        <v>81266165</v>
      </c>
      <c r="G1278" s="143" t="str">
        <f t="shared" si="21"/>
        <v>0100</v>
      </c>
    </row>
    <row r="1279" spans="1:7" ht="38.25" x14ac:dyDescent="0.2">
      <c r="A1279" s="353" t="s">
        <v>232</v>
      </c>
      <c r="B1279" s="368" t="s">
        <v>221</v>
      </c>
      <c r="C1279" s="368" t="s">
        <v>370</v>
      </c>
      <c r="D1279" s="368" t="s">
        <v>1314</v>
      </c>
      <c r="E1279" s="369" t="s">
        <v>1314</v>
      </c>
      <c r="F1279" s="370">
        <v>18903105</v>
      </c>
      <c r="G1279" s="143" t="str">
        <f t="shared" si="21"/>
        <v>0106</v>
      </c>
    </row>
    <row r="1280" spans="1:7" ht="25.5" x14ac:dyDescent="0.2">
      <c r="A1280" s="353" t="s">
        <v>1563</v>
      </c>
      <c r="B1280" s="368" t="s">
        <v>221</v>
      </c>
      <c r="C1280" s="368" t="s">
        <v>370</v>
      </c>
      <c r="D1280" s="368" t="s">
        <v>1060</v>
      </c>
      <c r="E1280" s="369" t="s">
        <v>1314</v>
      </c>
      <c r="F1280" s="370">
        <v>18903105</v>
      </c>
      <c r="G1280" s="143" t="str">
        <f t="shared" si="21"/>
        <v>01061100000000</v>
      </c>
    </row>
    <row r="1281" spans="1:7" ht="25.5" x14ac:dyDescent="0.2">
      <c r="A1281" s="353" t="s">
        <v>533</v>
      </c>
      <c r="B1281" s="368" t="s">
        <v>221</v>
      </c>
      <c r="C1281" s="368" t="s">
        <v>370</v>
      </c>
      <c r="D1281" s="368" t="s">
        <v>1062</v>
      </c>
      <c r="E1281" s="369" t="s">
        <v>1314</v>
      </c>
      <c r="F1281" s="370">
        <v>18903105</v>
      </c>
      <c r="G1281" s="143" t="str">
        <f t="shared" si="21"/>
        <v>01061120000000</v>
      </c>
    </row>
    <row r="1282" spans="1:7" ht="63.75" x14ac:dyDescent="0.2">
      <c r="A1282" s="353" t="s">
        <v>465</v>
      </c>
      <c r="B1282" s="368" t="s">
        <v>221</v>
      </c>
      <c r="C1282" s="368" t="s">
        <v>370</v>
      </c>
      <c r="D1282" s="368" t="s">
        <v>845</v>
      </c>
      <c r="E1282" s="369" t="s">
        <v>1314</v>
      </c>
      <c r="F1282" s="370">
        <v>14793383</v>
      </c>
      <c r="G1282" s="143" t="str">
        <f t="shared" si="21"/>
        <v>01061120060000</v>
      </c>
    </row>
    <row r="1283" spans="1:7" ht="51" x14ac:dyDescent="0.2">
      <c r="A1283" s="353" t="s">
        <v>1501</v>
      </c>
      <c r="B1283" s="368" t="s">
        <v>221</v>
      </c>
      <c r="C1283" s="368" t="s">
        <v>370</v>
      </c>
      <c r="D1283" s="368" t="s">
        <v>845</v>
      </c>
      <c r="E1283" s="369" t="s">
        <v>290</v>
      </c>
      <c r="F1283" s="370">
        <v>12846852</v>
      </c>
      <c r="G1283" s="143" t="str">
        <f t="shared" si="21"/>
        <v>01061120060000100</v>
      </c>
    </row>
    <row r="1284" spans="1:7" ht="25.5" x14ac:dyDescent="0.2">
      <c r="A1284" s="353" t="s">
        <v>1345</v>
      </c>
      <c r="B1284" s="368" t="s">
        <v>221</v>
      </c>
      <c r="C1284" s="368" t="s">
        <v>370</v>
      </c>
      <c r="D1284" s="368" t="s">
        <v>845</v>
      </c>
      <c r="E1284" s="369" t="s">
        <v>30</v>
      </c>
      <c r="F1284" s="370">
        <v>12846852</v>
      </c>
      <c r="G1284" s="143" t="str">
        <f t="shared" si="21"/>
        <v>01061120060000120</v>
      </c>
    </row>
    <row r="1285" spans="1:7" ht="25.5" x14ac:dyDescent="0.2">
      <c r="A1285" s="353" t="s">
        <v>1010</v>
      </c>
      <c r="B1285" s="368" t="s">
        <v>221</v>
      </c>
      <c r="C1285" s="368" t="s">
        <v>370</v>
      </c>
      <c r="D1285" s="368" t="s">
        <v>845</v>
      </c>
      <c r="E1285" s="369" t="s">
        <v>363</v>
      </c>
      <c r="F1285" s="370">
        <v>9816553</v>
      </c>
      <c r="G1285" s="143" t="str">
        <f t="shared" si="21"/>
        <v>01061120060000121</v>
      </c>
    </row>
    <row r="1286" spans="1:7" ht="38.25" x14ac:dyDescent="0.2">
      <c r="A1286" s="353" t="s">
        <v>364</v>
      </c>
      <c r="B1286" s="368" t="s">
        <v>221</v>
      </c>
      <c r="C1286" s="368" t="s">
        <v>370</v>
      </c>
      <c r="D1286" s="368" t="s">
        <v>845</v>
      </c>
      <c r="E1286" s="369" t="s">
        <v>365</v>
      </c>
      <c r="F1286" s="370">
        <v>65700</v>
      </c>
      <c r="G1286" s="143" t="str">
        <f t="shared" si="21"/>
        <v>01061120060000122</v>
      </c>
    </row>
    <row r="1287" spans="1:7" ht="38.25" x14ac:dyDescent="0.2">
      <c r="A1287" s="353" t="s">
        <v>1115</v>
      </c>
      <c r="B1287" s="368" t="s">
        <v>221</v>
      </c>
      <c r="C1287" s="368" t="s">
        <v>370</v>
      </c>
      <c r="D1287" s="368" t="s">
        <v>845</v>
      </c>
      <c r="E1287" s="369" t="s">
        <v>1116</v>
      </c>
      <c r="F1287" s="370">
        <v>2964599</v>
      </c>
      <c r="G1287" s="143" t="str">
        <f t="shared" si="21"/>
        <v>01061120060000129</v>
      </c>
    </row>
    <row r="1288" spans="1:7" ht="25.5" x14ac:dyDescent="0.2">
      <c r="A1288" s="353" t="s">
        <v>1502</v>
      </c>
      <c r="B1288" s="368" t="s">
        <v>221</v>
      </c>
      <c r="C1288" s="368" t="s">
        <v>370</v>
      </c>
      <c r="D1288" s="368" t="s">
        <v>845</v>
      </c>
      <c r="E1288" s="369" t="s">
        <v>1503</v>
      </c>
      <c r="F1288" s="370">
        <v>1934031</v>
      </c>
      <c r="G1288" s="143" t="str">
        <f t="shared" si="21"/>
        <v>01061120060000200</v>
      </c>
    </row>
    <row r="1289" spans="1:7" ht="25.5" x14ac:dyDescent="0.2">
      <c r="A1289" s="353" t="s">
        <v>1338</v>
      </c>
      <c r="B1289" s="368" t="s">
        <v>221</v>
      </c>
      <c r="C1289" s="368" t="s">
        <v>370</v>
      </c>
      <c r="D1289" s="368" t="s">
        <v>845</v>
      </c>
      <c r="E1289" s="369" t="s">
        <v>1339</v>
      </c>
      <c r="F1289" s="370">
        <v>1934031</v>
      </c>
      <c r="G1289" s="143" t="str">
        <f t="shared" si="21"/>
        <v>01061120060000240</v>
      </c>
    </row>
    <row r="1290" spans="1:7" x14ac:dyDescent="0.2">
      <c r="A1290" s="353" t="s">
        <v>1379</v>
      </c>
      <c r="B1290" s="368" t="s">
        <v>221</v>
      </c>
      <c r="C1290" s="368" t="s">
        <v>370</v>
      </c>
      <c r="D1290" s="368" t="s">
        <v>845</v>
      </c>
      <c r="E1290" s="369" t="s">
        <v>368</v>
      </c>
      <c r="F1290" s="370">
        <v>1934031</v>
      </c>
      <c r="G1290" s="143" t="str">
        <f t="shared" si="21"/>
        <v>01061120060000244</v>
      </c>
    </row>
    <row r="1291" spans="1:7" x14ac:dyDescent="0.2">
      <c r="A1291" s="353" t="s">
        <v>1504</v>
      </c>
      <c r="B1291" s="368" t="s">
        <v>221</v>
      </c>
      <c r="C1291" s="368" t="s">
        <v>370</v>
      </c>
      <c r="D1291" s="368" t="s">
        <v>845</v>
      </c>
      <c r="E1291" s="369" t="s">
        <v>1505</v>
      </c>
      <c r="F1291" s="370">
        <v>12500</v>
      </c>
      <c r="G1291" s="143" t="str">
        <f t="shared" si="21"/>
        <v>01061120060000800</v>
      </c>
    </row>
    <row r="1292" spans="1:7" x14ac:dyDescent="0.2">
      <c r="A1292" s="353" t="s">
        <v>1343</v>
      </c>
      <c r="B1292" s="368" t="s">
        <v>221</v>
      </c>
      <c r="C1292" s="368" t="s">
        <v>370</v>
      </c>
      <c r="D1292" s="368" t="s">
        <v>845</v>
      </c>
      <c r="E1292" s="369" t="s">
        <v>1344</v>
      </c>
      <c r="F1292" s="370">
        <v>12500</v>
      </c>
      <c r="G1292" s="143" t="str">
        <f t="shared" si="21"/>
        <v>01061120060000850</v>
      </c>
    </row>
    <row r="1293" spans="1:7" x14ac:dyDescent="0.2">
      <c r="A1293" s="353" t="s">
        <v>1118</v>
      </c>
      <c r="B1293" s="368" t="s">
        <v>221</v>
      </c>
      <c r="C1293" s="368" t="s">
        <v>370</v>
      </c>
      <c r="D1293" s="368" t="s">
        <v>845</v>
      </c>
      <c r="E1293" s="369" t="s">
        <v>1119</v>
      </c>
      <c r="F1293" s="370">
        <v>12500</v>
      </c>
      <c r="G1293" s="143" t="str">
        <f t="shared" si="21"/>
        <v>01061120060000853</v>
      </c>
    </row>
    <row r="1294" spans="1:7" ht="89.25" x14ac:dyDescent="0.2">
      <c r="A1294" s="353" t="s">
        <v>577</v>
      </c>
      <c r="B1294" s="368" t="s">
        <v>221</v>
      </c>
      <c r="C1294" s="368" t="s">
        <v>370</v>
      </c>
      <c r="D1294" s="368" t="s">
        <v>846</v>
      </c>
      <c r="E1294" s="369" t="s">
        <v>1314</v>
      </c>
      <c r="F1294" s="370">
        <v>522000</v>
      </c>
      <c r="G1294" s="143" t="str">
        <f t="shared" si="21"/>
        <v>01061120061000</v>
      </c>
    </row>
    <row r="1295" spans="1:7" ht="51" x14ac:dyDescent="0.2">
      <c r="A1295" s="353" t="s">
        <v>1501</v>
      </c>
      <c r="B1295" s="368" t="s">
        <v>221</v>
      </c>
      <c r="C1295" s="368" t="s">
        <v>370</v>
      </c>
      <c r="D1295" s="368" t="s">
        <v>846</v>
      </c>
      <c r="E1295" s="369" t="s">
        <v>290</v>
      </c>
      <c r="F1295" s="370">
        <v>522000</v>
      </c>
      <c r="G1295" s="143" t="str">
        <f t="shared" si="21"/>
        <v>01061120061000100</v>
      </c>
    </row>
    <row r="1296" spans="1:7" ht="25.5" x14ac:dyDescent="0.2">
      <c r="A1296" s="353" t="s">
        <v>1345</v>
      </c>
      <c r="B1296" s="368" t="s">
        <v>221</v>
      </c>
      <c r="C1296" s="368" t="s">
        <v>370</v>
      </c>
      <c r="D1296" s="368" t="s">
        <v>846</v>
      </c>
      <c r="E1296" s="369" t="s">
        <v>30</v>
      </c>
      <c r="F1296" s="370">
        <v>522000</v>
      </c>
      <c r="G1296" s="143" t="str">
        <f t="shared" si="21"/>
        <v>01061120061000120</v>
      </c>
    </row>
    <row r="1297" spans="1:7" ht="25.5" x14ac:dyDescent="0.2">
      <c r="A1297" s="353" t="s">
        <v>1010</v>
      </c>
      <c r="B1297" s="368" t="s">
        <v>221</v>
      </c>
      <c r="C1297" s="368" t="s">
        <v>370</v>
      </c>
      <c r="D1297" s="368" t="s">
        <v>846</v>
      </c>
      <c r="E1297" s="369" t="s">
        <v>363</v>
      </c>
      <c r="F1297" s="370">
        <v>400922</v>
      </c>
      <c r="G1297" s="143" t="str">
        <f t="shared" si="21"/>
        <v>01061120061000121</v>
      </c>
    </row>
    <row r="1298" spans="1:7" ht="38.25" x14ac:dyDescent="0.2">
      <c r="A1298" s="353" t="s">
        <v>1115</v>
      </c>
      <c r="B1298" s="368" t="s">
        <v>221</v>
      </c>
      <c r="C1298" s="368" t="s">
        <v>370</v>
      </c>
      <c r="D1298" s="368" t="s">
        <v>846</v>
      </c>
      <c r="E1298" s="369" t="s">
        <v>1116</v>
      </c>
      <c r="F1298" s="370">
        <v>121078</v>
      </c>
      <c r="G1298" s="143" t="str">
        <f t="shared" si="21"/>
        <v>01061120061000129</v>
      </c>
    </row>
    <row r="1299" spans="1:7" ht="76.5" x14ac:dyDescent="0.2">
      <c r="A1299" s="353" t="s">
        <v>632</v>
      </c>
      <c r="B1299" s="368" t="s">
        <v>221</v>
      </c>
      <c r="C1299" s="368" t="s">
        <v>370</v>
      </c>
      <c r="D1299" s="368" t="s">
        <v>847</v>
      </c>
      <c r="E1299" s="369" t="s">
        <v>1314</v>
      </c>
      <c r="F1299" s="370">
        <v>470000</v>
      </c>
      <c r="G1299" s="143" t="str">
        <f t="shared" si="21"/>
        <v>01061120067000</v>
      </c>
    </row>
    <row r="1300" spans="1:7" ht="51" x14ac:dyDescent="0.2">
      <c r="A1300" s="353" t="s">
        <v>1501</v>
      </c>
      <c r="B1300" s="368" t="s">
        <v>221</v>
      </c>
      <c r="C1300" s="368" t="s">
        <v>370</v>
      </c>
      <c r="D1300" s="368" t="s">
        <v>847</v>
      </c>
      <c r="E1300" s="369" t="s">
        <v>290</v>
      </c>
      <c r="F1300" s="370">
        <v>470000</v>
      </c>
      <c r="G1300" s="143" t="str">
        <f t="shared" si="21"/>
        <v>01061120067000100</v>
      </c>
    </row>
    <row r="1301" spans="1:7" ht="25.5" x14ac:dyDescent="0.2">
      <c r="A1301" s="353" t="s">
        <v>1345</v>
      </c>
      <c r="B1301" s="368" t="s">
        <v>221</v>
      </c>
      <c r="C1301" s="368" t="s">
        <v>370</v>
      </c>
      <c r="D1301" s="368" t="s">
        <v>847</v>
      </c>
      <c r="E1301" s="369" t="s">
        <v>30</v>
      </c>
      <c r="F1301" s="370">
        <v>470000</v>
      </c>
      <c r="G1301" s="143" t="str">
        <f t="shared" si="21"/>
        <v>01061120067000120</v>
      </c>
    </row>
    <row r="1302" spans="1:7" ht="38.25" x14ac:dyDescent="0.2">
      <c r="A1302" s="353" t="s">
        <v>364</v>
      </c>
      <c r="B1302" s="368" t="s">
        <v>221</v>
      </c>
      <c r="C1302" s="368" t="s">
        <v>370</v>
      </c>
      <c r="D1302" s="368" t="s">
        <v>847</v>
      </c>
      <c r="E1302" s="369" t="s">
        <v>365</v>
      </c>
      <c r="F1302" s="370">
        <v>470000</v>
      </c>
      <c r="G1302" s="143" t="str">
        <f t="shared" si="21"/>
        <v>01061120067000122</v>
      </c>
    </row>
    <row r="1303" spans="1:7" ht="76.5" x14ac:dyDescent="0.2">
      <c r="A1303" s="353" t="s">
        <v>990</v>
      </c>
      <c r="B1303" s="368" t="s">
        <v>221</v>
      </c>
      <c r="C1303" s="368" t="s">
        <v>370</v>
      </c>
      <c r="D1303" s="368" t="s">
        <v>989</v>
      </c>
      <c r="E1303" s="369" t="s">
        <v>1314</v>
      </c>
      <c r="F1303" s="370">
        <v>1682096</v>
      </c>
      <c r="G1303" s="143" t="str">
        <f t="shared" si="21"/>
        <v>0106112006Б000</v>
      </c>
    </row>
    <row r="1304" spans="1:7" ht="51" x14ac:dyDescent="0.2">
      <c r="A1304" s="353" t="s">
        <v>1501</v>
      </c>
      <c r="B1304" s="368" t="s">
        <v>221</v>
      </c>
      <c r="C1304" s="368" t="s">
        <v>370</v>
      </c>
      <c r="D1304" s="368" t="s">
        <v>989</v>
      </c>
      <c r="E1304" s="369" t="s">
        <v>290</v>
      </c>
      <c r="F1304" s="370">
        <v>1682096</v>
      </c>
      <c r="G1304" s="143" t="str">
        <f t="shared" si="21"/>
        <v>0106112006Б000100</v>
      </c>
    </row>
    <row r="1305" spans="1:7" ht="25.5" x14ac:dyDescent="0.2">
      <c r="A1305" s="353" t="s">
        <v>1345</v>
      </c>
      <c r="B1305" s="368" t="s">
        <v>221</v>
      </c>
      <c r="C1305" s="368" t="s">
        <v>370</v>
      </c>
      <c r="D1305" s="368" t="s">
        <v>989</v>
      </c>
      <c r="E1305" s="369" t="s">
        <v>30</v>
      </c>
      <c r="F1305" s="370">
        <v>1682096</v>
      </c>
      <c r="G1305" s="143" t="str">
        <f t="shared" si="21"/>
        <v>0106112006Б000120</v>
      </c>
    </row>
    <row r="1306" spans="1:7" ht="25.5" x14ac:dyDescent="0.2">
      <c r="A1306" s="52" t="s">
        <v>1010</v>
      </c>
      <c r="B1306" s="368" t="s">
        <v>221</v>
      </c>
      <c r="C1306" s="368" t="s">
        <v>370</v>
      </c>
      <c r="D1306" s="368" t="s">
        <v>989</v>
      </c>
      <c r="E1306" s="369" t="s">
        <v>363</v>
      </c>
      <c r="F1306" s="371">
        <v>1291932</v>
      </c>
      <c r="G1306" s="143" t="str">
        <f t="shared" si="21"/>
        <v>0106112006Б000121</v>
      </c>
    </row>
    <row r="1307" spans="1:7" ht="38.25" x14ac:dyDescent="0.2">
      <c r="A1307" s="52" t="s">
        <v>1115</v>
      </c>
      <c r="B1307" s="368" t="s">
        <v>221</v>
      </c>
      <c r="C1307" s="368" t="s">
        <v>370</v>
      </c>
      <c r="D1307" s="368" t="s">
        <v>989</v>
      </c>
      <c r="E1307" s="369" t="s">
        <v>1116</v>
      </c>
      <c r="F1307" s="371">
        <v>390164</v>
      </c>
      <c r="G1307" s="143" t="str">
        <f t="shared" si="21"/>
        <v>0106112006Б000129</v>
      </c>
    </row>
    <row r="1308" spans="1:7" ht="51" x14ac:dyDescent="0.2">
      <c r="A1308" s="52" t="s">
        <v>633</v>
      </c>
      <c r="B1308" s="368" t="s">
        <v>221</v>
      </c>
      <c r="C1308" s="368" t="s">
        <v>370</v>
      </c>
      <c r="D1308" s="368" t="s">
        <v>848</v>
      </c>
      <c r="E1308" s="369" t="s">
        <v>1314</v>
      </c>
      <c r="F1308" s="371">
        <v>603720</v>
      </c>
      <c r="G1308" s="143" t="str">
        <f t="shared" si="21"/>
        <v>0106112006Г000</v>
      </c>
    </row>
    <row r="1309" spans="1:7" ht="25.5" x14ac:dyDescent="0.2">
      <c r="A1309" s="52" t="s">
        <v>1502</v>
      </c>
      <c r="B1309" s="368" t="s">
        <v>221</v>
      </c>
      <c r="C1309" s="368" t="s">
        <v>370</v>
      </c>
      <c r="D1309" s="368" t="s">
        <v>848</v>
      </c>
      <c r="E1309" s="369" t="s">
        <v>1503</v>
      </c>
      <c r="F1309" s="371">
        <v>603720</v>
      </c>
      <c r="G1309" s="143" t="str">
        <f t="shared" si="21"/>
        <v>0106112006Г000200</v>
      </c>
    </row>
    <row r="1310" spans="1:7" ht="25.5" x14ac:dyDescent="0.2">
      <c r="A1310" s="52" t="s">
        <v>1338</v>
      </c>
      <c r="B1310" s="368" t="s">
        <v>221</v>
      </c>
      <c r="C1310" s="368" t="s">
        <v>370</v>
      </c>
      <c r="D1310" s="368" t="s">
        <v>848</v>
      </c>
      <c r="E1310" s="369" t="s">
        <v>1339</v>
      </c>
      <c r="F1310" s="371">
        <v>603720</v>
      </c>
      <c r="G1310" s="143" t="str">
        <f t="shared" si="21"/>
        <v>0106112006Г000240</v>
      </c>
    </row>
    <row r="1311" spans="1:7" x14ac:dyDescent="0.2">
      <c r="A1311" s="52" t="s">
        <v>2024</v>
      </c>
      <c r="B1311" s="368" t="s">
        <v>221</v>
      </c>
      <c r="C1311" s="368" t="s">
        <v>370</v>
      </c>
      <c r="D1311" s="368" t="s">
        <v>848</v>
      </c>
      <c r="E1311" s="369" t="s">
        <v>2025</v>
      </c>
      <c r="F1311" s="371">
        <v>603720</v>
      </c>
      <c r="G1311" s="143" t="str">
        <f t="shared" si="21"/>
        <v>0106112006Г000247</v>
      </c>
    </row>
    <row r="1312" spans="1:7" ht="51" x14ac:dyDescent="0.2">
      <c r="A1312" s="52" t="s">
        <v>1029</v>
      </c>
      <c r="B1312" s="368" t="s">
        <v>221</v>
      </c>
      <c r="C1312" s="368" t="s">
        <v>370</v>
      </c>
      <c r="D1312" s="368" t="s">
        <v>1030</v>
      </c>
      <c r="E1312" s="369" t="s">
        <v>1314</v>
      </c>
      <c r="F1312" s="371">
        <v>190430</v>
      </c>
      <c r="G1312" s="143" t="str">
        <f t="shared" si="21"/>
        <v>0106112006Э000</v>
      </c>
    </row>
    <row r="1313" spans="1:7" ht="25.5" x14ac:dyDescent="0.2">
      <c r="A1313" s="52" t="s">
        <v>1502</v>
      </c>
      <c r="B1313" s="368" t="s">
        <v>221</v>
      </c>
      <c r="C1313" s="368" t="s">
        <v>370</v>
      </c>
      <c r="D1313" s="368" t="s">
        <v>1030</v>
      </c>
      <c r="E1313" s="369" t="s">
        <v>1503</v>
      </c>
      <c r="F1313" s="371">
        <v>190430</v>
      </c>
      <c r="G1313" s="143" t="str">
        <f t="shared" si="21"/>
        <v>0106112006Э000200</v>
      </c>
    </row>
    <row r="1314" spans="1:7" ht="25.5" x14ac:dyDescent="0.2">
      <c r="A1314" s="52" t="s">
        <v>1338</v>
      </c>
      <c r="B1314" s="368" t="s">
        <v>221</v>
      </c>
      <c r="C1314" s="368" t="s">
        <v>370</v>
      </c>
      <c r="D1314" s="368" t="s">
        <v>1030</v>
      </c>
      <c r="E1314" s="369" t="s">
        <v>1339</v>
      </c>
      <c r="F1314" s="371">
        <v>190430</v>
      </c>
      <c r="G1314" s="143" t="str">
        <f t="shared" si="21"/>
        <v>0106112006Э000240</v>
      </c>
    </row>
    <row r="1315" spans="1:7" x14ac:dyDescent="0.2">
      <c r="A1315" s="52" t="s">
        <v>2024</v>
      </c>
      <c r="B1315" s="368" t="s">
        <v>221</v>
      </c>
      <c r="C1315" s="368" t="s">
        <v>370</v>
      </c>
      <c r="D1315" s="368" t="s">
        <v>1030</v>
      </c>
      <c r="E1315" s="369" t="s">
        <v>2025</v>
      </c>
      <c r="F1315" s="371">
        <v>190430</v>
      </c>
      <c r="G1315" s="143" t="str">
        <f t="shared" si="21"/>
        <v>0106112006Э000247</v>
      </c>
    </row>
    <row r="1316" spans="1:7" ht="63.75" x14ac:dyDescent="0.2">
      <c r="A1316" s="52" t="s">
        <v>578</v>
      </c>
      <c r="B1316" s="368" t="s">
        <v>221</v>
      </c>
      <c r="C1316" s="368" t="s">
        <v>370</v>
      </c>
      <c r="D1316" s="368" t="s">
        <v>849</v>
      </c>
      <c r="E1316" s="369" t="s">
        <v>1314</v>
      </c>
      <c r="F1316" s="371">
        <v>618476</v>
      </c>
      <c r="G1316" s="143" t="str">
        <f t="shared" si="21"/>
        <v>010611200Ч0060</v>
      </c>
    </row>
    <row r="1317" spans="1:7" ht="51" x14ac:dyDescent="0.2">
      <c r="A1317" s="52" t="s">
        <v>1501</v>
      </c>
      <c r="B1317" s="368" t="s">
        <v>221</v>
      </c>
      <c r="C1317" s="368" t="s">
        <v>370</v>
      </c>
      <c r="D1317" s="368" t="s">
        <v>849</v>
      </c>
      <c r="E1317" s="369" t="s">
        <v>290</v>
      </c>
      <c r="F1317" s="371">
        <v>618476</v>
      </c>
      <c r="G1317" s="143" t="str">
        <f t="shared" si="21"/>
        <v>010611200Ч0060100</v>
      </c>
    </row>
    <row r="1318" spans="1:7" ht="25.5" x14ac:dyDescent="0.2">
      <c r="A1318" s="52" t="s">
        <v>1345</v>
      </c>
      <c r="B1318" s="368" t="s">
        <v>221</v>
      </c>
      <c r="C1318" s="368" t="s">
        <v>370</v>
      </c>
      <c r="D1318" s="368" t="s">
        <v>849</v>
      </c>
      <c r="E1318" s="369" t="s">
        <v>30</v>
      </c>
      <c r="F1318" s="371">
        <v>618476</v>
      </c>
      <c r="G1318" s="143" t="str">
        <f t="shared" si="21"/>
        <v>010611200Ч0060120</v>
      </c>
    </row>
    <row r="1319" spans="1:7" ht="25.5" x14ac:dyDescent="0.2">
      <c r="A1319" s="52" t="s">
        <v>1010</v>
      </c>
      <c r="B1319" s="368" t="s">
        <v>221</v>
      </c>
      <c r="C1319" s="368" t="s">
        <v>370</v>
      </c>
      <c r="D1319" s="368" t="s">
        <v>849</v>
      </c>
      <c r="E1319" s="369" t="s">
        <v>363</v>
      </c>
      <c r="F1319" s="371">
        <v>475020</v>
      </c>
      <c r="G1319" s="143" t="str">
        <f t="shared" si="21"/>
        <v>010611200Ч0060121</v>
      </c>
    </row>
    <row r="1320" spans="1:7" ht="38.25" x14ac:dyDescent="0.2">
      <c r="A1320" s="52" t="s">
        <v>1115</v>
      </c>
      <c r="B1320" s="368" t="s">
        <v>221</v>
      </c>
      <c r="C1320" s="368" t="s">
        <v>370</v>
      </c>
      <c r="D1320" s="368" t="s">
        <v>849</v>
      </c>
      <c r="E1320" s="369" t="s">
        <v>1116</v>
      </c>
      <c r="F1320" s="371">
        <v>143456</v>
      </c>
      <c r="G1320" s="143" t="str">
        <f t="shared" si="21"/>
        <v>010611200Ч0060129</v>
      </c>
    </row>
    <row r="1321" spans="1:7" ht="89.25" x14ac:dyDescent="0.2">
      <c r="A1321" s="52" t="s">
        <v>1564</v>
      </c>
      <c r="B1321" s="368" t="s">
        <v>221</v>
      </c>
      <c r="C1321" s="368" t="s">
        <v>370</v>
      </c>
      <c r="D1321" s="368" t="s">
        <v>1565</v>
      </c>
      <c r="E1321" s="369" t="s">
        <v>1314</v>
      </c>
      <c r="F1321" s="371">
        <v>23000</v>
      </c>
      <c r="G1321" s="143" t="str">
        <f t="shared" ref="G1321:G1384" si="22">CONCATENATE(C1321,D1321,E1321)</f>
        <v>010611200Ч0070</v>
      </c>
    </row>
    <row r="1322" spans="1:7" ht="25.5" x14ac:dyDescent="0.2">
      <c r="A1322" s="52" t="s">
        <v>1502</v>
      </c>
      <c r="B1322" s="368" t="s">
        <v>221</v>
      </c>
      <c r="C1322" s="368" t="s">
        <v>370</v>
      </c>
      <c r="D1322" s="368" t="s">
        <v>1565</v>
      </c>
      <c r="E1322" s="369" t="s">
        <v>1503</v>
      </c>
      <c r="F1322" s="371">
        <v>23000</v>
      </c>
      <c r="G1322" s="143" t="str">
        <f t="shared" si="22"/>
        <v>010611200Ч0070200</v>
      </c>
    </row>
    <row r="1323" spans="1:7" ht="25.5" x14ac:dyDescent="0.2">
      <c r="A1323" s="52" t="s">
        <v>1338</v>
      </c>
      <c r="B1323" s="368" t="s">
        <v>221</v>
      </c>
      <c r="C1323" s="368" t="s">
        <v>370</v>
      </c>
      <c r="D1323" s="368" t="s">
        <v>1565</v>
      </c>
      <c r="E1323" s="369" t="s">
        <v>1339</v>
      </c>
      <c r="F1323" s="371">
        <v>23000</v>
      </c>
      <c r="G1323" s="143" t="str">
        <f t="shared" si="22"/>
        <v>010611200Ч0070240</v>
      </c>
    </row>
    <row r="1324" spans="1:7" x14ac:dyDescent="0.2">
      <c r="A1324" s="52" t="s">
        <v>1379</v>
      </c>
      <c r="B1324" s="368" t="s">
        <v>221</v>
      </c>
      <c r="C1324" s="368" t="s">
        <v>370</v>
      </c>
      <c r="D1324" s="368" t="s">
        <v>1565</v>
      </c>
      <c r="E1324" s="369" t="s">
        <v>368</v>
      </c>
      <c r="F1324" s="371">
        <v>23000</v>
      </c>
      <c r="G1324" s="143" t="str">
        <f t="shared" si="22"/>
        <v>010611200Ч0070244</v>
      </c>
    </row>
    <row r="1325" spans="1:7" x14ac:dyDescent="0.2">
      <c r="A1325" s="52" t="s">
        <v>62</v>
      </c>
      <c r="B1325" s="368" t="s">
        <v>221</v>
      </c>
      <c r="C1325" s="368" t="s">
        <v>466</v>
      </c>
      <c r="D1325" s="368" t="s">
        <v>1314</v>
      </c>
      <c r="E1325" s="369" t="s">
        <v>1314</v>
      </c>
      <c r="F1325" s="371">
        <v>2000000</v>
      </c>
      <c r="G1325" s="143" t="str">
        <f t="shared" si="22"/>
        <v>0111</v>
      </c>
    </row>
    <row r="1326" spans="1:7" ht="25.5" x14ac:dyDescent="0.2">
      <c r="A1326" s="52" t="s">
        <v>648</v>
      </c>
      <c r="B1326" s="368" t="s">
        <v>221</v>
      </c>
      <c r="C1326" s="368" t="s">
        <v>466</v>
      </c>
      <c r="D1326" s="368" t="s">
        <v>1072</v>
      </c>
      <c r="E1326" s="369" t="s">
        <v>1314</v>
      </c>
      <c r="F1326" s="371">
        <v>2000000</v>
      </c>
      <c r="G1326" s="143" t="str">
        <f t="shared" si="22"/>
        <v>01119000000000</v>
      </c>
    </row>
    <row r="1327" spans="1:7" ht="38.25" x14ac:dyDescent="0.2">
      <c r="A1327" s="52" t="s">
        <v>467</v>
      </c>
      <c r="B1327" s="368" t="s">
        <v>221</v>
      </c>
      <c r="C1327" s="368" t="s">
        <v>466</v>
      </c>
      <c r="D1327" s="368" t="s">
        <v>1073</v>
      </c>
      <c r="E1327" s="369" t="s">
        <v>1314</v>
      </c>
      <c r="F1327" s="371">
        <v>2000000</v>
      </c>
      <c r="G1327" s="143" t="str">
        <f t="shared" si="22"/>
        <v>01119010000000</v>
      </c>
    </row>
    <row r="1328" spans="1:7" ht="38.25" x14ac:dyDescent="0.2">
      <c r="A1328" s="52" t="s">
        <v>467</v>
      </c>
      <c r="B1328" s="368" t="s">
        <v>221</v>
      </c>
      <c r="C1328" s="368" t="s">
        <v>466</v>
      </c>
      <c r="D1328" s="368" t="s">
        <v>850</v>
      </c>
      <c r="E1328" s="369" t="s">
        <v>1314</v>
      </c>
      <c r="F1328" s="371">
        <v>2000000</v>
      </c>
      <c r="G1328" s="143" t="str">
        <f t="shared" si="22"/>
        <v>01119010080000</v>
      </c>
    </row>
    <row r="1329" spans="1:7" x14ac:dyDescent="0.2">
      <c r="A1329" s="52" t="s">
        <v>1504</v>
      </c>
      <c r="B1329" s="368" t="s">
        <v>221</v>
      </c>
      <c r="C1329" s="368" t="s">
        <v>466</v>
      </c>
      <c r="D1329" s="368" t="s">
        <v>850</v>
      </c>
      <c r="E1329" s="369" t="s">
        <v>1505</v>
      </c>
      <c r="F1329" s="371">
        <v>2000000</v>
      </c>
      <c r="G1329" s="143" t="str">
        <f t="shared" si="22"/>
        <v>01119010080000800</v>
      </c>
    </row>
    <row r="1330" spans="1:7" x14ac:dyDescent="0.2">
      <c r="A1330" s="52" t="s">
        <v>468</v>
      </c>
      <c r="B1330" s="368" t="s">
        <v>221</v>
      </c>
      <c r="C1330" s="368" t="s">
        <v>466</v>
      </c>
      <c r="D1330" s="368" t="s">
        <v>850</v>
      </c>
      <c r="E1330" s="369" t="s">
        <v>469</v>
      </c>
      <c r="F1330" s="371">
        <v>2000000</v>
      </c>
      <c r="G1330" s="143" t="str">
        <f t="shared" si="22"/>
        <v>01119010080000870</v>
      </c>
    </row>
    <row r="1331" spans="1:7" x14ac:dyDescent="0.2">
      <c r="A1331" s="52" t="s">
        <v>233</v>
      </c>
      <c r="B1331" s="368" t="s">
        <v>221</v>
      </c>
      <c r="C1331" s="368" t="s">
        <v>376</v>
      </c>
      <c r="D1331" s="368" t="s">
        <v>1314</v>
      </c>
      <c r="E1331" s="369" t="s">
        <v>1314</v>
      </c>
      <c r="F1331" s="371">
        <v>60363060</v>
      </c>
      <c r="G1331" s="143" t="str">
        <f t="shared" si="22"/>
        <v>0113</v>
      </c>
    </row>
    <row r="1332" spans="1:7" ht="25.5" x14ac:dyDescent="0.2">
      <c r="A1332" s="52" t="s">
        <v>1563</v>
      </c>
      <c r="B1332" s="368" t="s">
        <v>221</v>
      </c>
      <c r="C1332" s="368" t="s">
        <v>376</v>
      </c>
      <c r="D1332" s="368" t="s">
        <v>1060</v>
      </c>
      <c r="E1332" s="369" t="s">
        <v>1314</v>
      </c>
      <c r="F1332" s="371">
        <v>265800</v>
      </c>
      <c r="G1332" s="143" t="str">
        <f t="shared" si="22"/>
        <v>01131100000000</v>
      </c>
    </row>
    <row r="1333" spans="1:7" ht="51" x14ac:dyDescent="0.2">
      <c r="A1333" s="52" t="s">
        <v>1566</v>
      </c>
      <c r="B1333" s="368" t="s">
        <v>221</v>
      </c>
      <c r="C1333" s="368" t="s">
        <v>376</v>
      </c>
      <c r="D1333" s="368" t="s">
        <v>1061</v>
      </c>
      <c r="E1333" s="369" t="s">
        <v>1314</v>
      </c>
      <c r="F1333" s="371">
        <v>265800</v>
      </c>
      <c r="G1333" s="143" t="str">
        <f t="shared" si="22"/>
        <v>01131110000000</v>
      </c>
    </row>
    <row r="1334" spans="1:7" ht="114.75" x14ac:dyDescent="0.2">
      <c r="A1334" s="52" t="s">
        <v>1694</v>
      </c>
      <c r="B1334" s="368" t="s">
        <v>221</v>
      </c>
      <c r="C1334" s="368" t="s">
        <v>376</v>
      </c>
      <c r="D1334" s="368" t="s">
        <v>851</v>
      </c>
      <c r="E1334" s="369" t="s">
        <v>1314</v>
      </c>
      <c r="F1334" s="371">
        <v>265800</v>
      </c>
      <c r="G1334" s="143" t="str">
        <f t="shared" si="22"/>
        <v>01131110075140</v>
      </c>
    </row>
    <row r="1335" spans="1:7" x14ac:dyDescent="0.2">
      <c r="A1335" s="52" t="s">
        <v>1512</v>
      </c>
      <c r="B1335" s="368" t="s">
        <v>221</v>
      </c>
      <c r="C1335" s="368" t="s">
        <v>376</v>
      </c>
      <c r="D1335" s="368" t="s">
        <v>851</v>
      </c>
      <c r="E1335" s="369" t="s">
        <v>1513</v>
      </c>
      <c r="F1335" s="371">
        <v>265800</v>
      </c>
      <c r="G1335" s="143" t="str">
        <f t="shared" si="22"/>
        <v>01131110075140500</v>
      </c>
    </row>
    <row r="1336" spans="1:7" x14ac:dyDescent="0.2">
      <c r="A1336" s="52" t="s">
        <v>474</v>
      </c>
      <c r="B1336" s="368" t="s">
        <v>221</v>
      </c>
      <c r="C1336" s="368" t="s">
        <v>376</v>
      </c>
      <c r="D1336" s="368" t="s">
        <v>851</v>
      </c>
      <c r="E1336" s="369" t="s">
        <v>475</v>
      </c>
      <c r="F1336" s="371">
        <v>265800</v>
      </c>
      <c r="G1336" s="143" t="str">
        <f t="shared" si="22"/>
        <v>01131110075140530</v>
      </c>
    </row>
    <row r="1337" spans="1:7" ht="25.5" x14ac:dyDescent="0.2">
      <c r="A1337" s="52" t="s">
        <v>648</v>
      </c>
      <c r="B1337" s="368" t="s">
        <v>221</v>
      </c>
      <c r="C1337" s="368" t="s">
        <v>376</v>
      </c>
      <c r="D1337" s="368" t="s">
        <v>1072</v>
      </c>
      <c r="E1337" s="369" t="s">
        <v>1314</v>
      </c>
      <c r="F1337" s="371">
        <v>60097260</v>
      </c>
      <c r="G1337" s="143" t="str">
        <f t="shared" si="22"/>
        <v>01139000000000</v>
      </c>
    </row>
    <row r="1338" spans="1:7" ht="25.5" x14ac:dyDescent="0.2">
      <c r="A1338" s="52" t="s">
        <v>471</v>
      </c>
      <c r="B1338" s="368" t="s">
        <v>221</v>
      </c>
      <c r="C1338" s="368" t="s">
        <v>376</v>
      </c>
      <c r="D1338" s="368" t="s">
        <v>1076</v>
      </c>
      <c r="E1338" s="369" t="s">
        <v>1314</v>
      </c>
      <c r="F1338" s="371">
        <v>60097260</v>
      </c>
      <c r="G1338" s="143" t="str">
        <f t="shared" si="22"/>
        <v>01139090000000</v>
      </c>
    </row>
    <row r="1339" spans="1:7" ht="25.5" x14ac:dyDescent="0.2">
      <c r="A1339" s="52" t="s">
        <v>471</v>
      </c>
      <c r="B1339" s="368" t="s">
        <v>221</v>
      </c>
      <c r="C1339" s="368" t="s">
        <v>376</v>
      </c>
      <c r="D1339" s="368" t="s">
        <v>852</v>
      </c>
      <c r="E1339" s="369" t="s">
        <v>1314</v>
      </c>
      <c r="F1339" s="371">
        <v>60097260</v>
      </c>
      <c r="G1339" s="143" t="str">
        <f t="shared" si="22"/>
        <v>01139090080000</v>
      </c>
    </row>
    <row r="1340" spans="1:7" x14ac:dyDescent="0.2">
      <c r="A1340" s="52" t="s">
        <v>1504</v>
      </c>
      <c r="B1340" s="368" t="s">
        <v>221</v>
      </c>
      <c r="C1340" s="368" t="s">
        <v>376</v>
      </c>
      <c r="D1340" s="368" t="s">
        <v>852</v>
      </c>
      <c r="E1340" s="369" t="s">
        <v>1505</v>
      </c>
      <c r="F1340" s="371">
        <v>60097260</v>
      </c>
      <c r="G1340" s="143" t="str">
        <f t="shared" si="22"/>
        <v>01139090080000800</v>
      </c>
    </row>
    <row r="1341" spans="1:7" x14ac:dyDescent="0.2">
      <c r="A1341" s="52" t="s">
        <v>1352</v>
      </c>
      <c r="B1341" s="368" t="s">
        <v>221</v>
      </c>
      <c r="C1341" s="368" t="s">
        <v>376</v>
      </c>
      <c r="D1341" s="368" t="s">
        <v>852</v>
      </c>
      <c r="E1341" s="369" t="s">
        <v>214</v>
      </c>
      <c r="F1341" s="371">
        <v>100000</v>
      </c>
      <c r="G1341" s="143" t="str">
        <f t="shared" si="22"/>
        <v>01139090080000830</v>
      </c>
    </row>
    <row r="1342" spans="1:7" ht="25.5" x14ac:dyDescent="0.2">
      <c r="A1342" s="52" t="s">
        <v>1271</v>
      </c>
      <c r="B1342" s="368" t="s">
        <v>221</v>
      </c>
      <c r="C1342" s="368" t="s">
        <v>376</v>
      </c>
      <c r="D1342" s="368" t="s">
        <v>852</v>
      </c>
      <c r="E1342" s="369" t="s">
        <v>472</v>
      </c>
      <c r="F1342" s="371">
        <v>100000</v>
      </c>
      <c r="G1342" s="143" t="str">
        <f t="shared" si="22"/>
        <v>01139090080000831</v>
      </c>
    </row>
    <row r="1343" spans="1:7" x14ac:dyDescent="0.2">
      <c r="A1343" s="52" t="s">
        <v>468</v>
      </c>
      <c r="B1343" s="368" t="s">
        <v>221</v>
      </c>
      <c r="C1343" s="368" t="s">
        <v>376</v>
      </c>
      <c r="D1343" s="368" t="s">
        <v>852</v>
      </c>
      <c r="E1343" s="369" t="s">
        <v>469</v>
      </c>
      <c r="F1343" s="371">
        <v>59997260</v>
      </c>
      <c r="G1343" s="143" t="str">
        <f t="shared" si="22"/>
        <v>01139090080000870</v>
      </c>
    </row>
    <row r="1344" spans="1:7" x14ac:dyDescent="0.2">
      <c r="A1344" s="52" t="s">
        <v>200</v>
      </c>
      <c r="B1344" s="368" t="s">
        <v>221</v>
      </c>
      <c r="C1344" s="368" t="s">
        <v>1233</v>
      </c>
      <c r="D1344" s="368" t="s">
        <v>1314</v>
      </c>
      <c r="E1344" s="369" t="s">
        <v>1314</v>
      </c>
      <c r="F1344" s="371">
        <v>4948600</v>
      </c>
      <c r="G1344" s="143" t="str">
        <f t="shared" si="22"/>
        <v>0200</v>
      </c>
    </row>
    <row r="1345" spans="1:7" x14ac:dyDescent="0.2">
      <c r="A1345" s="52" t="s">
        <v>201</v>
      </c>
      <c r="B1345" s="368" t="s">
        <v>221</v>
      </c>
      <c r="C1345" s="368" t="s">
        <v>473</v>
      </c>
      <c r="D1345" s="368" t="s">
        <v>1314</v>
      </c>
      <c r="E1345" s="369" t="s">
        <v>1314</v>
      </c>
      <c r="F1345" s="371">
        <v>4948600</v>
      </c>
      <c r="G1345" s="143" t="str">
        <f t="shared" si="22"/>
        <v>0203</v>
      </c>
    </row>
    <row r="1346" spans="1:7" ht="25.5" x14ac:dyDescent="0.2">
      <c r="A1346" s="52" t="s">
        <v>1563</v>
      </c>
      <c r="B1346" s="368" t="s">
        <v>221</v>
      </c>
      <c r="C1346" s="368" t="s">
        <v>473</v>
      </c>
      <c r="D1346" s="368" t="s">
        <v>1060</v>
      </c>
      <c r="E1346" s="369" t="s">
        <v>1314</v>
      </c>
      <c r="F1346" s="371">
        <v>4948600</v>
      </c>
      <c r="G1346" s="143" t="str">
        <f t="shared" si="22"/>
        <v>02031100000000</v>
      </c>
    </row>
    <row r="1347" spans="1:7" ht="51" x14ac:dyDescent="0.2">
      <c r="A1347" s="52" t="s">
        <v>1566</v>
      </c>
      <c r="B1347" s="368" t="s">
        <v>221</v>
      </c>
      <c r="C1347" s="368" t="s">
        <v>473</v>
      </c>
      <c r="D1347" s="368" t="s">
        <v>1061</v>
      </c>
      <c r="E1347" s="369" t="s">
        <v>1314</v>
      </c>
      <c r="F1347" s="371">
        <v>4948600</v>
      </c>
      <c r="G1347" s="143" t="str">
        <f t="shared" si="22"/>
        <v>02031110000000</v>
      </c>
    </row>
    <row r="1348" spans="1:7" ht="114.75" x14ac:dyDescent="0.2">
      <c r="A1348" s="52" t="s">
        <v>1695</v>
      </c>
      <c r="B1348" s="368" t="s">
        <v>221</v>
      </c>
      <c r="C1348" s="368" t="s">
        <v>473</v>
      </c>
      <c r="D1348" s="368" t="s">
        <v>853</v>
      </c>
      <c r="E1348" s="369" t="s">
        <v>1314</v>
      </c>
      <c r="F1348" s="371">
        <v>4948600</v>
      </c>
      <c r="G1348" s="143" t="str">
        <f t="shared" si="22"/>
        <v>02031110051180</v>
      </c>
    </row>
    <row r="1349" spans="1:7" x14ac:dyDescent="0.2">
      <c r="A1349" s="52" t="s">
        <v>1512</v>
      </c>
      <c r="B1349" s="368" t="s">
        <v>221</v>
      </c>
      <c r="C1349" s="368" t="s">
        <v>473</v>
      </c>
      <c r="D1349" s="368" t="s">
        <v>853</v>
      </c>
      <c r="E1349" s="369" t="s">
        <v>1513</v>
      </c>
      <c r="F1349" s="371">
        <v>4948600</v>
      </c>
      <c r="G1349" s="143" t="str">
        <f t="shared" si="22"/>
        <v>02031110051180500</v>
      </c>
    </row>
    <row r="1350" spans="1:7" x14ac:dyDescent="0.2">
      <c r="A1350" s="52" t="s">
        <v>474</v>
      </c>
      <c r="B1350" s="368" t="s">
        <v>221</v>
      </c>
      <c r="C1350" s="368" t="s">
        <v>473</v>
      </c>
      <c r="D1350" s="368" t="s">
        <v>853</v>
      </c>
      <c r="E1350" s="369" t="s">
        <v>475</v>
      </c>
      <c r="F1350" s="371">
        <v>4948600</v>
      </c>
      <c r="G1350" s="143" t="str">
        <f t="shared" si="22"/>
        <v>02031110051180530</v>
      </c>
    </row>
    <row r="1351" spans="1:7" ht="25.5" x14ac:dyDescent="0.2">
      <c r="A1351" s="52" t="s">
        <v>254</v>
      </c>
      <c r="B1351" s="368" t="s">
        <v>221</v>
      </c>
      <c r="C1351" s="368" t="s">
        <v>1215</v>
      </c>
      <c r="D1351" s="368" t="s">
        <v>1314</v>
      </c>
      <c r="E1351" s="369" t="s">
        <v>1314</v>
      </c>
      <c r="F1351" s="371">
        <v>4102441</v>
      </c>
      <c r="G1351" s="143" t="str">
        <f t="shared" si="22"/>
        <v>0300</v>
      </c>
    </row>
    <row r="1352" spans="1:7" ht="38.25" x14ac:dyDescent="0.2">
      <c r="A1352" s="52" t="s">
        <v>2032</v>
      </c>
      <c r="B1352" s="368" t="s">
        <v>221</v>
      </c>
      <c r="C1352" s="368" t="s">
        <v>385</v>
      </c>
      <c r="D1352" s="368" t="s">
        <v>1314</v>
      </c>
      <c r="E1352" s="369" t="s">
        <v>1314</v>
      </c>
      <c r="F1352" s="371">
        <v>4102441</v>
      </c>
      <c r="G1352" s="143" t="str">
        <f t="shared" si="22"/>
        <v>0310</v>
      </c>
    </row>
    <row r="1353" spans="1:7" ht="38.25" x14ac:dyDescent="0.2">
      <c r="A1353" s="52" t="s">
        <v>497</v>
      </c>
      <c r="B1353" s="368" t="s">
        <v>221</v>
      </c>
      <c r="C1353" s="368" t="s">
        <v>385</v>
      </c>
      <c r="D1353" s="368" t="s">
        <v>1038</v>
      </c>
      <c r="E1353" s="369" t="s">
        <v>1314</v>
      </c>
      <c r="F1353" s="371">
        <v>4102441</v>
      </c>
      <c r="G1353" s="143" t="str">
        <f t="shared" si="22"/>
        <v>03100400000000</v>
      </c>
    </row>
    <row r="1354" spans="1:7" ht="25.5" x14ac:dyDescent="0.2">
      <c r="A1354" s="52" t="s">
        <v>500</v>
      </c>
      <c r="B1354" s="368" t="s">
        <v>221</v>
      </c>
      <c r="C1354" s="368" t="s">
        <v>385</v>
      </c>
      <c r="D1354" s="368" t="s">
        <v>1040</v>
      </c>
      <c r="E1354" s="369" t="s">
        <v>1314</v>
      </c>
      <c r="F1354" s="371">
        <v>4102441</v>
      </c>
      <c r="G1354" s="143" t="str">
        <f t="shared" si="22"/>
        <v>03100420000000</v>
      </c>
    </row>
    <row r="1355" spans="1:7" ht="89.25" x14ac:dyDescent="0.2">
      <c r="A1355" s="52" t="s">
        <v>1696</v>
      </c>
      <c r="B1355" s="368" t="s">
        <v>221</v>
      </c>
      <c r="C1355" s="368" t="s">
        <v>385</v>
      </c>
      <c r="D1355" s="368" t="s">
        <v>1380</v>
      </c>
      <c r="E1355" s="369" t="s">
        <v>1314</v>
      </c>
      <c r="F1355" s="371">
        <v>4102441</v>
      </c>
      <c r="G1355" s="143" t="str">
        <f t="shared" si="22"/>
        <v>031004200S4120</v>
      </c>
    </row>
    <row r="1356" spans="1:7" x14ac:dyDescent="0.2">
      <c r="A1356" s="52" t="s">
        <v>1512</v>
      </c>
      <c r="B1356" s="368" t="s">
        <v>221</v>
      </c>
      <c r="C1356" s="368" t="s">
        <v>385</v>
      </c>
      <c r="D1356" s="368" t="s">
        <v>1380</v>
      </c>
      <c r="E1356" s="369" t="s">
        <v>1513</v>
      </c>
      <c r="F1356" s="371">
        <v>4102441</v>
      </c>
      <c r="G1356" s="143" t="str">
        <f t="shared" si="22"/>
        <v>031004200S4120500</v>
      </c>
    </row>
    <row r="1357" spans="1:7" x14ac:dyDescent="0.2">
      <c r="A1357" s="52" t="s">
        <v>1567</v>
      </c>
      <c r="B1357" s="368" t="s">
        <v>221</v>
      </c>
      <c r="C1357" s="368" t="s">
        <v>385</v>
      </c>
      <c r="D1357" s="368" t="s">
        <v>1380</v>
      </c>
      <c r="E1357" s="369" t="s">
        <v>1568</v>
      </c>
      <c r="F1357" s="371">
        <v>4102441</v>
      </c>
      <c r="G1357" s="143" t="str">
        <f t="shared" si="22"/>
        <v>031004200S4120520</v>
      </c>
    </row>
    <row r="1358" spans="1:7" ht="38.25" x14ac:dyDescent="0.2">
      <c r="A1358" s="52" t="s">
        <v>1569</v>
      </c>
      <c r="B1358" s="368" t="s">
        <v>221</v>
      </c>
      <c r="C1358" s="368" t="s">
        <v>385</v>
      </c>
      <c r="D1358" s="368" t="s">
        <v>1380</v>
      </c>
      <c r="E1358" s="369" t="s">
        <v>1570</v>
      </c>
      <c r="F1358" s="371">
        <v>4102441</v>
      </c>
      <c r="G1358" s="143" t="str">
        <f t="shared" si="22"/>
        <v>031004200S4120521</v>
      </c>
    </row>
    <row r="1359" spans="1:7" x14ac:dyDescent="0.2">
      <c r="A1359" s="52" t="s">
        <v>190</v>
      </c>
      <c r="B1359" s="368" t="s">
        <v>221</v>
      </c>
      <c r="C1359" s="368" t="s">
        <v>1218</v>
      </c>
      <c r="D1359" s="368" t="s">
        <v>1314</v>
      </c>
      <c r="E1359" s="369" t="s">
        <v>1314</v>
      </c>
      <c r="F1359" s="371">
        <v>35016580</v>
      </c>
      <c r="G1359" s="143" t="str">
        <f t="shared" si="22"/>
        <v>0400</v>
      </c>
    </row>
    <row r="1360" spans="1:7" x14ac:dyDescent="0.2">
      <c r="A1360" s="52" t="s">
        <v>269</v>
      </c>
      <c r="B1360" s="368" t="s">
        <v>221</v>
      </c>
      <c r="C1360" s="368" t="s">
        <v>398</v>
      </c>
      <c r="D1360" s="368" t="s">
        <v>1314</v>
      </c>
      <c r="E1360" s="369" t="s">
        <v>1314</v>
      </c>
      <c r="F1360" s="371">
        <v>35016580</v>
      </c>
      <c r="G1360" s="143" t="str">
        <f t="shared" si="22"/>
        <v>0409</v>
      </c>
    </row>
    <row r="1361" spans="1:7" ht="25.5" x14ac:dyDescent="0.2">
      <c r="A1361" s="52" t="s">
        <v>524</v>
      </c>
      <c r="B1361" s="368" t="s">
        <v>221</v>
      </c>
      <c r="C1361" s="368" t="s">
        <v>398</v>
      </c>
      <c r="D1361" s="368" t="s">
        <v>1054</v>
      </c>
      <c r="E1361" s="369" t="s">
        <v>1314</v>
      </c>
      <c r="F1361" s="371">
        <v>35016580</v>
      </c>
      <c r="G1361" s="143" t="str">
        <f t="shared" si="22"/>
        <v>04090900000000</v>
      </c>
    </row>
    <row r="1362" spans="1:7" x14ac:dyDescent="0.2">
      <c r="A1362" s="52" t="s">
        <v>525</v>
      </c>
      <c r="B1362" s="368" t="s">
        <v>221</v>
      </c>
      <c r="C1362" s="368" t="s">
        <v>398</v>
      </c>
      <c r="D1362" s="368" t="s">
        <v>1055</v>
      </c>
      <c r="E1362" s="369" t="s">
        <v>1314</v>
      </c>
      <c r="F1362" s="371">
        <v>34657680</v>
      </c>
      <c r="G1362" s="143" t="str">
        <f t="shared" si="22"/>
        <v>04090910000000</v>
      </c>
    </row>
    <row r="1363" spans="1:7" ht="63.75" x14ac:dyDescent="0.2">
      <c r="A1363" s="52" t="s">
        <v>1697</v>
      </c>
      <c r="B1363" s="368" t="s">
        <v>221</v>
      </c>
      <c r="C1363" s="368" t="s">
        <v>398</v>
      </c>
      <c r="D1363" s="368" t="s">
        <v>1383</v>
      </c>
      <c r="E1363" s="369" t="s">
        <v>1314</v>
      </c>
      <c r="F1363" s="371">
        <v>8450180</v>
      </c>
      <c r="G1363" s="143" t="str">
        <f t="shared" si="22"/>
        <v>040909100S5080</v>
      </c>
    </row>
    <row r="1364" spans="1:7" x14ac:dyDescent="0.2">
      <c r="A1364" s="52" t="s">
        <v>1512</v>
      </c>
      <c r="B1364" s="368" t="s">
        <v>221</v>
      </c>
      <c r="C1364" s="368" t="s">
        <v>398</v>
      </c>
      <c r="D1364" s="368" t="s">
        <v>1383</v>
      </c>
      <c r="E1364" s="369" t="s">
        <v>1513</v>
      </c>
      <c r="F1364" s="371">
        <v>8450180</v>
      </c>
      <c r="G1364" s="143" t="str">
        <f t="shared" si="22"/>
        <v>040909100S5080500</v>
      </c>
    </row>
    <row r="1365" spans="1:7" x14ac:dyDescent="0.2">
      <c r="A1365" s="52" t="s">
        <v>1567</v>
      </c>
      <c r="B1365" s="368" t="s">
        <v>221</v>
      </c>
      <c r="C1365" s="368" t="s">
        <v>398</v>
      </c>
      <c r="D1365" s="368" t="s">
        <v>1383</v>
      </c>
      <c r="E1365" s="369" t="s">
        <v>1568</v>
      </c>
      <c r="F1365" s="371">
        <v>8450180</v>
      </c>
      <c r="G1365" s="143" t="str">
        <f t="shared" si="22"/>
        <v>040909100S5080520</v>
      </c>
    </row>
    <row r="1366" spans="1:7" ht="38.25" x14ac:dyDescent="0.2">
      <c r="A1366" s="52" t="s">
        <v>1569</v>
      </c>
      <c r="B1366" s="368" t="s">
        <v>221</v>
      </c>
      <c r="C1366" s="368" t="s">
        <v>398</v>
      </c>
      <c r="D1366" s="368" t="s">
        <v>1383</v>
      </c>
      <c r="E1366" s="369" t="s">
        <v>1570</v>
      </c>
      <c r="F1366" s="371">
        <v>8450180</v>
      </c>
      <c r="G1366" s="143" t="str">
        <f t="shared" si="22"/>
        <v>040909100S5080521</v>
      </c>
    </row>
    <row r="1367" spans="1:7" ht="76.5" x14ac:dyDescent="0.2">
      <c r="A1367" s="52" t="s">
        <v>1571</v>
      </c>
      <c r="B1367" s="368" t="s">
        <v>221</v>
      </c>
      <c r="C1367" s="368" t="s">
        <v>398</v>
      </c>
      <c r="D1367" s="368" t="s">
        <v>1572</v>
      </c>
      <c r="E1367" s="369" t="s">
        <v>1314</v>
      </c>
      <c r="F1367" s="371">
        <v>26207500</v>
      </c>
      <c r="G1367" s="143" t="str">
        <f t="shared" si="22"/>
        <v>040909100S5090</v>
      </c>
    </row>
    <row r="1368" spans="1:7" x14ac:dyDescent="0.2">
      <c r="A1368" s="52" t="s">
        <v>1512</v>
      </c>
      <c r="B1368" s="368" t="s">
        <v>221</v>
      </c>
      <c r="C1368" s="368" t="s">
        <v>398</v>
      </c>
      <c r="D1368" s="368" t="s">
        <v>1572</v>
      </c>
      <c r="E1368" s="369" t="s">
        <v>1513</v>
      </c>
      <c r="F1368" s="371">
        <v>26207500</v>
      </c>
      <c r="G1368" s="143" t="str">
        <f t="shared" si="22"/>
        <v>040909100S5090500</v>
      </c>
    </row>
    <row r="1369" spans="1:7" x14ac:dyDescent="0.2">
      <c r="A1369" s="52" t="s">
        <v>1567</v>
      </c>
      <c r="B1369" s="368" t="s">
        <v>221</v>
      </c>
      <c r="C1369" s="368" t="s">
        <v>398</v>
      </c>
      <c r="D1369" s="368" t="s">
        <v>1572</v>
      </c>
      <c r="E1369" s="369" t="s">
        <v>1568</v>
      </c>
      <c r="F1369" s="371">
        <v>26207500</v>
      </c>
      <c r="G1369" s="143" t="str">
        <f t="shared" si="22"/>
        <v>040909100S5090520</v>
      </c>
    </row>
    <row r="1370" spans="1:7" ht="38.25" x14ac:dyDescent="0.2">
      <c r="A1370" s="52" t="s">
        <v>1569</v>
      </c>
      <c r="B1370" s="368" t="s">
        <v>221</v>
      </c>
      <c r="C1370" s="368" t="s">
        <v>398</v>
      </c>
      <c r="D1370" s="368" t="s">
        <v>1572</v>
      </c>
      <c r="E1370" s="369" t="s">
        <v>1570</v>
      </c>
      <c r="F1370" s="371">
        <v>26207500</v>
      </c>
      <c r="G1370" s="143" t="str">
        <f t="shared" si="22"/>
        <v>040909100S5090521</v>
      </c>
    </row>
    <row r="1371" spans="1:7" ht="25.5" x14ac:dyDescent="0.2">
      <c r="A1371" s="52" t="s">
        <v>529</v>
      </c>
      <c r="B1371" s="368" t="s">
        <v>221</v>
      </c>
      <c r="C1371" s="368" t="s">
        <v>398</v>
      </c>
      <c r="D1371" s="368" t="s">
        <v>1057</v>
      </c>
      <c r="E1371" s="369" t="s">
        <v>1314</v>
      </c>
      <c r="F1371" s="371">
        <v>358900</v>
      </c>
      <c r="G1371" s="143" t="str">
        <f t="shared" si="22"/>
        <v>04090930000000</v>
      </c>
    </row>
    <row r="1372" spans="1:7" ht="76.5" x14ac:dyDescent="0.2">
      <c r="A1372" s="52" t="s">
        <v>1734</v>
      </c>
      <c r="B1372" s="368" t="s">
        <v>221</v>
      </c>
      <c r="C1372" s="368" t="s">
        <v>398</v>
      </c>
      <c r="D1372" s="368" t="s">
        <v>1735</v>
      </c>
      <c r="E1372" s="369" t="s">
        <v>1314</v>
      </c>
      <c r="F1372" s="371">
        <v>358900</v>
      </c>
      <c r="G1372" s="143" t="str">
        <f t="shared" si="22"/>
        <v>0409093R310601</v>
      </c>
    </row>
    <row r="1373" spans="1:7" x14ac:dyDescent="0.2">
      <c r="A1373" s="52" t="s">
        <v>1512</v>
      </c>
      <c r="B1373" s="368" t="s">
        <v>221</v>
      </c>
      <c r="C1373" s="368" t="s">
        <v>398</v>
      </c>
      <c r="D1373" s="368" t="s">
        <v>1735</v>
      </c>
      <c r="E1373" s="369" t="s">
        <v>1513</v>
      </c>
      <c r="F1373" s="371">
        <v>358900</v>
      </c>
      <c r="G1373" s="143" t="str">
        <f t="shared" si="22"/>
        <v>0409093R310601500</v>
      </c>
    </row>
    <row r="1374" spans="1:7" x14ac:dyDescent="0.2">
      <c r="A1374" s="52" t="s">
        <v>1567</v>
      </c>
      <c r="B1374" s="368" t="s">
        <v>221</v>
      </c>
      <c r="C1374" s="368" t="s">
        <v>398</v>
      </c>
      <c r="D1374" s="368" t="s">
        <v>1735</v>
      </c>
      <c r="E1374" s="369" t="s">
        <v>1568</v>
      </c>
      <c r="F1374" s="371">
        <v>358900</v>
      </c>
      <c r="G1374" s="143" t="str">
        <f t="shared" si="22"/>
        <v>0409093R310601520</v>
      </c>
    </row>
    <row r="1375" spans="1:7" ht="38.25" x14ac:dyDescent="0.2">
      <c r="A1375" s="52" t="s">
        <v>1569</v>
      </c>
      <c r="B1375" s="368" t="s">
        <v>221</v>
      </c>
      <c r="C1375" s="368" t="s">
        <v>398</v>
      </c>
      <c r="D1375" s="368" t="s">
        <v>1735</v>
      </c>
      <c r="E1375" s="369" t="s">
        <v>1570</v>
      </c>
      <c r="F1375" s="371">
        <v>358900</v>
      </c>
      <c r="G1375" s="143" t="str">
        <f t="shared" si="22"/>
        <v>0409093R310601521</v>
      </c>
    </row>
    <row r="1376" spans="1:7" x14ac:dyDescent="0.2">
      <c r="A1376" s="52" t="s">
        <v>147</v>
      </c>
      <c r="B1376" s="368" t="s">
        <v>221</v>
      </c>
      <c r="C1376" s="368" t="s">
        <v>1220</v>
      </c>
      <c r="D1376" s="368" t="s">
        <v>1314</v>
      </c>
      <c r="E1376" s="369" t="s">
        <v>1314</v>
      </c>
      <c r="F1376" s="371">
        <v>2500000</v>
      </c>
      <c r="G1376" s="143" t="str">
        <f t="shared" si="22"/>
        <v>0700</v>
      </c>
    </row>
    <row r="1377" spans="1:7" x14ac:dyDescent="0.2">
      <c r="A1377" s="52" t="s">
        <v>1145</v>
      </c>
      <c r="B1377" s="368" t="s">
        <v>221</v>
      </c>
      <c r="C1377" s="368" t="s">
        <v>405</v>
      </c>
      <c r="D1377" s="368" t="s">
        <v>1314</v>
      </c>
      <c r="E1377" s="369" t="s">
        <v>1314</v>
      </c>
      <c r="F1377" s="371">
        <v>2500000</v>
      </c>
      <c r="G1377" s="143" t="str">
        <f t="shared" si="22"/>
        <v>0707</v>
      </c>
    </row>
    <row r="1378" spans="1:7" x14ac:dyDescent="0.2">
      <c r="A1378" s="52" t="s">
        <v>507</v>
      </c>
      <c r="B1378" s="368" t="s">
        <v>221</v>
      </c>
      <c r="C1378" s="368" t="s">
        <v>405</v>
      </c>
      <c r="D1378" s="368" t="s">
        <v>1045</v>
      </c>
      <c r="E1378" s="369" t="s">
        <v>1314</v>
      </c>
      <c r="F1378" s="371">
        <v>2500000</v>
      </c>
      <c r="G1378" s="143" t="str">
        <f t="shared" si="22"/>
        <v>07070600000000</v>
      </c>
    </row>
    <row r="1379" spans="1:7" ht="25.5" x14ac:dyDescent="0.2">
      <c r="A1379" s="52" t="s">
        <v>508</v>
      </c>
      <c r="B1379" s="368" t="s">
        <v>221</v>
      </c>
      <c r="C1379" s="368" t="s">
        <v>405</v>
      </c>
      <c r="D1379" s="368" t="s">
        <v>1046</v>
      </c>
      <c r="E1379" s="369" t="s">
        <v>1314</v>
      </c>
      <c r="F1379" s="371">
        <v>2500000</v>
      </c>
      <c r="G1379" s="143" t="str">
        <f t="shared" si="22"/>
        <v>07070610000000</v>
      </c>
    </row>
    <row r="1380" spans="1:7" ht="102" x14ac:dyDescent="0.2">
      <c r="A1380" s="52" t="s">
        <v>1698</v>
      </c>
      <c r="B1380" s="368" t="s">
        <v>221</v>
      </c>
      <c r="C1380" s="368" t="s">
        <v>405</v>
      </c>
      <c r="D1380" s="368" t="s">
        <v>856</v>
      </c>
      <c r="E1380" s="369" t="s">
        <v>1314</v>
      </c>
      <c r="F1380" s="371">
        <v>2500000</v>
      </c>
      <c r="G1380" s="143" t="str">
        <f t="shared" si="22"/>
        <v>070706100Ч0050</v>
      </c>
    </row>
    <row r="1381" spans="1:7" x14ac:dyDescent="0.2">
      <c r="A1381" s="52" t="s">
        <v>1512</v>
      </c>
      <c r="B1381" s="368" t="s">
        <v>221</v>
      </c>
      <c r="C1381" s="368" t="s">
        <v>405</v>
      </c>
      <c r="D1381" s="368" t="s">
        <v>856</v>
      </c>
      <c r="E1381" s="369" t="s">
        <v>1513</v>
      </c>
      <c r="F1381" s="371">
        <v>2500000</v>
      </c>
      <c r="G1381" s="143" t="str">
        <f t="shared" si="22"/>
        <v>070706100Ч0050500</v>
      </c>
    </row>
    <row r="1382" spans="1:7" x14ac:dyDescent="0.2">
      <c r="A1382" s="52" t="s">
        <v>72</v>
      </c>
      <c r="B1382" s="368" t="s">
        <v>221</v>
      </c>
      <c r="C1382" s="368" t="s">
        <v>405</v>
      </c>
      <c r="D1382" s="368" t="s">
        <v>856</v>
      </c>
      <c r="E1382" s="369" t="s">
        <v>470</v>
      </c>
      <c r="F1382" s="371">
        <v>2500000</v>
      </c>
      <c r="G1382" s="143" t="str">
        <f t="shared" si="22"/>
        <v>070706100Ч0050540</v>
      </c>
    </row>
    <row r="1383" spans="1:7" x14ac:dyDescent="0.2">
      <c r="A1383" s="52" t="s">
        <v>264</v>
      </c>
      <c r="B1383" s="368" t="s">
        <v>221</v>
      </c>
      <c r="C1383" s="368" t="s">
        <v>1234</v>
      </c>
      <c r="D1383" s="368" t="s">
        <v>1314</v>
      </c>
      <c r="E1383" s="369" t="s">
        <v>1314</v>
      </c>
      <c r="F1383" s="371">
        <v>94700</v>
      </c>
      <c r="G1383" s="143" t="str">
        <f t="shared" si="22"/>
        <v>0900</v>
      </c>
    </row>
    <row r="1384" spans="1:7" x14ac:dyDescent="0.2">
      <c r="A1384" s="52" t="s">
        <v>1235</v>
      </c>
      <c r="B1384" s="368" t="s">
        <v>221</v>
      </c>
      <c r="C1384" s="368" t="s">
        <v>413</v>
      </c>
      <c r="D1384" s="368" t="s">
        <v>1314</v>
      </c>
      <c r="E1384" s="369" t="s">
        <v>1314</v>
      </c>
      <c r="F1384" s="371">
        <v>94700</v>
      </c>
      <c r="G1384" s="143" t="str">
        <f t="shared" si="22"/>
        <v>0909</v>
      </c>
    </row>
    <row r="1385" spans="1:7" ht="25.5" x14ac:dyDescent="0.2">
      <c r="A1385" s="52" t="s">
        <v>1563</v>
      </c>
      <c r="B1385" s="368" t="s">
        <v>221</v>
      </c>
      <c r="C1385" s="368" t="s">
        <v>413</v>
      </c>
      <c r="D1385" s="368" t="s">
        <v>1060</v>
      </c>
      <c r="E1385" s="369" t="s">
        <v>1314</v>
      </c>
      <c r="F1385" s="371">
        <v>94700</v>
      </c>
      <c r="G1385" s="143" t="str">
        <f t="shared" ref="G1385:G1415" si="23">CONCATENATE(C1385,D1385,E1385)</f>
        <v>09091100000000</v>
      </c>
    </row>
    <row r="1386" spans="1:7" ht="51" x14ac:dyDescent="0.2">
      <c r="A1386" s="52" t="s">
        <v>1566</v>
      </c>
      <c r="B1386" s="368" t="s">
        <v>221</v>
      </c>
      <c r="C1386" s="368" t="s">
        <v>413</v>
      </c>
      <c r="D1386" s="368" t="s">
        <v>1061</v>
      </c>
      <c r="E1386" s="369" t="s">
        <v>1314</v>
      </c>
      <c r="F1386" s="371">
        <v>94700</v>
      </c>
      <c r="G1386" s="143" t="str">
        <f t="shared" si="23"/>
        <v>09091110000000</v>
      </c>
    </row>
    <row r="1387" spans="1:7" ht="102" x14ac:dyDescent="0.2">
      <c r="A1387" s="52" t="s">
        <v>1699</v>
      </c>
      <c r="B1387" s="368" t="s">
        <v>221</v>
      </c>
      <c r="C1387" s="368" t="s">
        <v>413</v>
      </c>
      <c r="D1387" s="368" t="s">
        <v>1700</v>
      </c>
      <c r="E1387" s="369" t="s">
        <v>1314</v>
      </c>
      <c r="F1387" s="371">
        <v>94700</v>
      </c>
      <c r="G1387" s="143" t="str">
        <f t="shared" si="23"/>
        <v>090911100S5550</v>
      </c>
    </row>
    <row r="1388" spans="1:7" x14ac:dyDescent="0.2">
      <c r="A1388" s="52" t="s">
        <v>1512</v>
      </c>
      <c r="B1388" s="368" t="s">
        <v>221</v>
      </c>
      <c r="C1388" s="368" t="s">
        <v>413</v>
      </c>
      <c r="D1388" s="368" t="s">
        <v>1700</v>
      </c>
      <c r="E1388" s="369" t="s">
        <v>1513</v>
      </c>
      <c r="F1388" s="371">
        <v>94700</v>
      </c>
      <c r="G1388" s="143" t="str">
        <f t="shared" si="23"/>
        <v>090911100S5550500</v>
      </c>
    </row>
    <row r="1389" spans="1:7" x14ac:dyDescent="0.2">
      <c r="A1389" s="52" t="s">
        <v>1567</v>
      </c>
      <c r="B1389" s="368" t="s">
        <v>221</v>
      </c>
      <c r="C1389" s="368" t="s">
        <v>413</v>
      </c>
      <c r="D1389" s="368" t="s">
        <v>1700</v>
      </c>
      <c r="E1389" s="369" t="s">
        <v>1568</v>
      </c>
      <c r="F1389" s="371">
        <v>94700</v>
      </c>
      <c r="G1389" s="143" t="str">
        <f t="shared" si="23"/>
        <v>090911100S5550520</v>
      </c>
    </row>
    <row r="1390" spans="1:7" ht="38.25" x14ac:dyDescent="0.2">
      <c r="A1390" s="52" t="s">
        <v>1569</v>
      </c>
      <c r="B1390" s="368" t="s">
        <v>221</v>
      </c>
      <c r="C1390" s="368" t="s">
        <v>413</v>
      </c>
      <c r="D1390" s="368" t="s">
        <v>1700</v>
      </c>
      <c r="E1390" s="369" t="s">
        <v>1570</v>
      </c>
      <c r="F1390" s="371">
        <v>94700</v>
      </c>
      <c r="G1390" s="143" t="str">
        <f t="shared" si="23"/>
        <v>090911100S5550521</v>
      </c>
    </row>
    <row r="1391" spans="1:7" ht="25.5" x14ac:dyDescent="0.2">
      <c r="A1391" s="52" t="s">
        <v>2106</v>
      </c>
      <c r="B1391" s="368" t="s">
        <v>221</v>
      </c>
      <c r="C1391" s="368" t="s">
        <v>2107</v>
      </c>
      <c r="D1391" s="368" t="s">
        <v>1314</v>
      </c>
      <c r="E1391" s="369" t="s">
        <v>1314</v>
      </c>
      <c r="F1391" s="371">
        <v>2740</v>
      </c>
      <c r="G1391" s="143" t="str">
        <f t="shared" si="23"/>
        <v>1300</v>
      </c>
    </row>
    <row r="1392" spans="1:7" ht="25.5" x14ac:dyDescent="0.2">
      <c r="A1392" s="52" t="s">
        <v>2108</v>
      </c>
      <c r="B1392" s="368" t="s">
        <v>221</v>
      </c>
      <c r="C1392" s="368" t="s">
        <v>2109</v>
      </c>
      <c r="D1392" s="368" t="s">
        <v>1314</v>
      </c>
      <c r="E1392" s="369" t="s">
        <v>1314</v>
      </c>
      <c r="F1392" s="371">
        <v>2740</v>
      </c>
      <c r="G1392" s="143" t="str">
        <f t="shared" si="23"/>
        <v>1301</v>
      </c>
    </row>
    <row r="1393" spans="1:7" ht="25.5" x14ac:dyDescent="0.2">
      <c r="A1393" s="52" t="s">
        <v>648</v>
      </c>
      <c r="B1393" s="368" t="s">
        <v>221</v>
      </c>
      <c r="C1393" s="368" t="s">
        <v>2109</v>
      </c>
      <c r="D1393" s="368" t="s">
        <v>1072</v>
      </c>
      <c r="E1393" s="369" t="s">
        <v>1314</v>
      </c>
      <c r="F1393" s="371">
        <v>2740</v>
      </c>
      <c r="G1393" s="143" t="str">
        <f t="shared" si="23"/>
        <v>13019000000000</v>
      </c>
    </row>
    <row r="1394" spans="1:7" ht="25.5" x14ac:dyDescent="0.2">
      <c r="A1394" s="52" t="s">
        <v>471</v>
      </c>
      <c r="B1394" s="368" t="s">
        <v>221</v>
      </c>
      <c r="C1394" s="368" t="s">
        <v>2109</v>
      </c>
      <c r="D1394" s="368" t="s">
        <v>1076</v>
      </c>
      <c r="E1394" s="369" t="s">
        <v>1314</v>
      </c>
      <c r="F1394" s="371">
        <v>2740</v>
      </c>
      <c r="G1394" s="143" t="str">
        <f t="shared" si="23"/>
        <v>13019090000000</v>
      </c>
    </row>
    <row r="1395" spans="1:7" ht="25.5" x14ac:dyDescent="0.2">
      <c r="A1395" s="52" t="s">
        <v>471</v>
      </c>
      <c r="B1395" s="368" t="s">
        <v>221</v>
      </c>
      <c r="C1395" s="368" t="s">
        <v>2109</v>
      </c>
      <c r="D1395" s="368" t="s">
        <v>852</v>
      </c>
      <c r="E1395" s="369" t="s">
        <v>1314</v>
      </c>
      <c r="F1395" s="371">
        <v>2740</v>
      </c>
      <c r="G1395" s="143" t="str">
        <f t="shared" si="23"/>
        <v>13019090080000</v>
      </c>
    </row>
    <row r="1396" spans="1:7" x14ac:dyDescent="0.2">
      <c r="A1396" s="52" t="s">
        <v>2110</v>
      </c>
      <c r="B1396" s="368" t="s">
        <v>221</v>
      </c>
      <c r="C1396" s="368" t="s">
        <v>2109</v>
      </c>
      <c r="D1396" s="368" t="s">
        <v>852</v>
      </c>
      <c r="E1396" s="369" t="s">
        <v>2111</v>
      </c>
      <c r="F1396" s="371">
        <v>2740</v>
      </c>
      <c r="G1396" s="143" t="str">
        <f t="shared" si="23"/>
        <v>13019090080000700</v>
      </c>
    </row>
    <row r="1397" spans="1:7" x14ac:dyDescent="0.2">
      <c r="A1397" s="52" t="s">
        <v>2112</v>
      </c>
      <c r="B1397" s="368" t="s">
        <v>221</v>
      </c>
      <c r="C1397" s="368" t="s">
        <v>2109</v>
      </c>
      <c r="D1397" s="368" t="s">
        <v>852</v>
      </c>
      <c r="E1397" s="369" t="s">
        <v>2113</v>
      </c>
      <c r="F1397" s="371">
        <v>2740</v>
      </c>
      <c r="G1397" s="143" t="str">
        <f t="shared" si="23"/>
        <v>13019090080000730</v>
      </c>
    </row>
    <row r="1398" spans="1:7" ht="38.25" x14ac:dyDescent="0.2">
      <c r="A1398" s="52" t="s">
        <v>1236</v>
      </c>
      <c r="B1398" s="368" t="s">
        <v>221</v>
      </c>
      <c r="C1398" s="368" t="s">
        <v>1237</v>
      </c>
      <c r="D1398" s="368" t="s">
        <v>1314</v>
      </c>
      <c r="E1398" s="369" t="s">
        <v>1314</v>
      </c>
      <c r="F1398" s="371">
        <v>130004200</v>
      </c>
      <c r="G1398" s="143" t="str">
        <f t="shared" si="23"/>
        <v>1400</v>
      </c>
    </row>
    <row r="1399" spans="1:7" ht="38.25" x14ac:dyDescent="0.2">
      <c r="A1399" s="52" t="s">
        <v>227</v>
      </c>
      <c r="B1399" s="368" t="s">
        <v>221</v>
      </c>
      <c r="C1399" s="368" t="s">
        <v>477</v>
      </c>
      <c r="D1399" s="368" t="s">
        <v>1314</v>
      </c>
      <c r="E1399" s="369" t="s">
        <v>1314</v>
      </c>
      <c r="F1399" s="371">
        <v>93434200</v>
      </c>
      <c r="G1399" s="143" t="str">
        <f t="shared" si="23"/>
        <v>1401</v>
      </c>
    </row>
    <row r="1400" spans="1:7" ht="25.5" x14ac:dyDescent="0.2">
      <c r="A1400" s="52" t="s">
        <v>1563</v>
      </c>
      <c r="B1400" s="368" t="s">
        <v>221</v>
      </c>
      <c r="C1400" s="368" t="s">
        <v>477</v>
      </c>
      <c r="D1400" s="368" t="s">
        <v>1060</v>
      </c>
      <c r="E1400" s="369" t="s">
        <v>1314</v>
      </c>
      <c r="F1400" s="371">
        <v>93434200</v>
      </c>
      <c r="G1400" s="143" t="str">
        <f t="shared" si="23"/>
        <v>14011100000000</v>
      </c>
    </row>
    <row r="1401" spans="1:7" ht="51" x14ac:dyDescent="0.2">
      <c r="A1401" s="52" t="s">
        <v>1566</v>
      </c>
      <c r="B1401" s="240" t="s">
        <v>221</v>
      </c>
      <c r="C1401" s="240" t="s">
        <v>477</v>
      </c>
      <c r="D1401" s="240" t="s">
        <v>1061</v>
      </c>
      <c r="E1401" s="241" t="s">
        <v>1314</v>
      </c>
      <c r="F1401" s="414">
        <v>93434200</v>
      </c>
      <c r="G1401" s="143" t="str">
        <f t="shared" si="23"/>
        <v>14011110000000</v>
      </c>
    </row>
    <row r="1402" spans="1:7" ht="114.75" x14ac:dyDescent="0.2">
      <c r="A1402" s="52" t="s">
        <v>1573</v>
      </c>
      <c r="B1402" s="240" t="s">
        <v>221</v>
      </c>
      <c r="C1402" s="240" t="s">
        <v>477</v>
      </c>
      <c r="D1402" s="240" t="s">
        <v>858</v>
      </c>
      <c r="E1402" s="241" t="s">
        <v>1314</v>
      </c>
      <c r="F1402" s="414">
        <v>42780600</v>
      </c>
      <c r="G1402" s="143" t="str">
        <f t="shared" si="23"/>
        <v>14011110076010</v>
      </c>
    </row>
    <row r="1403" spans="1:7" x14ac:dyDescent="0.2">
      <c r="A1403" s="52" t="s">
        <v>1512</v>
      </c>
      <c r="B1403" s="240" t="s">
        <v>221</v>
      </c>
      <c r="C1403" s="240" t="s">
        <v>477</v>
      </c>
      <c r="D1403" s="240" t="s">
        <v>858</v>
      </c>
      <c r="E1403" s="241" t="s">
        <v>1513</v>
      </c>
      <c r="F1403" s="414">
        <v>42780600</v>
      </c>
      <c r="G1403" s="143" t="str">
        <f t="shared" si="23"/>
        <v>14011110076010500</v>
      </c>
    </row>
    <row r="1404" spans="1:7" x14ac:dyDescent="0.2">
      <c r="A1404" s="52" t="s">
        <v>1350</v>
      </c>
      <c r="B1404" s="240" t="s">
        <v>221</v>
      </c>
      <c r="C1404" s="240" t="s">
        <v>477</v>
      </c>
      <c r="D1404" s="240" t="s">
        <v>858</v>
      </c>
      <c r="E1404" s="241" t="s">
        <v>1351</v>
      </c>
      <c r="F1404" s="414">
        <v>42780600</v>
      </c>
      <c r="G1404" s="143" t="str">
        <f t="shared" si="23"/>
        <v>14011110076010510</v>
      </c>
    </row>
    <row r="1405" spans="1:7" x14ac:dyDescent="0.2">
      <c r="A1405" s="52" t="s">
        <v>590</v>
      </c>
      <c r="B1405" s="240" t="s">
        <v>221</v>
      </c>
      <c r="C1405" s="240" t="s">
        <v>477</v>
      </c>
      <c r="D1405" s="240" t="s">
        <v>858</v>
      </c>
      <c r="E1405" s="241" t="s">
        <v>478</v>
      </c>
      <c r="F1405" s="414">
        <v>42780600</v>
      </c>
      <c r="G1405" s="143" t="str">
        <f t="shared" si="23"/>
        <v>14011110076010511</v>
      </c>
    </row>
    <row r="1406" spans="1:7" ht="89.25" x14ac:dyDescent="0.2">
      <c r="A1406" s="52" t="s">
        <v>582</v>
      </c>
      <c r="B1406" s="240" t="s">
        <v>221</v>
      </c>
      <c r="C1406" s="240" t="s">
        <v>477</v>
      </c>
      <c r="D1406" s="240" t="s">
        <v>859</v>
      </c>
      <c r="E1406" s="241" t="s">
        <v>1314</v>
      </c>
      <c r="F1406" s="414">
        <v>50653600</v>
      </c>
      <c r="G1406" s="143" t="str">
        <f t="shared" si="23"/>
        <v>14011110080130</v>
      </c>
    </row>
    <row r="1407" spans="1:7" x14ac:dyDescent="0.2">
      <c r="A1407" s="52" t="s">
        <v>1512</v>
      </c>
      <c r="B1407" s="240" t="s">
        <v>221</v>
      </c>
      <c r="C1407" s="240" t="s">
        <v>477</v>
      </c>
      <c r="D1407" s="240" t="s">
        <v>859</v>
      </c>
      <c r="E1407" s="241" t="s">
        <v>1513</v>
      </c>
      <c r="F1407" s="414">
        <v>50653600</v>
      </c>
      <c r="G1407" s="143" t="str">
        <f t="shared" si="23"/>
        <v>14011110080130500</v>
      </c>
    </row>
    <row r="1408" spans="1:7" x14ac:dyDescent="0.2">
      <c r="A1408" s="52" t="s">
        <v>1350</v>
      </c>
      <c r="B1408" s="240" t="s">
        <v>221</v>
      </c>
      <c r="C1408" s="240" t="s">
        <v>477</v>
      </c>
      <c r="D1408" s="240" t="s">
        <v>859</v>
      </c>
      <c r="E1408" s="241" t="s">
        <v>1351</v>
      </c>
      <c r="F1408" s="414">
        <v>50653600</v>
      </c>
      <c r="G1408" s="143" t="str">
        <f t="shared" si="23"/>
        <v>14011110080130510</v>
      </c>
    </row>
    <row r="1409" spans="1:7" x14ac:dyDescent="0.2">
      <c r="A1409" s="52" t="s">
        <v>590</v>
      </c>
      <c r="B1409" s="240" t="s">
        <v>221</v>
      </c>
      <c r="C1409" s="240" t="s">
        <v>477</v>
      </c>
      <c r="D1409" s="240" t="s">
        <v>859</v>
      </c>
      <c r="E1409" s="241" t="s">
        <v>478</v>
      </c>
      <c r="F1409" s="414">
        <v>50653600</v>
      </c>
      <c r="G1409" s="143" t="str">
        <f t="shared" si="23"/>
        <v>14011110080130511</v>
      </c>
    </row>
    <row r="1410" spans="1:7" x14ac:dyDescent="0.2">
      <c r="A1410" s="52" t="s">
        <v>267</v>
      </c>
      <c r="B1410" s="240" t="s">
        <v>221</v>
      </c>
      <c r="C1410" s="240" t="s">
        <v>479</v>
      </c>
      <c r="D1410" s="240" t="s">
        <v>1314</v>
      </c>
      <c r="E1410" s="241" t="s">
        <v>1314</v>
      </c>
      <c r="F1410" s="414">
        <v>36570000</v>
      </c>
      <c r="G1410" s="143" t="str">
        <f t="shared" si="23"/>
        <v>1403</v>
      </c>
    </row>
    <row r="1411" spans="1:7" ht="25.5" x14ac:dyDescent="0.2">
      <c r="A1411" s="52" t="s">
        <v>1563</v>
      </c>
      <c r="B1411" s="240" t="s">
        <v>221</v>
      </c>
      <c r="C1411" s="240" t="s">
        <v>479</v>
      </c>
      <c r="D1411" s="240" t="s">
        <v>1060</v>
      </c>
      <c r="E1411" s="241" t="s">
        <v>1314</v>
      </c>
      <c r="F1411" s="414">
        <v>36570000</v>
      </c>
      <c r="G1411" s="143" t="str">
        <f t="shared" si="23"/>
        <v>14031100000000</v>
      </c>
    </row>
    <row r="1412" spans="1:7" ht="51" x14ac:dyDescent="0.2">
      <c r="A1412" s="52" t="s">
        <v>1566</v>
      </c>
      <c r="B1412" s="240" t="s">
        <v>221</v>
      </c>
      <c r="C1412" s="240" t="s">
        <v>479</v>
      </c>
      <c r="D1412" s="240" t="s">
        <v>1061</v>
      </c>
      <c r="E1412" s="241" t="s">
        <v>1314</v>
      </c>
      <c r="F1412" s="414">
        <v>36570000</v>
      </c>
      <c r="G1412" s="143" t="str">
        <f t="shared" si="23"/>
        <v>14031110000000</v>
      </c>
    </row>
    <row r="1413" spans="1:7" ht="89.25" x14ac:dyDescent="0.2">
      <c r="A1413" s="52" t="s">
        <v>1702</v>
      </c>
      <c r="B1413" s="240" t="s">
        <v>221</v>
      </c>
      <c r="C1413" s="240" t="s">
        <v>479</v>
      </c>
      <c r="D1413" s="240" t="s">
        <v>860</v>
      </c>
      <c r="E1413" s="241" t="s">
        <v>1314</v>
      </c>
      <c r="F1413" s="414">
        <v>36570000</v>
      </c>
      <c r="G1413" s="143" t="str">
        <f t="shared" si="23"/>
        <v>14031110080120</v>
      </c>
    </row>
    <row r="1414" spans="1:7" x14ac:dyDescent="0.2">
      <c r="A1414" s="52" t="s">
        <v>1512</v>
      </c>
      <c r="B1414" s="240" t="s">
        <v>221</v>
      </c>
      <c r="C1414" s="240" t="s">
        <v>479</v>
      </c>
      <c r="D1414" s="240" t="s">
        <v>860</v>
      </c>
      <c r="E1414" s="241" t="s">
        <v>1513</v>
      </c>
      <c r="F1414" s="414">
        <v>36570000</v>
      </c>
      <c r="G1414" s="143" t="str">
        <f t="shared" si="23"/>
        <v>14031110080120500</v>
      </c>
    </row>
    <row r="1415" spans="1:7" x14ac:dyDescent="0.2">
      <c r="A1415" s="52" t="s">
        <v>72</v>
      </c>
      <c r="B1415" s="240" t="s">
        <v>221</v>
      </c>
      <c r="C1415" s="240" t="s">
        <v>479</v>
      </c>
      <c r="D1415" s="240" t="s">
        <v>860</v>
      </c>
      <c r="E1415" s="241" t="s">
        <v>470</v>
      </c>
      <c r="F1415" s="414">
        <v>36570000</v>
      </c>
      <c r="G1415" s="143" t="str">
        <f t="shared" si="23"/>
        <v>14031110080120540</v>
      </c>
    </row>
  </sheetData>
  <autoFilter ref="A6:H1415"/>
  <mergeCells count="6">
    <mergeCell ref="A1:F1"/>
    <mergeCell ref="A2:F2"/>
    <mergeCell ref="A3:F3"/>
    <mergeCell ref="A5:A6"/>
    <mergeCell ref="B5:E5"/>
    <mergeCell ref="F5:F6"/>
  </mergeCells>
  <phoneticPr fontId="3" type="noConversion"/>
  <pageMargins left="0.98425196850393704" right="0.23622047244094491" top="0.2" bottom="0.19" header="0.17" footer="0.17"/>
  <pageSetup paperSize="9" scale="81"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321"/>
  <sheetViews>
    <sheetView topLeftCell="A2" workbookViewId="0">
      <selection activeCell="A1256" sqref="A1256:G1259"/>
    </sheetView>
  </sheetViews>
  <sheetFormatPr defaultRowHeight="12.75" x14ac:dyDescent="0.2"/>
  <cols>
    <col min="1" max="1" width="38.85546875" style="146" customWidth="1"/>
    <col min="2" max="2" width="7.28515625" style="146" customWidth="1"/>
    <col min="3" max="3" width="8" style="146" customWidth="1"/>
    <col min="4" max="4" width="11.7109375" style="146" customWidth="1"/>
    <col min="5" max="5" width="9.42578125" style="146" customWidth="1"/>
    <col min="6" max="7" width="19.7109375" style="3" customWidth="1"/>
    <col min="8" max="8" width="15.5703125" style="3" customWidth="1"/>
    <col min="9" max="9" width="13.5703125" style="3" bestFit="1" customWidth="1"/>
    <col min="10" max="16384" width="9.140625" style="3"/>
  </cols>
  <sheetData>
    <row r="1" spans="1:9" ht="47.25" hidden="1" customHeight="1" x14ac:dyDescent="0.2">
      <c r="A1" s="444" t="str">
        <f>"Приложение №"&amp;Н2вед1&amp;"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c r="C1" s="444"/>
      <c r="D1" s="444"/>
      <c r="E1" s="444"/>
      <c r="F1" s="444"/>
      <c r="G1" s="444"/>
    </row>
    <row r="2" spans="1:9" ht="53.25" customHeight="1" x14ac:dyDescent="0.2">
      <c r="A2" s="444" t="str">
        <f>"Приложение "&amp;Н1вед1&amp;" к решению
Богучанского районного Совета депутатов
от "&amp;Р1дата&amp;" года №"&amp;Р1номер</f>
        <v>Приложение 6 к решению
Богучанского районного Совета депутатов
от  04.12.2020 года №5/1-16</v>
      </c>
      <c r="B2" s="444"/>
      <c r="C2" s="444"/>
      <c r="D2" s="444"/>
      <c r="E2" s="444"/>
      <c r="F2" s="444"/>
      <c r="G2" s="444"/>
    </row>
    <row r="3" spans="1:9" ht="58.5" customHeight="1" x14ac:dyDescent="0.25">
      <c r="A3" s="443" t="str">
        <f>"Ведомственная структура расходов районного бюджета на плановый период "&amp;ПлПер&amp;" годов"</f>
        <v>Ведомственная структура расходов районного бюджета на плановый период 2022-2023 годов</v>
      </c>
      <c r="B3" s="443"/>
      <c r="C3" s="443"/>
      <c r="D3" s="443"/>
      <c r="E3" s="443"/>
      <c r="F3" s="443"/>
      <c r="G3" s="443"/>
    </row>
    <row r="4" spans="1:9" x14ac:dyDescent="0.2">
      <c r="G4" s="8" t="s">
        <v>73</v>
      </c>
    </row>
    <row r="5" spans="1:9" x14ac:dyDescent="0.2">
      <c r="A5" s="472" t="s">
        <v>1518</v>
      </c>
      <c r="B5" s="474" t="s">
        <v>184</v>
      </c>
      <c r="C5" s="475"/>
      <c r="D5" s="475"/>
      <c r="E5" s="476"/>
      <c r="F5" s="479" t="s">
        <v>1523</v>
      </c>
      <c r="G5" s="479" t="s">
        <v>2082</v>
      </c>
    </row>
    <row r="6" spans="1:9" ht="41.25" customHeight="1" x14ac:dyDescent="0.2">
      <c r="A6" s="473"/>
      <c r="B6" s="310" t="s">
        <v>1515</v>
      </c>
      <c r="C6" s="310" t="s">
        <v>1514</v>
      </c>
      <c r="D6" s="310" t="s">
        <v>1516</v>
      </c>
      <c r="E6" s="310" t="s">
        <v>1517</v>
      </c>
      <c r="F6" s="479"/>
      <c r="G6" s="479"/>
    </row>
    <row r="7" spans="1:9" s="11" customFormat="1" x14ac:dyDescent="0.2">
      <c r="A7" s="421" t="s">
        <v>74</v>
      </c>
      <c r="B7" s="422" t="s">
        <v>1314</v>
      </c>
      <c r="C7" s="422" t="s">
        <v>1314</v>
      </c>
      <c r="D7" s="422" t="s">
        <v>1314</v>
      </c>
      <c r="E7" s="423" t="s">
        <v>1314</v>
      </c>
      <c r="F7" s="424">
        <f>2197637720+F1321</f>
        <v>2225637720</v>
      </c>
      <c r="G7" s="424">
        <f>2216506420+G1321</f>
        <v>2275006420</v>
      </c>
      <c r="I7" s="95"/>
    </row>
    <row r="8" spans="1:9" x14ac:dyDescent="0.2">
      <c r="A8" s="193" t="s">
        <v>360</v>
      </c>
      <c r="B8" s="189" t="s">
        <v>185</v>
      </c>
      <c r="C8" s="189" t="s">
        <v>1314</v>
      </c>
      <c r="D8" s="189" t="s">
        <v>1314</v>
      </c>
      <c r="E8" s="189" t="s">
        <v>1314</v>
      </c>
      <c r="F8" s="191">
        <v>7075198</v>
      </c>
      <c r="G8" s="191">
        <v>7075198</v>
      </c>
      <c r="H8" s="96"/>
    </row>
    <row r="9" spans="1:9" x14ac:dyDescent="0.2">
      <c r="A9" s="193" t="s">
        <v>250</v>
      </c>
      <c r="B9" s="189" t="s">
        <v>185</v>
      </c>
      <c r="C9" s="189" t="s">
        <v>1212</v>
      </c>
      <c r="D9" s="189" t="s">
        <v>1314</v>
      </c>
      <c r="E9" s="189" t="s">
        <v>1314</v>
      </c>
      <c r="F9" s="191">
        <v>7075198</v>
      </c>
      <c r="G9" s="191">
        <v>7075198</v>
      </c>
      <c r="H9" s="143" t="str">
        <f>CONCATENATE(C9,,D9,E9)</f>
        <v>0100</v>
      </c>
    </row>
    <row r="10" spans="1:9" ht="63.75" x14ac:dyDescent="0.2">
      <c r="A10" s="193" t="s">
        <v>71</v>
      </c>
      <c r="B10" s="189" t="s">
        <v>185</v>
      </c>
      <c r="C10" s="189" t="s">
        <v>366</v>
      </c>
      <c r="D10" s="189" t="s">
        <v>1314</v>
      </c>
      <c r="E10" s="189" t="s">
        <v>1314</v>
      </c>
      <c r="F10" s="191">
        <v>7075198</v>
      </c>
      <c r="G10" s="191">
        <v>7075198</v>
      </c>
      <c r="H10" s="143" t="str">
        <f t="shared" ref="H10:H73" si="0">CONCATENATE(C10,,D10,E10)</f>
        <v>0103</v>
      </c>
    </row>
    <row r="11" spans="1:9" ht="38.25" x14ac:dyDescent="0.2">
      <c r="A11" s="193" t="s">
        <v>646</v>
      </c>
      <c r="B11" s="189" t="s">
        <v>185</v>
      </c>
      <c r="C11" s="189" t="s">
        <v>366</v>
      </c>
      <c r="D11" s="189" t="s">
        <v>1067</v>
      </c>
      <c r="E11" s="189" t="s">
        <v>1314</v>
      </c>
      <c r="F11" s="191">
        <v>7075198</v>
      </c>
      <c r="G11" s="191">
        <v>7075198</v>
      </c>
      <c r="H11" s="143" t="str">
        <f t="shared" si="0"/>
        <v>01038000000000</v>
      </c>
    </row>
    <row r="12" spans="1:9" ht="51" x14ac:dyDescent="0.2">
      <c r="A12" s="193" t="s">
        <v>647</v>
      </c>
      <c r="B12" s="189" t="s">
        <v>185</v>
      </c>
      <c r="C12" s="189" t="s">
        <v>366</v>
      </c>
      <c r="D12" s="189" t="s">
        <v>1069</v>
      </c>
      <c r="E12" s="189" t="s">
        <v>1314</v>
      </c>
      <c r="F12" s="191">
        <v>3241980</v>
      </c>
      <c r="G12" s="191">
        <v>3241980</v>
      </c>
      <c r="H12" s="143" t="str">
        <f t="shared" si="0"/>
        <v>01038020000000</v>
      </c>
    </row>
    <row r="13" spans="1:9" ht="51" x14ac:dyDescent="0.2">
      <c r="A13" s="193" t="s">
        <v>367</v>
      </c>
      <c r="B13" s="189" t="s">
        <v>185</v>
      </c>
      <c r="C13" s="189" t="s">
        <v>366</v>
      </c>
      <c r="D13" s="189" t="s">
        <v>695</v>
      </c>
      <c r="E13" s="189" t="s">
        <v>1314</v>
      </c>
      <c r="F13" s="191">
        <v>3189980</v>
      </c>
      <c r="G13" s="191">
        <v>3189980</v>
      </c>
      <c r="H13" s="143" t="str">
        <f t="shared" si="0"/>
        <v>01038020060000</v>
      </c>
    </row>
    <row r="14" spans="1:9" ht="76.5" x14ac:dyDescent="0.2">
      <c r="A14" s="193" t="s">
        <v>1501</v>
      </c>
      <c r="B14" s="189" t="s">
        <v>185</v>
      </c>
      <c r="C14" s="189" t="s">
        <v>366</v>
      </c>
      <c r="D14" s="189" t="s">
        <v>695</v>
      </c>
      <c r="E14" s="189" t="s">
        <v>290</v>
      </c>
      <c r="F14" s="191">
        <v>2538930</v>
      </c>
      <c r="G14" s="191">
        <v>2538930</v>
      </c>
      <c r="H14" s="143" t="str">
        <f t="shared" si="0"/>
        <v>01038020060000100</v>
      </c>
    </row>
    <row r="15" spans="1:9" ht="38.25" x14ac:dyDescent="0.2">
      <c r="A15" s="193" t="s">
        <v>1345</v>
      </c>
      <c r="B15" s="189" t="s">
        <v>185</v>
      </c>
      <c r="C15" s="189" t="s">
        <v>366</v>
      </c>
      <c r="D15" s="189" t="s">
        <v>695</v>
      </c>
      <c r="E15" s="189" t="s">
        <v>30</v>
      </c>
      <c r="F15" s="191">
        <v>2538930</v>
      </c>
      <c r="G15" s="191">
        <v>2538930</v>
      </c>
      <c r="H15" s="143" t="str">
        <f t="shared" si="0"/>
        <v>01038020060000120</v>
      </c>
    </row>
    <row r="16" spans="1:9" ht="25.5" x14ac:dyDescent="0.2">
      <c r="A16" s="193" t="s">
        <v>1010</v>
      </c>
      <c r="B16" s="189" t="s">
        <v>185</v>
      </c>
      <c r="C16" s="189" t="s">
        <v>366</v>
      </c>
      <c r="D16" s="189" t="s">
        <v>695</v>
      </c>
      <c r="E16" s="189" t="s">
        <v>363</v>
      </c>
      <c r="F16" s="191">
        <v>1929670</v>
      </c>
      <c r="G16" s="191">
        <v>1929670</v>
      </c>
      <c r="H16" s="143" t="str">
        <f t="shared" si="0"/>
        <v>01038020060000121</v>
      </c>
    </row>
    <row r="17" spans="1:8" ht="51" x14ac:dyDescent="0.2">
      <c r="A17" s="193" t="s">
        <v>364</v>
      </c>
      <c r="B17" s="189" t="s">
        <v>185</v>
      </c>
      <c r="C17" s="189" t="s">
        <v>366</v>
      </c>
      <c r="D17" s="189" t="s">
        <v>695</v>
      </c>
      <c r="E17" s="189" t="s">
        <v>365</v>
      </c>
      <c r="F17" s="191">
        <v>26500</v>
      </c>
      <c r="G17" s="191">
        <v>26500</v>
      </c>
      <c r="H17" s="143" t="str">
        <f t="shared" si="0"/>
        <v>01038020060000122</v>
      </c>
    </row>
    <row r="18" spans="1:8" ht="63.75" x14ac:dyDescent="0.2">
      <c r="A18" s="193" t="s">
        <v>1115</v>
      </c>
      <c r="B18" s="189" t="s">
        <v>185</v>
      </c>
      <c r="C18" s="189" t="s">
        <v>366</v>
      </c>
      <c r="D18" s="189" t="s">
        <v>695</v>
      </c>
      <c r="E18" s="189" t="s">
        <v>1116</v>
      </c>
      <c r="F18" s="191">
        <v>582760</v>
      </c>
      <c r="G18" s="191">
        <v>582760</v>
      </c>
      <c r="H18" s="143" t="str">
        <f t="shared" si="0"/>
        <v>01038020060000129</v>
      </c>
    </row>
    <row r="19" spans="1:8" ht="38.25" x14ac:dyDescent="0.2">
      <c r="A19" s="193" t="s">
        <v>1502</v>
      </c>
      <c r="B19" s="189" t="s">
        <v>185</v>
      </c>
      <c r="C19" s="189" t="s">
        <v>366</v>
      </c>
      <c r="D19" s="189" t="s">
        <v>695</v>
      </c>
      <c r="E19" s="189" t="s">
        <v>1503</v>
      </c>
      <c r="F19" s="191">
        <v>651050</v>
      </c>
      <c r="G19" s="191">
        <v>651050</v>
      </c>
      <c r="H19" s="143" t="str">
        <f t="shared" si="0"/>
        <v>01038020060000200</v>
      </c>
    </row>
    <row r="20" spans="1:8" ht="38.25" x14ac:dyDescent="0.2">
      <c r="A20" s="193" t="s">
        <v>1338</v>
      </c>
      <c r="B20" s="189" t="s">
        <v>185</v>
      </c>
      <c r="C20" s="189" t="s">
        <v>366</v>
      </c>
      <c r="D20" s="189" t="s">
        <v>695</v>
      </c>
      <c r="E20" s="189" t="s">
        <v>1339</v>
      </c>
      <c r="F20" s="191">
        <v>651050</v>
      </c>
      <c r="G20" s="191">
        <v>651050</v>
      </c>
      <c r="H20" s="143" t="str">
        <f t="shared" si="0"/>
        <v>01038020060000240</v>
      </c>
    </row>
    <row r="21" spans="1:8" x14ac:dyDescent="0.2">
      <c r="A21" s="193" t="s">
        <v>1379</v>
      </c>
      <c r="B21" s="189" t="s">
        <v>185</v>
      </c>
      <c r="C21" s="189" t="s">
        <v>366</v>
      </c>
      <c r="D21" s="189" t="s">
        <v>695</v>
      </c>
      <c r="E21" s="189" t="s">
        <v>368</v>
      </c>
      <c r="F21" s="191">
        <v>651050</v>
      </c>
      <c r="G21" s="191">
        <v>651050</v>
      </c>
      <c r="H21" s="143" t="str">
        <f t="shared" si="0"/>
        <v>01038020060000244</v>
      </c>
    </row>
    <row r="22" spans="1:8" ht="76.5" x14ac:dyDescent="0.2">
      <c r="A22" s="193" t="s">
        <v>605</v>
      </c>
      <c r="B22" s="189" t="s">
        <v>185</v>
      </c>
      <c r="C22" s="189" t="s">
        <v>366</v>
      </c>
      <c r="D22" s="189" t="s">
        <v>696</v>
      </c>
      <c r="E22" s="189" t="s">
        <v>1314</v>
      </c>
      <c r="F22" s="191">
        <v>52000</v>
      </c>
      <c r="G22" s="191">
        <v>52000</v>
      </c>
      <c r="H22" s="143" t="str">
        <f t="shared" si="0"/>
        <v>01038020067000</v>
      </c>
    </row>
    <row r="23" spans="1:8" ht="76.5" x14ac:dyDescent="0.2">
      <c r="A23" s="193" t="s">
        <v>1501</v>
      </c>
      <c r="B23" s="189" t="s">
        <v>185</v>
      </c>
      <c r="C23" s="189" t="s">
        <v>366</v>
      </c>
      <c r="D23" s="189" t="s">
        <v>696</v>
      </c>
      <c r="E23" s="189" t="s">
        <v>290</v>
      </c>
      <c r="F23" s="191">
        <v>52000</v>
      </c>
      <c r="G23" s="191">
        <v>52000</v>
      </c>
      <c r="H23" s="143" t="str">
        <f t="shared" si="0"/>
        <v>01038020067000100</v>
      </c>
    </row>
    <row r="24" spans="1:8" ht="38.25" x14ac:dyDescent="0.2">
      <c r="A24" s="193" t="s">
        <v>1345</v>
      </c>
      <c r="B24" s="189" t="s">
        <v>185</v>
      </c>
      <c r="C24" s="189" t="s">
        <v>366</v>
      </c>
      <c r="D24" s="189" t="s">
        <v>696</v>
      </c>
      <c r="E24" s="189" t="s">
        <v>30</v>
      </c>
      <c r="F24" s="191">
        <v>52000</v>
      </c>
      <c r="G24" s="191">
        <v>52000</v>
      </c>
      <c r="H24" s="143" t="str">
        <f t="shared" si="0"/>
        <v>01038020067000120</v>
      </c>
    </row>
    <row r="25" spans="1:8" ht="51" x14ac:dyDescent="0.2">
      <c r="A25" s="193" t="s">
        <v>364</v>
      </c>
      <c r="B25" s="189" t="s">
        <v>185</v>
      </c>
      <c r="C25" s="189" t="s">
        <v>366</v>
      </c>
      <c r="D25" s="189" t="s">
        <v>696</v>
      </c>
      <c r="E25" s="189" t="s">
        <v>365</v>
      </c>
      <c r="F25" s="191">
        <v>52000</v>
      </c>
      <c r="G25" s="191">
        <v>52000</v>
      </c>
      <c r="H25" s="143" t="str">
        <f t="shared" si="0"/>
        <v>01038020067000122</v>
      </c>
    </row>
    <row r="26" spans="1:8" ht="63.75" x14ac:dyDescent="0.2">
      <c r="A26" s="193" t="s">
        <v>369</v>
      </c>
      <c r="B26" s="189" t="s">
        <v>185</v>
      </c>
      <c r="C26" s="189" t="s">
        <v>366</v>
      </c>
      <c r="D26" s="189" t="s">
        <v>1070</v>
      </c>
      <c r="E26" s="189" t="s">
        <v>1314</v>
      </c>
      <c r="F26" s="191">
        <v>3833218</v>
      </c>
      <c r="G26" s="191">
        <v>3833218</v>
      </c>
      <c r="H26" s="143" t="str">
        <f t="shared" si="0"/>
        <v>01038030000000</v>
      </c>
    </row>
    <row r="27" spans="1:8" ht="63.75" x14ac:dyDescent="0.2">
      <c r="A27" s="193" t="s">
        <v>369</v>
      </c>
      <c r="B27" s="189" t="s">
        <v>185</v>
      </c>
      <c r="C27" s="189" t="s">
        <v>366</v>
      </c>
      <c r="D27" s="189" t="s">
        <v>697</v>
      </c>
      <c r="E27" s="189" t="s">
        <v>1314</v>
      </c>
      <c r="F27" s="191">
        <v>3781218</v>
      </c>
      <c r="G27" s="191">
        <v>3781218</v>
      </c>
      <c r="H27" s="143" t="str">
        <f t="shared" si="0"/>
        <v>01038030060000</v>
      </c>
    </row>
    <row r="28" spans="1:8" ht="76.5" x14ac:dyDescent="0.2">
      <c r="A28" s="193" t="s">
        <v>1501</v>
      </c>
      <c r="B28" s="189" t="s">
        <v>185</v>
      </c>
      <c r="C28" s="189" t="s">
        <v>366</v>
      </c>
      <c r="D28" s="189" t="s">
        <v>697</v>
      </c>
      <c r="E28" s="189" t="s">
        <v>290</v>
      </c>
      <c r="F28" s="191">
        <v>3781218</v>
      </c>
      <c r="G28" s="191">
        <v>3781218</v>
      </c>
      <c r="H28" s="143" t="str">
        <f t="shared" si="0"/>
        <v>01038030060000100</v>
      </c>
    </row>
    <row r="29" spans="1:8" ht="38.25" x14ac:dyDescent="0.2">
      <c r="A29" s="193" t="s">
        <v>1345</v>
      </c>
      <c r="B29" s="189" t="s">
        <v>185</v>
      </c>
      <c r="C29" s="189" t="s">
        <v>366</v>
      </c>
      <c r="D29" s="189" t="s">
        <v>697</v>
      </c>
      <c r="E29" s="189" t="s">
        <v>30</v>
      </c>
      <c r="F29" s="191">
        <v>3781218</v>
      </c>
      <c r="G29" s="191">
        <v>3781218</v>
      </c>
      <c r="H29" s="143" t="str">
        <f t="shared" si="0"/>
        <v>01038030060000120</v>
      </c>
    </row>
    <row r="30" spans="1:8" ht="25.5" x14ac:dyDescent="0.2">
      <c r="A30" s="193" t="s">
        <v>1010</v>
      </c>
      <c r="B30" s="189" t="s">
        <v>185</v>
      </c>
      <c r="C30" s="189" t="s">
        <v>366</v>
      </c>
      <c r="D30" s="189" t="s">
        <v>697</v>
      </c>
      <c r="E30" s="189" t="s">
        <v>363</v>
      </c>
      <c r="F30" s="191">
        <v>2694963</v>
      </c>
      <c r="G30" s="191">
        <v>2694963</v>
      </c>
      <c r="H30" s="143" t="str">
        <f t="shared" si="0"/>
        <v>01038030060000121</v>
      </c>
    </row>
    <row r="31" spans="1:8" ht="51" x14ac:dyDescent="0.2">
      <c r="A31" s="193" t="s">
        <v>364</v>
      </c>
      <c r="B31" s="189" t="s">
        <v>185</v>
      </c>
      <c r="C31" s="189" t="s">
        <v>366</v>
      </c>
      <c r="D31" s="189" t="s">
        <v>697</v>
      </c>
      <c r="E31" s="189" t="s">
        <v>365</v>
      </c>
      <c r="F31" s="191">
        <v>58300</v>
      </c>
      <c r="G31" s="191">
        <v>58300</v>
      </c>
      <c r="H31" s="143" t="str">
        <f t="shared" si="0"/>
        <v>01038030060000122</v>
      </c>
    </row>
    <row r="32" spans="1:8" ht="63.75" x14ac:dyDescent="0.2">
      <c r="A32" s="193" t="s">
        <v>1213</v>
      </c>
      <c r="B32" s="189" t="s">
        <v>185</v>
      </c>
      <c r="C32" s="189" t="s">
        <v>366</v>
      </c>
      <c r="D32" s="189" t="s">
        <v>697</v>
      </c>
      <c r="E32" s="189" t="s">
        <v>537</v>
      </c>
      <c r="F32" s="191">
        <v>264000</v>
      </c>
      <c r="G32" s="191">
        <v>264000</v>
      </c>
      <c r="H32" s="143" t="str">
        <f t="shared" si="0"/>
        <v>01038030060000123</v>
      </c>
    </row>
    <row r="33" spans="1:8" ht="63.75" x14ac:dyDescent="0.2">
      <c r="A33" s="193" t="s">
        <v>1115</v>
      </c>
      <c r="B33" s="189" t="s">
        <v>185</v>
      </c>
      <c r="C33" s="189" t="s">
        <v>366</v>
      </c>
      <c r="D33" s="189" t="s">
        <v>697</v>
      </c>
      <c r="E33" s="189" t="s">
        <v>1116</v>
      </c>
      <c r="F33" s="191">
        <v>763955</v>
      </c>
      <c r="G33" s="191">
        <v>763955</v>
      </c>
      <c r="H33" s="143" t="str">
        <f t="shared" si="0"/>
        <v>01038030060000129</v>
      </c>
    </row>
    <row r="34" spans="1:8" ht="76.5" x14ac:dyDescent="0.2">
      <c r="A34" s="193" t="s">
        <v>1214</v>
      </c>
      <c r="B34" s="189" t="s">
        <v>185</v>
      </c>
      <c r="C34" s="189" t="s">
        <v>366</v>
      </c>
      <c r="D34" s="189" t="s">
        <v>698</v>
      </c>
      <c r="E34" s="189" t="s">
        <v>1314</v>
      </c>
      <c r="F34" s="191">
        <v>52000</v>
      </c>
      <c r="G34" s="191">
        <v>52000</v>
      </c>
      <c r="H34" s="143" t="str">
        <f t="shared" si="0"/>
        <v>01038030067000</v>
      </c>
    </row>
    <row r="35" spans="1:8" ht="76.5" x14ac:dyDescent="0.2">
      <c r="A35" s="193" t="s">
        <v>1501</v>
      </c>
      <c r="B35" s="189" t="s">
        <v>185</v>
      </c>
      <c r="C35" s="189" t="s">
        <v>366</v>
      </c>
      <c r="D35" s="189" t="s">
        <v>698</v>
      </c>
      <c r="E35" s="189" t="s">
        <v>290</v>
      </c>
      <c r="F35" s="191">
        <v>52000</v>
      </c>
      <c r="G35" s="191">
        <v>52000</v>
      </c>
      <c r="H35" s="143" t="str">
        <f t="shared" si="0"/>
        <v>01038030067000100</v>
      </c>
    </row>
    <row r="36" spans="1:8" ht="38.25" x14ac:dyDescent="0.2">
      <c r="A36" s="193" t="s">
        <v>1345</v>
      </c>
      <c r="B36" s="189" t="s">
        <v>185</v>
      </c>
      <c r="C36" s="189" t="s">
        <v>366</v>
      </c>
      <c r="D36" s="189" t="s">
        <v>698</v>
      </c>
      <c r="E36" s="189" t="s">
        <v>30</v>
      </c>
      <c r="F36" s="191">
        <v>52000</v>
      </c>
      <c r="G36" s="191">
        <v>52000</v>
      </c>
      <c r="H36" s="143" t="str">
        <f t="shared" si="0"/>
        <v>01038030067000120</v>
      </c>
    </row>
    <row r="37" spans="1:8" ht="51" x14ac:dyDescent="0.2">
      <c r="A37" s="193" t="s">
        <v>364</v>
      </c>
      <c r="B37" s="189" t="s">
        <v>185</v>
      </c>
      <c r="C37" s="189" t="s">
        <v>366</v>
      </c>
      <c r="D37" s="189" t="s">
        <v>698</v>
      </c>
      <c r="E37" s="189" t="s">
        <v>365</v>
      </c>
      <c r="F37" s="191">
        <v>52000</v>
      </c>
      <c r="G37" s="191">
        <v>52000</v>
      </c>
      <c r="H37" s="143" t="str">
        <f t="shared" si="0"/>
        <v>01038030067000122</v>
      </c>
    </row>
    <row r="38" spans="1:8" ht="25.5" x14ac:dyDescent="0.2">
      <c r="A38" s="193" t="s">
        <v>187</v>
      </c>
      <c r="B38" s="189" t="s">
        <v>186</v>
      </c>
      <c r="C38" s="189" t="s">
        <v>1314</v>
      </c>
      <c r="D38" s="189" t="s">
        <v>1314</v>
      </c>
      <c r="E38" s="189" t="s">
        <v>1314</v>
      </c>
      <c r="F38" s="191">
        <v>2195181</v>
      </c>
      <c r="G38" s="191">
        <v>2195181</v>
      </c>
      <c r="H38" s="143" t="str">
        <f t="shared" si="0"/>
        <v/>
      </c>
    </row>
    <row r="39" spans="1:8" x14ac:dyDescent="0.2">
      <c r="A39" s="193" t="s">
        <v>250</v>
      </c>
      <c r="B39" s="189" t="s">
        <v>186</v>
      </c>
      <c r="C39" s="189" t="s">
        <v>1212</v>
      </c>
      <c r="D39" s="189" t="s">
        <v>1314</v>
      </c>
      <c r="E39" s="189" t="s">
        <v>1314</v>
      </c>
      <c r="F39" s="191">
        <v>2195181</v>
      </c>
      <c r="G39" s="191">
        <v>2195181</v>
      </c>
      <c r="H39" s="143" t="str">
        <f t="shared" si="0"/>
        <v>0100</v>
      </c>
    </row>
    <row r="40" spans="1:8" ht="51" x14ac:dyDescent="0.2">
      <c r="A40" s="193" t="s">
        <v>232</v>
      </c>
      <c r="B40" s="189" t="s">
        <v>186</v>
      </c>
      <c r="C40" s="189" t="s">
        <v>370</v>
      </c>
      <c r="D40" s="189" t="s">
        <v>1314</v>
      </c>
      <c r="E40" s="189" t="s">
        <v>1314</v>
      </c>
      <c r="F40" s="191">
        <v>2195181</v>
      </c>
      <c r="G40" s="191">
        <v>2195181</v>
      </c>
      <c r="H40" s="143" t="str">
        <f t="shared" si="0"/>
        <v>0106</v>
      </c>
    </row>
    <row r="41" spans="1:8" ht="38.25" x14ac:dyDescent="0.2">
      <c r="A41" s="193" t="s">
        <v>646</v>
      </c>
      <c r="B41" s="189" t="s">
        <v>186</v>
      </c>
      <c r="C41" s="189" t="s">
        <v>370</v>
      </c>
      <c r="D41" s="189" t="s">
        <v>1067</v>
      </c>
      <c r="E41" s="189" t="s">
        <v>1314</v>
      </c>
      <c r="F41" s="191">
        <v>2195181</v>
      </c>
      <c r="G41" s="191">
        <v>2195181</v>
      </c>
      <c r="H41" s="143" t="str">
        <f t="shared" si="0"/>
        <v>01068000000000</v>
      </c>
    </row>
    <row r="42" spans="1:8" ht="51" x14ac:dyDescent="0.2">
      <c r="A42" s="193" t="s">
        <v>647</v>
      </c>
      <c r="B42" s="189" t="s">
        <v>186</v>
      </c>
      <c r="C42" s="189" t="s">
        <v>370</v>
      </c>
      <c r="D42" s="189" t="s">
        <v>1069</v>
      </c>
      <c r="E42" s="189" t="s">
        <v>1314</v>
      </c>
      <c r="F42" s="191">
        <v>941226</v>
      </c>
      <c r="G42" s="191">
        <v>941226</v>
      </c>
      <c r="H42" s="143" t="str">
        <f t="shared" si="0"/>
        <v>01068020000000</v>
      </c>
    </row>
    <row r="43" spans="1:8" ht="51" x14ac:dyDescent="0.2">
      <c r="A43" s="193" t="s">
        <v>367</v>
      </c>
      <c r="B43" s="189" t="s">
        <v>186</v>
      </c>
      <c r="C43" s="189" t="s">
        <v>370</v>
      </c>
      <c r="D43" s="189" t="s">
        <v>695</v>
      </c>
      <c r="E43" s="189" t="s">
        <v>1314</v>
      </c>
      <c r="F43" s="191">
        <v>901226</v>
      </c>
      <c r="G43" s="191">
        <v>901226</v>
      </c>
      <c r="H43" s="143" t="str">
        <f t="shared" si="0"/>
        <v>01068020060000</v>
      </c>
    </row>
    <row r="44" spans="1:8" ht="76.5" x14ac:dyDescent="0.2">
      <c r="A44" s="193" t="s">
        <v>1501</v>
      </c>
      <c r="B44" s="189" t="s">
        <v>186</v>
      </c>
      <c r="C44" s="189" t="s">
        <v>370</v>
      </c>
      <c r="D44" s="189" t="s">
        <v>695</v>
      </c>
      <c r="E44" s="189" t="s">
        <v>290</v>
      </c>
      <c r="F44" s="191">
        <v>853676</v>
      </c>
      <c r="G44" s="191">
        <v>853676</v>
      </c>
      <c r="H44" s="143" t="str">
        <f t="shared" si="0"/>
        <v>01068020060000100</v>
      </c>
    </row>
    <row r="45" spans="1:8" ht="38.25" x14ac:dyDescent="0.2">
      <c r="A45" s="193" t="s">
        <v>1345</v>
      </c>
      <c r="B45" s="189" t="s">
        <v>186</v>
      </c>
      <c r="C45" s="189" t="s">
        <v>370</v>
      </c>
      <c r="D45" s="189" t="s">
        <v>695</v>
      </c>
      <c r="E45" s="189" t="s">
        <v>30</v>
      </c>
      <c r="F45" s="191">
        <v>853676</v>
      </c>
      <c r="G45" s="191">
        <v>853676</v>
      </c>
      <c r="H45" s="143" t="str">
        <f t="shared" si="0"/>
        <v>01068020060000120</v>
      </c>
    </row>
    <row r="46" spans="1:8" ht="25.5" x14ac:dyDescent="0.2">
      <c r="A46" s="193" t="s">
        <v>1010</v>
      </c>
      <c r="B46" s="189" t="s">
        <v>186</v>
      </c>
      <c r="C46" s="189" t="s">
        <v>370</v>
      </c>
      <c r="D46" s="189" t="s">
        <v>695</v>
      </c>
      <c r="E46" s="189" t="s">
        <v>363</v>
      </c>
      <c r="F46" s="191">
        <v>643223</v>
      </c>
      <c r="G46" s="191">
        <v>643223</v>
      </c>
      <c r="H46" s="143" t="str">
        <f t="shared" si="0"/>
        <v>01068020060000121</v>
      </c>
    </row>
    <row r="47" spans="1:8" ht="51" x14ac:dyDescent="0.2">
      <c r="A47" s="193" t="s">
        <v>364</v>
      </c>
      <c r="B47" s="189" t="s">
        <v>186</v>
      </c>
      <c r="C47" s="189" t="s">
        <v>370</v>
      </c>
      <c r="D47" s="189" t="s">
        <v>695</v>
      </c>
      <c r="E47" s="189" t="s">
        <v>365</v>
      </c>
      <c r="F47" s="191">
        <v>16200</v>
      </c>
      <c r="G47" s="191">
        <v>16200</v>
      </c>
      <c r="H47" s="143" t="str">
        <f t="shared" si="0"/>
        <v>01068020060000122</v>
      </c>
    </row>
    <row r="48" spans="1:8" ht="63.75" x14ac:dyDescent="0.2">
      <c r="A48" s="193" t="s">
        <v>1115</v>
      </c>
      <c r="B48" s="189" t="s">
        <v>186</v>
      </c>
      <c r="C48" s="189" t="s">
        <v>370</v>
      </c>
      <c r="D48" s="189" t="s">
        <v>695</v>
      </c>
      <c r="E48" s="189" t="s">
        <v>1116</v>
      </c>
      <c r="F48" s="191">
        <v>194253</v>
      </c>
      <c r="G48" s="191">
        <v>194253</v>
      </c>
      <c r="H48" s="143" t="str">
        <f t="shared" si="0"/>
        <v>01068020060000129</v>
      </c>
    </row>
    <row r="49" spans="1:8" ht="38.25" x14ac:dyDescent="0.2">
      <c r="A49" s="193" t="s">
        <v>1502</v>
      </c>
      <c r="B49" s="189" t="s">
        <v>186</v>
      </c>
      <c r="C49" s="189" t="s">
        <v>370</v>
      </c>
      <c r="D49" s="189" t="s">
        <v>695</v>
      </c>
      <c r="E49" s="189" t="s">
        <v>1503</v>
      </c>
      <c r="F49" s="191">
        <v>47550</v>
      </c>
      <c r="G49" s="191">
        <v>47550</v>
      </c>
      <c r="H49" s="143" t="str">
        <f t="shared" si="0"/>
        <v>01068020060000200</v>
      </c>
    </row>
    <row r="50" spans="1:8" ht="38.25" x14ac:dyDescent="0.2">
      <c r="A50" s="193" t="s">
        <v>1338</v>
      </c>
      <c r="B50" s="189" t="s">
        <v>186</v>
      </c>
      <c r="C50" s="189" t="s">
        <v>370</v>
      </c>
      <c r="D50" s="189" t="s">
        <v>695</v>
      </c>
      <c r="E50" s="189" t="s">
        <v>1339</v>
      </c>
      <c r="F50" s="191">
        <v>47550</v>
      </c>
      <c r="G50" s="191">
        <v>47550</v>
      </c>
      <c r="H50" s="143" t="str">
        <f t="shared" si="0"/>
        <v>01068020060000240</v>
      </c>
    </row>
    <row r="51" spans="1:8" x14ac:dyDescent="0.2">
      <c r="A51" s="193" t="s">
        <v>1379</v>
      </c>
      <c r="B51" s="189" t="s">
        <v>186</v>
      </c>
      <c r="C51" s="189" t="s">
        <v>370</v>
      </c>
      <c r="D51" s="189" t="s">
        <v>695</v>
      </c>
      <c r="E51" s="189" t="s">
        <v>368</v>
      </c>
      <c r="F51" s="191">
        <v>47550</v>
      </c>
      <c r="G51" s="191">
        <v>47550</v>
      </c>
      <c r="H51" s="143" t="str">
        <f t="shared" si="0"/>
        <v>01068020060000244</v>
      </c>
    </row>
    <row r="52" spans="1:8" ht="76.5" x14ac:dyDescent="0.2">
      <c r="A52" s="193" t="s">
        <v>605</v>
      </c>
      <c r="B52" s="189" t="s">
        <v>186</v>
      </c>
      <c r="C52" s="189" t="s">
        <v>370</v>
      </c>
      <c r="D52" s="189" t="s">
        <v>696</v>
      </c>
      <c r="E52" s="189" t="s">
        <v>1314</v>
      </c>
      <c r="F52" s="191">
        <v>40000</v>
      </c>
      <c r="G52" s="191">
        <v>40000</v>
      </c>
      <c r="H52" s="143" t="str">
        <f t="shared" si="0"/>
        <v>01068020067000</v>
      </c>
    </row>
    <row r="53" spans="1:8" ht="76.5" x14ac:dyDescent="0.2">
      <c r="A53" s="193" t="s">
        <v>1501</v>
      </c>
      <c r="B53" s="189" t="s">
        <v>186</v>
      </c>
      <c r="C53" s="189" t="s">
        <v>370</v>
      </c>
      <c r="D53" s="189" t="s">
        <v>696</v>
      </c>
      <c r="E53" s="189" t="s">
        <v>290</v>
      </c>
      <c r="F53" s="191">
        <v>40000</v>
      </c>
      <c r="G53" s="191">
        <v>40000</v>
      </c>
      <c r="H53" s="143" t="str">
        <f t="shared" si="0"/>
        <v>01068020067000100</v>
      </c>
    </row>
    <row r="54" spans="1:8" ht="38.25" x14ac:dyDescent="0.2">
      <c r="A54" s="193" t="s">
        <v>1345</v>
      </c>
      <c r="B54" s="189" t="s">
        <v>186</v>
      </c>
      <c r="C54" s="189" t="s">
        <v>370</v>
      </c>
      <c r="D54" s="189" t="s">
        <v>696</v>
      </c>
      <c r="E54" s="189" t="s">
        <v>30</v>
      </c>
      <c r="F54" s="191">
        <v>40000</v>
      </c>
      <c r="G54" s="191">
        <v>40000</v>
      </c>
      <c r="H54" s="143" t="str">
        <f t="shared" si="0"/>
        <v>01068020067000120</v>
      </c>
    </row>
    <row r="55" spans="1:8" ht="51" x14ac:dyDescent="0.2">
      <c r="A55" s="193" t="s">
        <v>364</v>
      </c>
      <c r="B55" s="189" t="s">
        <v>186</v>
      </c>
      <c r="C55" s="189" t="s">
        <v>370</v>
      </c>
      <c r="D55" s="189" t="s">
        <v>696</v>
      </c>
      <c r="E55" s="189" t="s">
        <v>365</v>
      </c>
      <c r="F55" s="191">
        <v>40000</v>
      </c>
      <c r="G55" s="191">
        <v>40000</v>
      </c>
      <c r="H55" s="143" t="str">
        <f t="shared" si="0"/>
        <v>01068020067000122</v>
      </c>
    </row>
    <row r="56" spans="1:8" ht="76.5" x14ac:dyDescent="0.2">
      <c r="A56" s="193" t="s">
        <v>371</v>
      </c>
      <c r="B56" s="189" t="s">
        <v>186</v>
      </c>
      <c r="C56" s="189" t="s">
        <v>370</v>
      </c>
      <c r="D56" s="189" t="s">
        <v>1071</v>
      </c>
      <c r="E56" s="189" t="s">
        <v>1314</v>
      </c>
      <c r="F56" s="191">
        <v>1253955</v>
      </c>
      <c r="G56" s="191">
        <v>1253955</v>
      </c>
      <c r="H56" s="143" t="str">
        <f t="shared" si="0"/>
        <v>01068040000000</v>
      </c>
    </row>
    <row r="57" spans="1:8" ht="76.5" x14ac:dyDescent="0.2">
      <c r="A57" s="193" t="s">
        <v>371</v>
      </c>
      <c r="B57" s="189" t="s">
        <v>186</v>
      </c>
      <c r="C57" s="189" t="s">
        <v>370</v>
      </c>
      <c r="D57" s="189" t="s">
        <v>699</v>
      </c>
      <c r="E57" s="189" t="s">
        <v>1314</v>
      </c>
      <c r="F57" s="191">
        <v>1213955</v>
      </c>
      <c r="G57" s="191">
        <v>1213955</v>
      </c>
      <c r="H57" s="143" t="str">
        <f t="shared" si="0"/>
        <v>01068040060000</v>
      </c>
    </row>
    <row r="58" spans="1:8" ht="76.5" x14ac:dyDescent="0.2">
      <c r="A58" s="193" t="s">
        <v>1501</v>
      </c>
      <c r="B58" s="189" t="s">
        <v>186</v>
      </c>
      <c r="C58" s="189" t="s">
        <v>370</v>
      </c>
      <c r="D58" s="189" t="s">
        <v>699</v>
      </c>
      <c r="E58" s="189" t="s">
        <v>290</v>
      </c>
      <c r="F58" s="191">
        <v>1213955</v>
      </c>
      <c r="G58" s="191">
        <v>1213955</v>
      </c>
      <c r="H58" s="143" t="str">
        <f t="shared" si="0"/>
        <v>01068040060000100</v>
      </c>
    </row>
    <row r="59" spans="1:8" ht="38.25" x14ac:dyDescent="0.2">
      <c r="A59" s="200" t="s">
        <v>1345</v>
      </c>
      <c r="B59" s="189" t="s">
        <v>186</v>
      </c>
      <c r="C59" s="189" t="s">
        <v>370</v>
      </c>
      <c r="D59" s="189" t="s">
        <v>699</v>
      </c>
      <c r="E59" s="189" t="s">
        <v>30</v>
      </c>
      <c r="F59" s="191">
        <v>1213955</v>
      </c>
      <c r="G59" s="191">
        <v>1213955</v>
      </c>
      <c r="H59" s="143" t="str">
        <f t="shared" si="0"/>
        <v>01068040060000120</v>
      </c>
    </row>
    <row r="60" spans="1:8" ht="25.5" x14ac:dyDescent="0.2">
      <c r="A60" s="193" t="s">
        <v>1010</v>
      </c>
      <c r="B60" s="189" t="s">
        <v>186</v>
      </c>
      <c r="C60" s="189" t="s">
        <v>370</v>
      </c>
      <c r="D60" s="189" t="s">
        <v>699</v>
      </c>
      <c r="E60" s="189" t="s">
        <v>363</v>
      </c>
      <c r="F60" s="191">
        <v>919935</v>
      </c>
      <c r="G60" s="191">
        <v>919935</v>
      </c>
      <c r="H60" s="143" t="str">
        <f t="shared" si="0"/>
        <v>01068040060000121</v>
      </c>
    </row>
    <row r="61" spans="1:8" ht="51" x14ac:dyDescent="0.2">
      <c r="A61" s="193" t="s">
        <v>364</v>
      </c>
      <c r="B61" s="189" t="s">
        <v>186</v>
      </c>
      <c r="C61" s="189" t="s">
        <v>370</v>
      </c>
      <c r="D61" s="189" t="s">
        <v>699</v>
      </c>
      <c r="E61" s="189" t="s">
        <v>365</v>
      </c>
      <c r="F61" s="191">
        <v>16200</v>
      </c>
      <c r="G61" s="191">
        <v>16200</v>
      </c>
      <c r="H61" s="143" t="str">
        <f t="shared" si="0"/>
        <v>01068040060000122</v>
      </c>
    </row>
    <row r="62" spans="1:8" ht="63.75" x14ac:dyDescent="0.2">
      <c r="A62" s="193" t="s">
        <v>1115</v>
      </c>
      <c r="B62" s="189" t="s">
        <v>186</v>
      </c>
      <c r="C62" s="189" t="s">
        <v>370</v>
      </c>
      <c r="D62" s="189" t="s">
        <v>699</v>
      </c>
      <c r="E62" s="189" t="s">
        <v>1116</v>
      </c>
      <c r="F62" s="191">
        <v>277820</v>
      </c>
      <c r="G62" s="191">
        <v>277820</v>
      </c>
      <c r="H62" s="143" t="str">
        <f t="shared" si="0"/>
        <v>01068040060000129</v>
      </c>
    </row>
    <row r="63" spans="1:8" ht="89.25" x14ac:dyDescent="0.2">
      <c r="A63" s="193" t="s">
        <v>606</v>
      </c>
      <c r="B63" s="189" t="s">
        <v>186</v>
      </c>
      <c r="C63" s="189" t="s">
        <v>370</v>
      </c>
      <c r="D63" s="189" t="s">
        <v>700</v>
      </c>
      <c r="E63" s="189" t="s">
        <v>1314</v>
      </c>
      <c r="F63" s="191">
        <v>40000</v>
      </c>
      <c r="G63" s="191">
        <v>40000</v>
      </c>
      <c r="H63" s="143" t="str">
        <f t="shared" si="0"/>
        <v>01068040067000</v>
      </c>
    </row>
    <row r="64" spans="1:8" ht="76.5" x14ac:dyDescent="0.2">
      <c r="A64" s="193" t="s">
        <v>1501</v>
      </c>
      <c r="B64" s="189" t="s">
        <v>186</v>
      </c>
      <c r="C64" s="189" t="s">
        <v>370</v>
      </c>
      <c r="D64" s="189" t="s">
        <v>700</v>
      </c>
      <c r="E64" s="189" t="s">
        <v>290</v>
      </c>
      <c r="F64" s="191">
        <v>40000</v>
      </c>
      <c r="G64" s="191">
        <v>40000</v>
      </c>
      <c r="H64" s="143" t="str">
        <f t="shared" si="0"/>
        <v>01068040067000100</v>
      </c>
    </row>
    <row r="65" spans="1:8" ht="38.25" x14ac:dyDescent="0.2">
      <c r="A65" s="193" t="s">
        <v>1345</v>
      </c>
      <c r="B65" s="189" t="s">
        <v>186</v>
      </c>
      <c r="C65" s="189" t="s">
        <v>370</v>
      </c>
      <c r="D65" s="189" t="s">
        <v>700</v>
      </c>
      <c r="E65" s="189" t="s">
        <v>30</v>
      </c>
      <c r="F65" s="191">
        <v>40000</v>
      </c>
      <c r="G65" s="191">
        <v>40000</v>
      </c>
      <c r="H65" s="143" t="str">
        <f t="shared" si="0"/>
        <v>01068040067000120</v>
      </c>
    </row>
    <row r="66" spans="1:8" ht="51" x14ac:dyDescent="0.2">
      <c r="A66" s="193" t="s">
        <v>364</v>
      </c>
      <c r="B66" s="189" t="s">
        <v>186</v>
      </c>
      <c r="C66" s="189" t="s">
        <v>370</v>
      </c>
      <c r="D66" s="189" t="s">
        <v>700</v>
      </c>
      <c r="E66" s="189" t="s">
        <v>365</v>
      </c>
      <c r="F66" s="191">
        <v>40000</v>
      </c>
      <c r="G66" s="191">
        <v>40000</v>
      </c>
      <c r="H66" s="143" t="str">
        <f t="shared" si="0"/>
        <v>01068040067000122</v>
      </c>
    </row>
    <row r="67" spans="1:8" x14ac:dyDescent="0.2">
      <c r="A67" s="193" t="s">
        <v>188</v>
      </c>
      <c r="B67" s="189" t="s">
        <v>5</v>
      </c>
      <c r="C67" s="189" t="s">
        <v>1314</v>
      </c>
      <c r="D67" s="189" t="s">
        <v>1314</v>
      </c>
      <c r="E67" s="189" t="s">
        <v>1314</v>
      </c>
      <c r="F67" s="191">
        <v>332598906</v>
      </c>
      <c r="G67" s="191">
        <v>332433006</v>
      </c>
      <c r="H67" s="143" t="str">
        <f t="shared" si="0"/>
        <v/>
      </c>
    </row>
    <row r="68" spans="1:8" x14ac:dyDescent="0.2">
      <c r="A68" s="193" t="s">
        <v>250</v>
      </c>
      <c r="B68" s="189" t="s">
        <v>5</v>
      </c>
      <c r="C68" s="189" t="s">
        <v>1212</v>
      </c>
      <c r="D68" s="189" t="s">
        <v>1314</v>
      </c>
      <c r="E68" s="189" t="s">
        <v>1314</v>
      </c>
      <c r="F68" s="191">
        <v>67083616</v>
      </c>
      <c r="G68" s="191">
        <v>66910716</v>
      </c>
      <c r="H68" s="143" t="str">
        <f t="shared" si="0"/>
        <v>0100</v>
      </c>
    </row>
    <row r="69" spans="1:8" ht="51" x14ac:dyDescent="0.2">
      <c r="A69" s="193" t="s">
        <v>1489</v>
      </c>
      <c r="B69" s="189" t="s">
        <v>5</v>
      </c>
      <c r="C69" s="189" t="s">
        <v>361</v>
      </c>
      <c r="D69" s="189" t="s">
        <v>1314</v>
      </c>
      <c r="E69" s="189" t="s">
        <v>1314</v>
      </c>
      <c r="F69" s="191">
        <v>2569341</v>
      </c>
      <c r="G69" s="191">
        <v>2569341</v>
      </c>
      <c r="H69" s="143" t="str">
        <f t="shared" si="0"/>
        <v>0102</v>
      </c>
    </row>
    <row r="70" spans="1:8" ht="38.25" x14ac:dyDescent="0.2">
      <c r="A70" s="193" t="s">
        <v>646</v>
      </c>
      <c r="B70" s="189" t="s">
        <v>5</v>
      </c>
      <c r="C70" s="189" t="s">
        <v>361</v>
      </c>
      <c r="D70" s="189" t="s">
        <v>1067</v>
      </c>
      <c r="E70" s="189" t="s">
        <v>1314</v>
      </c>
      <c r="F70" s="191">
        <v>2569341</v>
      </c>
      <c r="G70" s="191">
        <v>2569341</v>
      </c>
      <c r="H70" s="143" t="str">
        <f t="shared" si="0"/>
        <v>01028000000000</v>
      </c>
    </row>
    <row r="71" spans="1:8" ht="63.75" x14ac:dyDescent="0.2">
      <c r="A71" s="193" t="s">
        <v>362</v>
      </c>
      <c r="B71" s="189" t="s">
        <v>5</v>
      </c>
      <c r="C71" s="189" t="s">
        <v>361</v>
      </c>
      <c r="D71" s="189" t="s">
        <v>1068</v>
      </c>
      <c r="E71" s="189" t="s">
        <v>1314</v>
      </c>
      <c r="F71" s="191">
        <v>2569341</v>
      </c>
      <c r="G71" s="191">
        <v>2569341</v>
      </c>
      <c r="H71" s="143" t="str">
        <f t="shared" si="0"/>
        <v>01028010000000</v>
      </c>
    </row>
    <row r="72" spans="1:8" ht="63.75" x14ac:dyDescent="0.2">
      <c r="A72" s="193" t="s">
        <v>362</v>
      </c>
      <c r="B72" s="189" t="s">
        <v>5</v>
      </c>
      <c r="C72" s="189" t="s">
        <v>361</v>
      </c>
      <c r="D72" s="189" t="s">
        <v>701</v>
      </c>
      <c r="E72" s="189" t="s">
        <v>1314</v>
      </c>
      <c r="F72" s="191">
        <v>2469341</v>
      </c>
      <c r="G72" s="191">
        <v>2469341</v>
      </c>
      <c r="H72" s="143" t="str">
        <f t="shared" si="0"/>
        <v>01028010060000</v>
      </c>
    </row>
    <row r="73" spans="1:8" ht="76.5" x14ac:dyDescent="0.2">
      <c r="A73" s="193" t="s">
        <v>1501</v>
      </c>
      <c r="B73" s="189" t="s">
        <v>5</v>
      </c>
      <c r="C73" s="189" t="s">
        <v>361</v>
      </c>
      <c r="D73" s="189" t="s">
        <v>701</v>
      </c>
      <c r="E73" s="189" t="s">
        <v>290</v>
      </c>
      <c r="F73" s="191">
        <v>2469341</v>
      </c>
      <c r="G73" s="191">
        <v>2469341</v>
      </c>
      <c r="H73" s="143" t="str">
        <f t="shared" si="0"/>
        <v>01028010060000100</v>
      </c>
    </row>
    <row r="74" spans="1:8" ht="38.25" x14ac:dyDescent="0.2">
      <c r="A74" s="193" t="s">
        <v>1345</v>
      </c>
      <c r="B74" s="189" t="s">
        <v>5</v>
      </c>
      <c r="C74" s="189" t="s">
        <v>361</v>
      </c>
      <c r="D74" s="189" t="s">
        <v>701</v>
      </c>
      <c r="E74" s="189" t="s">
        <v>30</v>
      </c>
      <c r="F74" s="191">
        <v>2469341</v>
      </c>
      <c r="G74" s="191">
        <v>2469341</v>
      </c>
      <c r="H74" s="143" t="str">
        <f t="shared" ref="H74:H131" si="1">CONCATENATE(C74,,D74,E74)</f>
        <v>01028010060000120</v>
      </c>
    </row>
    <row r="75" spans="1:8" ht="25.5" x14ac:dyDescent="0.2">
      <c r="A75" s="193" t="s">
        <v>1010</v>
      </c>
      <c r="B75" s="189" t="s">
        <v>5</v>
      </c>
      <c r="C75" s="189" t="s">
        <v>361</v>
      </c>
      <c r="D75" s="189" t="s">
        <v>701</v>
      </c>
      <c r="E75" s="189" t="s">
        <v>363</v>
      </c>
      <c r="F75" s="191">
        <v>1880185</v>
      </c>
      <c r="G75" s="191">
        <v>1880185</v>
      </c>
      <c r="H75" s="143" t="str">
        <f t="shared" si="1"/>
        <v>01028010060000121</v>
      </c>
    </row>
    <row r="76" spans="1:8" ht="51" x14ac:dyDescent="0.2">
      <c r="A76" s="193" t="s">
        <v>364</v>
      </c>
      <c r="B76" s="189" t="s">
        <v>5</v>
      </c>
      <c r="C76" s="189" t="s">
        <v>361</v>
      </c>
      <c r="D76" s="189" t="s">
        <v>701</v>
      </c>
      <c r="E76" s="189" t="s">
        <v>365</v>
      </c>
      <c r="F76" s="191">
        <v>120000</v>
      </c>
      <c r="G76" s="191">
        <v>120000</v>
      </c>
      <c r="H76" s="143" t="str">
        <f t="shared" si="1"/>
        <v>01028010060000122</v>
      </c>
    </row>
    <row r="77" spans="1:8" ht="63.75" x14ac:dyDescent="0.2">
      <c r="A77" s="193" t="s">
        <v>1115</v>
      </c>
      <c r="B77" s="189" t="s">
        <v>5</v>
      </c>
      <c r="C77" s="189" t="s">
        <v>361</v>
      </c>
      <c r="D77" s="189" t="s">
        <v>701</v>
      </c>
      <c r="E77" s="189" t="s">
        <v>1116</v>
      </c>
      <c r="F77" s="191">
        <v>469156</v>
      </c>
      <c r="G77" s="191">
        <v>469156</v>
      </c>
      <c r="H77" s="143" t="str">
        <f t="shared" si="1"/>
        <v>01028010060000129</v>
      </c>
    </row>
    <row r="78" spans="1:8" ht="76.5" x14ac:dyDescent="0.2">
      <c r="A78" s="193" t="s">
        <v>2022</v>
      </c>
      <c r="B78" s="189" t="s">
        <v>5</v>
      </c>
      <c r="C78" s="189" t="s">
        <v>361</v>
      </c>
      <c r="D78" s="189" t="s">
        <v>2023</v>
      </c>
      <c r="E78" s="189" t="s">
        <v>1314</v>
      </c>
      <c r="F78" s="191">
        <v>100000</v>
      </c>
      <c r="G78" s="191">
        <v>100000</v>
      </c>
      <c r="H78" s="143" t="str">
        <f t="shared" si="1"/>
        <v>01028010067000</v>
      </c>
    </row>
    <row r="79" spans="1:8" ht="76.5" x14ac:dyDescent="0.2">
      <c r="A79" s="193" t="s">
        <v>1501</v>
      </c>
      <c r="B79" s="189" t="s">
        <v>5</v>
      </c>
      <c r="C79" s="189" t="s">
        <v>361</v>
      </c>
      <c r="D79" s="189" t="s">
        <v>2023</v>
      </c>
      <c r="E79" s="189" t="s">
        <v>290</v>
      </c>
      <c r="F79" s="191">
        <v>100000</v>
      </c>
      <c r="G79" s="191">
        <v>100000</v>
      </c>
      <c r="H79" s="143" t="str">
        <f t="shared" si="1"/>
        <v>01028010067000100</v>
      </c>
    </row>
    <row r="80" spans="1:8" ht="38.25" x14ac:dyDescent="0.2">
      <c r="A80" s="193" t="s">
        <v>1345</v>
      </c>
      <c r="B80" s="189" t="s">
        <v>5</v>
      </c>
      <c r="C80" s="189" t="s">
        <v>361</v>
      </c>
      <c r="D80" s="189" t="s">
        <v>2023</v>
      </c>
      <c r="E80" s="189" t="s">
        <v>30</v>
      </c>
      <c r="F80" s="191">
        <v>100000</v>
      </c>
      <c r="G80" s="191">
        <v>100000</v>
      </c>
      <c r="H80" s="143" t="str">
        <f t="shared" si="1"/>
        <v>01028010067000120</v>
      </c>
    </row>
    <row r="81" spans="1:8" ht="51" x14ac:dyDescent="0.2">
      <c r="A81" s="193" t="s">
        <v>364</v>
      </c>
      <c r="B81" s="189" t="s">
        <v>5</v>
      </c>
      <c r="C81" s="189" t="s">
        <v>361</v>
      </c>
      <c r="D81" s="189" t="s">
        <v>2023</v>
      </c>
      <c r="E81" s="189" t="s">
        <v>365</v>
      </c>
      <c r="F81" s="191">
        <v>100000</v>
      </c>
      <c r="G81" s="191">
        <v>100000</v>
      </c>
      <c r="H81" s="143" t="str">
        <f t="shared" si="1"/>
        <v>01028010067000122</v>
      </c>
    </row>
    <row r="82" spans="1:8" ht="63.75" x14ac:dyDescent="0.2">
      <c r="A82" s="193" t="s">
        <v>252</v>
      </c>
      <c r="B82" s="189" t="s">
        <v>5</v>
      </c>
      <c r="C82" s="189" t="s">
        <v>372</v>
      </c>
      <c r="D82" s="189" t="s">
        <v>1314</v>
      </c>
      <c r="E82" s="189" t="s">
        <v>1314</v>
      </c>
      <c r="F82" s="191">
        <v>63896375</v>
      </c>
      <c r="G82" s="191">
        <v>63896375</v>
      </c>
      <c r="H82" s="143" t="str">
        <f t="shared" si="1"/>
        <v>0104</v>
      </c>
    </row>
    <row r="83" spans="1:8" ht="51" x14ac:dyDescent="0.2">
      <c r="A83" s="193" t="s">
        <v>497</v>
      </c>
      <c r="B83" s="189" t="s">
        <v>5</v>
      </c>
      <c r="C83" s="189" t="s">
        <v>372</v>
      </c>
      <c r="D83" s="189" t="s">
        <v>1038</v>
      </c>
      <c r="E83" s="189" t="s">
        <v>1314</v>
      </c>
      <c r="F83" s="191">
        <v>73395</v>
      </c>
      <c r="G83" s="191">
        <v>73395</v>
      </c>
      <c r="H83" s="143" t="str">
        <f t="shared" si="1"/>
        <v>01040400000000</v>
      </c>
    </row>
    <row r="84" spans="1:8" ht="25.5" x14ac:dyDescent="0.2">
      <c r="A84" s="193" t="s">
        <v>500</v>
      </c>
      <c r="B84" s="189" t="s">
        <v>5</v>
      </c>
      <c r="C84" s="189" t="s">
        <v>372</v>
      </c>
      <c r="D84" s="189" t="s">
        <v>1040</v>
      </c>
      <c r="E84" s="189" t="s">
        <v>1314</v>
      </c>
      <c r="F84" s="191">
        <v>73395</v>
      </c>
      <c r="G84" s="191">
        <v>73395</v>
      </c>
      <c r="H84" s="143" t="str">
        <f t="shared" si="1"/>
        <v>01040420000000</v>
      </c>
    </row>
    <row r="85" spans="1:8" ht="114.75" x14ac:dyDescent="0.2">
      <c r="A85" s="193" t="s">
        <v>373</v>
      </c>
      <c r="B85" s="189" t="s">
        <v>5</v>
      </c>
      <c r="C85" s="189" t="s">
        <v>372</v>
      </c>
      <c r="D85" s="189" t="s">
        <v>702</v>
      </c>
      <c r="E85" s="189" t="s">
        <v>1314</v>
      </c>
      <c r="F85" s="191">
        <v>73395</v>
      </c>
      <c r="G85" s="191">
        <v>73395</v>
      </c>
      <c r="H85" s="143" t="str">
        <f t="shared" si="1"/>
        <v>01040420080040</v>
      </c>
    </row>
    <row r="86" spans="1:8" ht="38.25" x14ac:dyDescent="0.2">
      <c r="A86" s="193" t="s">
        <v>1502</v>
      </c>
      <c r="B86" s="189" t="s">
        <v>5</v>
      </c>
      <c r="C86" s="189" t="s">
        <v>372</v>
      </c>
      <c r="D86" s="189" t="s">
        <v>702</v>
      </c>
      <c r="E86" s="189" t="s">
        <v>1503</v>
      </c>
      <c r="F86" s="191">
        <v>73395</v>
      </c>
      <c r="G86" s="191">
        <v>73395</v>
      </c>
      <c r="H86" s="143" t="str">
        <f t="shared" si="1"/>
        <v>01040420080040200</v>
      </c>
    </row>
    <row r="87" spans="1:8" ht="38.25" x14ac:dyDescent="0.2">
      <c r="A87" s="193" t="s">
        <v>1338</v>
      </c>
      <c r="B87" s="189" t="s">
        <v>5</v>
      </c>
      <c r="C87" s="189" t="s">
        <v>372</v>
      </c>
      <c r="D87" s="189" t="s">
        <v>702</v>
      </c>
      <c r="E87" s="189" t="s">
        <v>1339</v>
      </c>
      <c r="F87" s="191">
        <v>73395</v>
      </c>
      <c r="G87" s="191">
        <v>73395</v>
      </c>
      <c r="H87" s="143" t="str">
        <f t="shared" si="1"/>
        <v>01040420080040240</v>
      </c>
    </row>
    <row r="88" spans="1:8" x14ac:dyDescent="0.2">
      <c r="A88" s="193" t="s">
        <v>1379</v>
      </c>
      <c r="B88" s="189" t="s">
        <v>5</v>
      </c>
      <c r="C88" s="189" t="s">
        <v>372</v>
      </c>
      <c r="D88" s="189" t="s">
        <v>702</v>
      </c>
      <c r="E88" s="189" t="s">
        <v>368</v>
      </c>
      <c r="F88" s="191">
        <v>73395</v>
      </c>
      <c r="G88" s="191">
        <v>73395</v>
      </c>
      <c r="H88" s="143" t="str">
        <f t="shared" si="1"/>
        <v>01040420080040244</v>
      </c>
    </row>
    <row r="89" spans="1:8" ht="38.25" x14ac:dyDescent="0.2">
      <c r="A89" s="193" t="s">
        <v>646</v>
      </c>
      <c r="B89" s="189" t="s">
        <v>5</v>
      </c>
      <c r="C89" s="189" t="s">
        <v>372</v>
      </c>
      <c r="D89" s="189" t="s">
        <v>1067</v>
      </c>
      <c r="E89" s="189" t="s">
        <v>1314</v>
      </c>
      <c r="F89" s="191">
        <v>63822980</v>
      </c>
      <c r="G89" s="191">
        <v>63822980</v>
      </c>
      <c r="H89" s="143" t="str">
        <f t="shared" si="1"/>
        <v>01048000000000</v>
      </c>
    </row>
    <row r="90" spans="1:8" ht="51" x14ac:dyDescent="0.2">
      <c r="A90" s="193" t="s">
        <v>647</v>
      </c>
      <c r="B90" s="189" t="s">
        <v>5</v>
      </c>
      <c r="C90" s="189" t="s">
        <v>372</v>
      </c>
      <c r="D90" s="189" t="s">
        <v>1069</v>
      </c>
      <c r="E90" s="189" t="s">
        <v>1314</v>
      </c>
      <c r="F90" s="191">
        <v>63822980</v>
      </c>
      <c r="G90" s="191">
        <v>63822980</v>
      </c>
      <c r="H90" s="143" t="str">
        <f t="shared" si="1"/>
        <v>01048020000000</v>
      </c>
    </row>
    <row r="91" spans="1:8" ht="51" x14ac:dyDescent="0.2">
      <c r="A91" s="193" t="s">
        <v>367</v>
      </c>
      <c r="B91" s="189" t="s">
        <v>5</v>
      </c>
      <c r="C91" s="189" t="s">
        <v>372</v>
      </c>
      <c r="D91" s="189" t="s">
        <v>695</v>
      </c>
      <c r="E91" s="189" t="s">
        <v>1314</v>
      </c>
      <c r="F91" s="191">
        <v>45845331</v>
      </c>
      <c r="G91" s="191">
        <v>45845331</v>
      </c>
      <c r="H91" s="143" t="str">
        <f t="shared" si="1"/>
        <v>01048020060000</v>
      </c>
    </row>
    <row r="92" spans="1:8" ht="76.5" x14ac:dyDescent="0.2">
      <c r="A92" s="193" t="s">
        <v>1501</v>
      </c>
      <c r="B92" s="189" t="s">
        <v>5</v>
      </c>
      <c r="C92" s="189" t="s">
        <v>372</v>
      </c>
      <c r="D92" s="189" t="s">
        <v>695</v>
      </c>
      <c r="E92" s="189" t="s">
        <v>290</v>
      </c>
      <c r="F92" s="191">
        <v>39088932</v>
      </c>
      <c r="G92" s="191">
        <v>39088932</v>
      </c>
      <c r="H92" s="143" t="str">
        <f t="shared" si="1"/>
        <v>01048020060000100</v>
      </c>
    </row>
    <row r="93" spans="1:8" ht="38.25" x14ac:dyDescent="0.2">
      <c r="A93" s="193" t="s">
        <v>1345</v>
      </c>
      <c r="B93" s="189" t="s">
        <v>5</v>
      </c>
      <c r="C93" s="189" t="s">
        <v>372</v>
      </c>
      <c r="D93" s="189" t="s">
        <v>695</v>
      </c>
      <c r="E93" s="189" t="s">
        <v>30</v>
      </c>
      <c r="F93" s="191">
        <v>39088932</v>
      </c>
      <c r="G93" s="191">
        <v>39088932</v>
      </c>
      <c r="H93" s="143" t="str">
        <f t="shared" si="1"/>
        <v>01048020060000120</v>
      </c>
    </row>
    <row r="94" spans="1:8" ht="25.5" x14ac:dyDescent="0.2">
      <c r="A94" s="193" t="s">
        <v>1010</v>
      </c>
      <c r="B94" s="189" t="s">
        <v>5</v>
      </c>
      <c r="C94" s="189" t="s">
        <v>372</v>
      </c>
      <c r="D94" s="189" t="s">
        <v>695</v>
      </c>
      <c r="E94" s="189" t="s">
        <v>363</v>
      </c>
      <c r="F94" s="191">
        <v>29588274</v>
      </c>
      <c r="G94" s="191">
        <v>29588274</v>
      </c>
      <c r="H94" s="143" t="str">
        <f t="shared" si="1"/>
        <v>01048020060000121</v>
      </c>
    </row>
    <row r="95" spans="1:8" ht="51" x14ac:dyDescent="0.2">
      <c r="A95" s="193" t="s">
        <v>364</v>
      </c>
      <c r="B95" s="189" t="s">
        <v>5</v>
      </c>
      <c r="C95" s="189" t="s">
        <v>372</v>
      </c>
      <c r="D95" s="189" t="s">
        <v>695</v>
      </c>
      <c r="E95" s="189" t="s">
        <v>365</v>
      </c>
      <c r="F95" s="191">
        <v>565000</v>
      </c>
      <c r="G95" s="191">
        <v>565000</v>
      </c>
      <c r="H95" s="143" t="str">
        <f t="shared" si="1"/>
        <v>01048020060000122</v>
      </c>
    </row>
    <row r="96" spans="1:8" ht="63.75" x14ac:dyDescent="0.2">
      <c r="A96" s="193" t="s">
        <v>1115</v>
      </c>
      <c r="B96" s="189" t="s">
        <v>5</v>
      </c>
      <c r="C96" s="189" t="s">
        <v>372</v>
      </c>
      <c r="D96" s="189" t="s">
        <v>695</v>
      </c>
      <c r="E96" s="189" t="s">
        <v>1116</v>
      </c>
      <c r="F96" s="191">
        <v>8935658</v>
      </c>
      <c r="G96" s="191">
        <v>8935658</v>
      </c>
      <c r="H96" s="143" t="str">
        <f t="shared" si="1"/>
        <v>01048020060000129</v>
      </c>
    </row>
    <row r="97" spans="1:8" ht="38.25" x14ac:dyDescent="0.2">
      <c r="A97" s="193" t="s">
        <v>1502</v>
      </c>
      <c r="B97" s="189" t="s">
        <v>5</v>
      </c>
      <c r="C97" s="189" t="s">
        <v>372</v>
      </c>
      <c r="D97" s="189" t="s">
        <v>695</v>
      </c>
      <c r="E97" s="189" t="s">
        <v>1503</v>
      </c>
      <c r="F97" s="191">
        <v>6483463</v>
      </c>
      <c r="G97" s="191">
        <v>6483463</v>
      </c>
      <c r="H97" s="143" t="str">
        <f t="shared" si="1"/>
        <v>01048020060000200</v>
      </c>
    </row>
    <row r="98" spans="1:8" ht="38.25" x14ac:dyDescent="0.2">
      <c r="A98" s="193" t="s">
        <v>1338</v>
      </c>
      <c r="B98" s="189" t="s">
        <v>5</v>
      </c>
      <c r="C98" s="189" t="s">
        <v>372</v>
      </c>
      <c r="D98" s="189" t="s">
        <v>695</v>
      </c>
      <c r="E98" s="189" t="s">
        <v>1339</v>
      </c>
      <c r="F98" s="191">
        <v>6483463</v>
      </c>
      <c r="G98" s="191">
        <v>6483463</v>
      </c>
      <c r="H98" s="143" t="str">
        <f t="shared" si="1"/>
        <v>01048020060000240</v>
      </c>
    </row>
    <row r="99" spans="1:8" x14ac:dyDescent="0.2">
      <c r="A99" s="193" t="s">
        <v>1379</v>
      </c>
      <c r="B99" s="189" t="s">
        <v>5</v>
      </c>
      <c r="C99" s="189" t="s">
        <v>372</v>
      </c>
      <c r="D99" s="189" t="s">
        <v>695</v>
      </c>
      <c r="E99" s="189" t="s">
        <v>368</v>
      </c>
      <c r="F99" s="191">
        <v>6483463</v>
      </c>
      <c r="G99" s="191">
        <v>6483463</v>
      </c>
      <c r="H99" s="143" t="str">
        <f t="shared" si="1"/>
        <v>01048020060000244</v>
      </c>
    </row>
    <row r="100" spans="1:8" x14ac:dyDescent="0.2">
      <c r="A100" s="193" t="s">
        <v>1504</v>
      </c>
      <c r="B100" s="189" t="s">
        <v>5</v>
      </c>
      <c r="C100" s="189" t="s">
        <v>372</v>
      </c>
      <c r="D100" s="189" t="s">
        <v>695</v>
      </c>
      <c r="E100" s="189" t="s">
        <v>1505</v>
      </c>
      <c r="F100" s="191">
        <v>272936</v>
      </c>
      <c r="G100" s="191">
        <v>272936</v>
      </c>
      <c r="H100" s="143" t="str">
        <f t="shared" si="1"/>
        <v>01048020060000800</v>
      </c>
    </row>
    <row r="101" spans="1:8" x14ac:dyDescent="0.2">
      <c r="A101" s="193" t="s">
        <v>1343</v>
      </c>
      <c r="B101" s="189" t="s">
        <v>5</v>
      </c>
      <c r="C101" s="189" t="s">
        <v>372</v>
      </c>
      <c r="D101" s="189" t="s">
        <v>695</v>
      </c>
      <c r="E101" s="189" t="s">
        <v>1344</v>
      </c>
      <c r="F101" s="191">
        <v>272936</v>
      </c>
      <c r="G101" s="191">
        <v>272936</v>
      </c>
      <c r="H101" s="143" t="str">
        <f t="shared" si="1"/>
        <v>01048020060000850</v>
      </c>
    </row>
    <row r="102" spans="1:8" x14ac:dyDescent="0.2">
      <c r="A102" s="193" t="s">
        <v>1118</v>
      </c>
      <c r="B102" s="189" t="s">
        <v>5</v>
      </c>
      <c r="C102" s="189" t="s">
        <v>372</v>
      </c>
      <c r="D102" s="189" t="s">
        <v>695</v>
      </c>
      <c r="E102" s="189" t="s">
        <v>1119</v>
      </c>
      <c r="F102" s="191">
        <v>272936</v>
      </c>
      <c r="G102" s="191">
        <v>272936</v>
      </c>
      <c r="H102" s="143" t="str">
        <f t="shared" si="1"/>
        <v>01048020060000853</v>
      </c>
    </row>
    <row r="103" spans="1:8" ht="89.25" x14ac:dyDescent="0.2">
      <c r="A103" s="193" t="s">
        <v>607</v>
      </c>
      <c r="B103" s="189" t="s">
        <v>5</v>
      </c>
      <c r="C103" s="189" t="s">
        <v>372</v>
      </c>
      <c r="D103" s="133" t="s">
        <v>705</v>
      </c>
      <c r="E103" s="189" t="s">
        <v>1314</v>
      </c>
      <c r="F103" s="191">
        <v>1227782</v>
      </c>
      <c r="G103" s="191">
        <v>1227782</v>
      </c>
      <c r="H103" s="143" t="str">
        <f t="shared" si="1"/>
        <v>01048020061000</v>
      </c>
    </row>
    <row r="104" spans="1:8" ht="76.5" x14ac:dyDescent="0.2">
      <c r="A104" s="193" t="s">
        <v>1501</v>
      </c>
      <c r="B104" s="189" t="s">
        <v>5</v>
      </c>
      <c r="C104" s="189" t="s">
        <v>372</v>
      </c>
      <c r="D104" s="133" t="s">
        <v>705</v>
      </c>
      <c r="E104" s="189" t="s">
        <v>290</v>
      </c>
      <c r="F104" s="191">
        <v>1227782</v>
      </c>
      <c r="G104" s="191">
        <v>1227782</v>
      </c>
      <c r="H104" s="143" t="str">
        <f t="shared" si="1"/>
        <v>01048020061000100</v>
      </c>
    </row>
    <row r="105" spans="1:8" ht="38.25" x14ac:dyDescent="0.2">
      <c r="A105" s="193" t="s">
        <v>1345</v>
      </c>
      <c r="B105" s="189" t="s">
        <v>5</v>
      </c>
      <c r="C105" s="189" t="s">
        <v>372</v>
      </c>
      <c r="D105" s="189" t="s">
        <v>705</v>
      </c>
      <c r="E105" s="189" t="s">
        <v>30</v>
      </c>
      <c r="F105" s="191">
        <v>1227782</v>
      </c>
      <c r="G105" s="191">
        <v>1227782</v>
      </c>
      <c r="H105" s="143" t="str">
        <f t="shared" si="1"/>
        <v>01048020061000120</v>
      </c>
    </row>
    <row r="106" spans="1:8" ht="25.5" x14ac:dyDescent="0.2">
      <c r="A106" s="193" t="s">
        <v>1010</v>
      </c>
      <c r="B106" s="189" t="s">
        <v>5</v>
      </c>
      <c r="C106" s="189" t="s">
        <v>372</v>
      </c>
      <c r="D106" s="189" t="s">
        <v>705</v>
      </c>
      <c r="E106" s="189" t="s">
        <v>363</v>
      </c>
      <c r="F106" s="191">
        <v>942997</v>
      </c>
      <c r="G106" s="191">
        <v>942997</v>
      </c>
      <c r="H106" s="143" t="str">
        <f t="shared" si="1"/>
        <v>01048020061000121</v>
      </c>
    </row>
    <row r="107" spans="1:8" ht="63.75" x14ac:dyDescent="0.2">
      <c r="A107" s="193" t="s">
        <v>1115</v>
      </c>
      <c r="B107" s="189" t="s">
        <v>5</v>
      </c>
      <c r="C107" s="189" t="s">
        <v>372</v>
      </c>
      <c r="D107" s="189" t="s">
        <v>705</v>
      </c>
      <c r="E107" s="189" t="s">
        <v>1116</v>
      </c>
      <c r="F107" s="191">
        <v>284785</v>
      </c>
      <c r="G107" s="191">
        <v>284785</v>
      </c>
      <c r="H107" s="143" t="str">
        <f t="shared" si="1"/>
        <v>01048020061000129</v>
      </c>
    </row>
    <row r="108" spans="1:8" ht="76.5" x14ac:dyDescent="0.2">
      <c r="A108" s="193" t="s">
        <v>605</v>
      </c>
      <c r="B108" s="189" t="s">
        <v>5</v>
      </c>
      <c r="C108" s="189" t="s">
        <v>372</v>
      </c>
      <c r="D108" s="189" t="s">
        <v>696</v>
      </c>
      <c r="E108" s="189" t="s">
        <v>1314</v>
      </c>
      <c r="F108" s="191">
        <v>400000</v>
      </c>
      <c r="G108" s="191">
        <v>400000</v>
      </c>
      <c r="H108" s="143" t="str">
        <f t="shared" si="1"/>
        <v>01048020067000</v>
      </c>
    </row>
    <row r="109" spans="1:8" ht="76.5" x14ac:dyDescent="0.2">
      <c r="A109" s="193" t="s">
        <v>1501</v>
      </c>
      <c r="B109" s="189" t="s">
        <v>5</v>
      </c>
      <c r="C109" s="189" t="s">
        <v>372</v>
      </c>
      <c r="D109" s="189" t="s">
        <v>696</v>
      </c>
      <c r="E109" s="189" t="s">
        <v>290</v>
      </c>
      <c r="F109" s="191">
        <v>400000</v>
      </c>
      <c r="G109" s="191">
        <v>400000</v>
      </c>
      <c r="H109" s="143" t="str">
        <f t="shared" si="1"/>
        <v>01048020067000100</v>
      </c>
    </row>
    <row r="110" spans="1:8" ht="38.25" x14ac:dyDescent="0.2">
      <c r="A110" s="193" t="s">
        <v>1345</v>
      </c>
      <c r="B110" s="189" t="s">
        <v>5</v>
      </c>
      <c r="C110" s="189" t="s">
        <v>372</v>
      </c>
      <c r="D110" s="189" t="s">
        <v>696</v>
      </c>
      <c r="E110" s="189" t="s">
        <v>30</v>
      </c>
      <c r="F110" s="191">
        <v>400000</v>
      </c>
      <c r="G110" s="191">
        <v>400000</v>
      </c>
      <c r="H110" s="143" t="str">
        <f t="shared" si="1"/>
        <v>01048020067000120</v>
      </c>
    </row>
    <row r="111" spans="1:8" ht="51" x14ac:dyDescent="0.2">
      <c r="A111" s="193" t="s">
        <v>364</v>
      </c>
      <c r="B111" s="189" t="s">
        <v>5</v>
      </c>
      <c r="C111" s="189" t="s">
        <v>372</v>
      </c>
      <c r="D111" s="189" t="s">
        <v>696</v>
      </c>
      <c r="E111" s="189" t="s">
        <v>365</v>
      </c>
      <c r="F111" s="191">
        <v>400000</v>
      </c>
      <c r="G111" s="191">
        <v>400000</v>
      </c>
      <c r="H111" s="143" t="str">
        <f t="shared" si="1"/>
        <v>01048020067000122</v>
      </c>
    </row>
    <row r="112" spans="1:8" ht="76.5" x14ac:dyDescent="0.2">
      <c r="A112" s="193" t="s">
        <v>608</v>
      </c>
      <c r="B112" s="189" t="s">
        <v>5</v>
      </c>
      <c r="C112" s="189" t="s">
        <v>372</v>
      </c>
      <c r="D112" s="189" t="s">
        <v>706</v>
      </c>
      <c r="E112" s="189" t="s">
        <v>1314</v>
      </c>
      <c r="F112" s="191">
        <v>8288772</v>
      </c>
      <c r="G112" s="191">
        <v>8288772</v>
      </c>
      <c r="H112" s="143" t="str">
        <f t="shared" si="1"/>
        <v>0104802006Б000</v>
      </c>
    </row>
    <row r="113" spans="1:8" ht="76.5" x14ac:dyDescent="0.2">
      <c r="A113" s="193" t="s">
        <v>1501</v>
      </c>
      <c r="B113" s="189" t="s">
        <v>5</v>
      </c>
      <c r="C113" s="189" t="s">
        <v>372</v>
      </c>
      <c r="D113" s="189" t="s">
        <v>706</v>
      </c>
      <c r="E113" s="189" t="s">
        <v>290</v>
      </c>
      <c r="F113" s="191">
        <v>8288772</v>
      </c>
      <c r="G113" s="191">
        <v>8288772</v>
      </c>
      <c r="H113" s="143" t="str">
        <f t="shared" si="1"/>
        <v>0104802006Б000100</v>
      </c>
    </row>
    <row r="114" spans="1:8" ht="38.25" x14ac:dyDescent="0.2">
      <c r="A114" s="193" t="s">
        <v>1345</v>
      </c>
      <c r="B114" s="189" t="s">
        <v>5</v>
      </c>
      <c r="C114" s="189" t="s">
        <v>372</v>
      </c>
      <c r="D114" s="189" t="s">
        <v>706</v>
      </c>
      <c r="E114" s="189" t="s">
        <v>30</v>
      </c>
      <c r="F114" s="191">
        <v>8288772</v>
      </c>
      <c r="G114" s="191">
        <v>8288772</v>
      </c>
      <c r="H114" s="143" t="str">
        <f t="shared" si="1"/>
        <v>0104802006Б000120</v>
      </c>
    </row>
    <row r="115" spans="1:8" ht="25.5" x14ac:dyDescent="0.2">
      <c r="A115" s="200" t="s">
        <v>1010</v>
      </c>
      <c r="B115" s="189" t="s">
        <v>5</v>
      </c>
      <c r="C115" s="189" t="s">
        <v>372</v>
      </c>
      <c r="D115" s="189" t="s">
        <v>706</v>
      </c>
      <c r="E115" s="189" t="s">
        <v>363</v>
      </c>
      <c r="F115" s="191">
        <v>6366185</v>
      </c>
      <c r="G115" s="191">
        <v>6366185</v>
      </c>
      <c r="H115" s="143" t="str">
        <f t="shared" si="1"/>
        <v>0104802006Б000121</v>
      </c>
    </row>
    <row r="116" spans="1:8" ht="63.75" x14ac:dyDescent="0.2">
      <c r="A116" s="193" t="s">
        <v>1115</v>
      </c>
      <c r="B116" s="189" t="s">
        <v>5</v>
      </c>
      <c r="C116" s="189" t="s">
        <v>372</v>
      </c>
      <c r="D116" s="189" t="s">
        <v>706</v>
      </c>
      <c r="E116" s="189" t="s">
        <v>1116</v>
      </c>
      <c r="F116" s="191">
        <v>1922587</v>
      </c>
      <c r="G116" s="191">
        <v>1922587</v>
      </c>
      <c r="H116" s="143" t="str">
        <f t="shared" si="1"/>
        <v>0104802006Б000129</v>
      </c>
    </row>
    <row r="117" spans="1:8" ht="51" x14ac:dyDescent="0.2">
      <c r="A117" s="200" t="s">
        <v>1012</v>
      </c>
      <c r="B117" s="189" t="s">
        <v>5</v>
      </c>
      <c r="C117" s="189" t="s">
        <v>372</v>
      </c>
      <c r="D117" s="189" t="s">
        <v>1013</v>
      </c>
      <c r="E117" s="189" t="s">
        <v>1314</v>
      </c>
      <c r="F117" s="191">
        <v>3401569</v>
      </c>
      <c r="G117" s="191">
        <v>3401569</v>
      </c>
      <c r="H117" s="143" t="str">
        <f t="shared" si="1"/>
        <v>0104802006Г000</v>
      </c>
    </row>
    <row r="118" spans="1:8" ht="38.25" x14ac:dyDescent="0.2">
      <c r="A118" s="193" t="s">
        <v>1502</v>
      </c>
      <c r="B118" s="189" t="s">
        <v>5</v>
      </c>
      <c r="C118" s="189" t="s">
        <v>372</v>
      </c>
      <c r="D118" s="189" t="s">
        <v>1013</v>
      </c>
      <c r="E118" s="189" t="s">
        <v>1503</v>
      </c>
      <c r="F118" s="191">
        <v>3401569</v>
      </c>
      <c r="G118" s="191">
        <v>3401569</v>
      </c>
      <c r="H118" s="143" t="str">
        <f t="shared" si="1"/>
        <v>0104802006Г000200</v>
      </c>
    </row>
    <row r="119" spans="1:8" ht="38.25" x14ac:dyDescent="0.2">
      <c r="A119" s="200" t="s">
        <v>1338</v>
      </c>
      <c r="B119" s="189" t="s">
        <v>5</v>
      </c>
      <c r="C119" s="189" t="s">
        <v>372</v>
      </c>
      <c r="D119" s="189" t="s">
        <v>1013</v>
      </c>
      <c r="E119" s="189" t="s">
        <v>1339</v>
      </c>
      <c r="F119" s="191">
        <v>3401569</v>
      </c>
      <c r="G119" s="191">
        <v>3401569</v>
      </c>
      <c r="H119" s="143" t="str">
        <f t="shared" si="1"/>
        <v>0104802006Г000240</v>
      </c>
    </row>
    <row r="120" spans="1:8" x14ac:dyDescent="0.2">
      <c r="A120" s="193" t="s">
        <v>2024</v>
      </c>
      <c r="B120" s="189" t="s">
        <v>5</v>
      </c>
      <c r="C120" s="189" t="s">
        <v>372</v>
      </c>
      <c r="D120" s="189" t="s">
        <v>1013</v>
      </c>
      <c r="E120" s="189" t="s">
        <v>2025</v>
      </c>
      <c r="F120" s="191">
        <v>3401569</v>
      </c>
      <c r="G120" s="191">
        <v>3401569</v>
      </c>
      <c r="H120" s="143" t="str">
        <f t="shared" si="1"/>
        <v>0104802006Г000247</v>
      </c>
    </row>
    <row r="121" spans="1:8" ht="63.75" x14ac:dyDescent="0.2">
      <c r="A121" s="193" t="s">
        <v>1738</v>
      </c>
      <c r="B121" s="189" t="s">
        <v>5</v>
      </c>
      <c r="C121" s="189" t="s">
        <v>372</v>
      </c>
      <c r="D121" s="189" t="s">
        <v>1739</v>
      </c>
      <c r="E121" s="189" t="s">
        <v>1314</v>
      </c>
      <c r="F121" s="191">
        <v>165060</v>
      </c>
      <c r="G121" s="191">
        <v>165060</v>
      </c>
      <c r="H121" s="143" t="str">
        <f t="shared" si="1"/>
        <v>0104802006М000</v>
      </c>
    </row>
    <row r="122" spans="1:8" ht="38.25" x14ac:dyDescent="0.2">
      <c r="A122" s="193" t="s">
        <v>1502</v>
      </c>
      <c r="B122" s="189" t="s">
        <v>5</v>
      </c>
      <c r="C122" s="189" t="s">
        <v>372</v>
      </c>
      <c r="D122" s="189" t="s">
        <v>1739</v>
      </c>
      <c r="E122" s="189" t="s">
        <v>1503</v>
      </c>
      <c r="F122" s="191">
        <v>165060</v>
      </c>
      <c r="G122" s="191">
        <v>165060</v>
      </c>
      <c r="H122" s="143" t="str">
        <f t="shared" si="1"/>
        <v>0104802006М000200</v>
      </c>
    </row>
    <row r="123" spans="1:8" ht="38.25" x14ac:dyDescent="0.2">
      <c r="A123" s="193" t="s">
        <v>1338</v>
      </c>
      <c r="B123" s="189" t="s">
        <v>5</v>
      </c>
      <c r="C123" s="189" t="s">
        <v>372</v>
      </c>
      <c r="D123" s="189" t="s">
        <v>1739</v>
      </c>
      <c r="E123" s="189" t="s">
        <v>1339</v>
      </c>
      <c r="F123" s="191">
        <v>165060</v>
      </c>
      <c r="G123" s="191">
        <v>165060</v>
      </c>
      <c r="H123" s="143" t="str">
        <f t="shared" si="1"/>
        <v>0104802006М000240</v>
      </c>
    </row>
    <row r="124" spans="1:8" x14ac:dyDescent="0.2">
      <c r="A124" s="193" t="s">
        <v>1379</v>
      </c>
      <c r="B124" s="189" t="s">
        <v>5</v>
      </c>
      <c r="C124" s="189" t="s">
        <v>372</v>
      </c>
      <c r="D124" s="189" t="s">
        <v>1739</v>
      </c>
      <c r="E124" s="189" t="s">
        <v>368</v>
      </c>
      <c r="F124" s="191">
        <v>165060</v>
      </c>
      <c r="G124" s="191">
        <v>165060</v>
      </c>
      <c r="H124" s="143" t="str">
        <f t="shared" si="1"/>
        <v>0104802006М000244</v>
      </c>
    </row>
    <row r="125" spans="1:8" ht="38.25" x14ac:dyDescent="0.2">
      <c r="A125" s="193" t="s">
        <v>1143</v>
      </c>
      <c r="B125" s="189" t="s">
        <v>5</v>
      </c>
      <c r="C125" s="189" t="s">
        <v>372</v>
      </c>
      <c r="D125" s="189" t="s">
        <v>1144</v>
      </c>
      <c r="E125" s="189" t="s">
        <v>1314</v>
      </c>
      <c r="F125" s="191">
        <v>1269512</v>
      </c>
      <c r="G125" s="191">
        <v>1269512</v>
      </c>
      <c r="H125" s="143" t="str">
        <f t="shared" si="1"/>
        <v>0104802006Э000</v>
      </c>
    </row>
    <row r="126" spans="1:8" ht="38.25" x14ac:dyDescent="0.2">
      <c r="A126" s="193" t="s">
        <v>1502</v>
      </c>
      <c r="B126" s="189" t="s">
        <v>5</v>
      </c>
      <c r="C126" s="189" t="s">
        <v>372</v>
      </c>
      <c r="D126" s="189" t="s">
        <v>1144</v>
      </c>
      <c r="E126" s="189" t="s">
        <v>1503</v>
      </c>
      <c r="F126" s="191">
        <v>1269512</v>
      </c>
      <c r="G126" s="191">
        <v>1269512</v>
      </c>
      <c r="H126" s="143" t="str">
        <f t="shared" si="1"/>
        <v>0104802006Э000200</v>
      </c>
    </row>
    <row r="127" spans="1:8" ht="38.25" x14ac:dyDescent="0.2">
      <c r="A127" s="193" t="s">
        <v>1338</v>
      </c>
      <c r="B127" s="189" t="s">
        <v>5</v>
      </c>
      <c r="C127" s="189" t="s">
        <v>372</v>
      </c>
      <c r="D127" s="189" t="s">
        <v>1144</v>
      </c>
      <c r="E127" s="189" t="s">
        <v>1339</v>
      </c>
      <c r="F127" s="191">
        <v>1269512</v>
      </c>
      <c r="G127" s="191">
        <v>1269512</v>
      </c>
      <c r="H127" s="143" t="str">
        <f t="shared" si="1"/>
        <v>0104802006Э000240</v>
      </c>
    </row>
    <row r="128" spans="1:8" x14ac:dyDescent="0.2">
      <c r="A128" s="193" t="s">
        <v>2024</v>
      </c>
      <c r="B128" s="189" t="s">
        <v>5</v>
      </c>
      <c r="C128" s="189" t="s">
        <v>372</v>
      </c>
      <c r="D128" s="189" t="s">
        <v>1144</v>
      </c>
      <c r="E128" s="189" t="s">
        <v>2025</v>
      </c>
      <c r="F128" s="191">
        <v>1269512</v>
      </c>
      <c r="G128" s="191">
        <v>1269512</v>
      </c>
      <c r="H128" s="143" t="str">
        <f t="shared" si="1"/>
        <v>0104802006Э000247</v>
      </c>
    </row>
    <row r="129" spans="1:8" ht="102" x14ac:dyDescent="0.2">
      <c r="A129" s="200" t="s">
        <v>374</v>
      </c>
      <c r="B129" s="189" t="s">
        <v>5</v>
      </c>
      <c r="C129" s="189" t="s">
        <v>372</v>
      </c>
      <c r="D129" s="189" t="s">
        <v>703</v>
      </c>
      <c r="E129" s="189" t="s">
        <v>1314</v>
      </c>
      <c r="F129" s="191">
        <v>826100</v>
      </c>
      <c r="G129" s="191">
        <v>826100</v>
      </c>
      <c r="H129" s="143" t="str">
        <f t="shared" si="1"/>
        <v>01048020074670</v>
      </c>
    </row>
    <row r="130" spans="1:8" ht="76.5" x14ac:dyDescent="0.2">
      <c r="A130" s="193" t="s">
        <v>1501</v>
      </c>
      <c r="B130" s="189" t="s">
        <v>5</v>
      </c>
      <c r="C130" s="189" t="s">
        <v>372</v>
      </c>
      <c r="D130" s="189" t="s">
        <v>703</v>
      </c>
      <c r="E130" s="189" t="s">
        <v>290</v>
      </c>
      <c r="F130" s="191">
        <v>796200</v>
      </c>
      <c r="G130" s="191">
        <v>796200</v>
      </c>
      <c r="H130" s="143" t="str">
        <f t="shared" si="1"/>
        <v>01048020074670100</v>
      </c>
    </row>
    <row r="131" spans="1:8" ht="38.25" x14ac:dyDescent="0.2">
      <c r="A131" s="193" t="s">
        <v>1345</v>
      </c>
      <c r="B131" s="189" t="s">
        <v>5</v>
      </c>
      <c r="C131" s="189" t="s">
        <v>372</v>
      </c>
      <c r="D131" s="189" t="s">
        <v>703</v>
      </c>
      <c r="E131" s="189" t="s">
        <v>30</v>
      </c>
      <c r="F131" s="191">
        <v>796200</v>
      </c>
      <c r="G131" s="191">
        <v>796200</v>
      </c>
      <c r="H131" s="143" t="str">
        <f t="shared" si="1"/>
        <v>01048020074670120</v>
      </c>
    </row>
    <row r="132" spans="1:8" ht="25.5" x14ac:dyDescent="0.2">
      <c r="A132" s="193" t="s">
        <v>1010</v>
      </c>
      <c r="B132" s="189" t="s">
        <v>5</v>
      </c>
      <c r="C132" s="189" t="s">
        <v>372</v>
      </c>
      <c r="D132" s="189" t="s">
        <v>703</v>
      </c>
      <c r="E132" s="189" t="s">
        <v>363</v>
      </c>
      <c r="F132" s="191">
        <v>596787</v>
      </c>
      <c r="G132" s="191">
        <v>596787</v>
      </c>
      <c r="H132" s="143" t="str">
        <f t="shared" ref="H132:H191" si="2">CONCATENATE(C132,,D132,E132)</f>
        <v>01048020074670121</v>
      </c>
    </row>
    <row r="133" spans="1:8" ht="51" x14ac:dyDescent="0.2">
      <c r="A133" s="200" t="s">
        <v>364</v>
      </c>
      <c r="B133" s="189" t="s">
        <v>5</v>
      </c>
      <c r="C133" s="189" t="s">
        <v>372</v>
      </c>
      <c r="D133" s="189" t="s">
        <v>703</v>
      </c>
      <c r="E133" s="189" t="s">
        <v>365</v>
      </c>
      <c r="F133" s="191">
        <v>19200</v>
      </c>
      <c r="G133" s="191">
        <v>19200</v>
      </c>
      <c r="H133" s="143" t="str">
        <f t="shared" si="2"/>
        <v>01048020074670122</v>
      </c>
    </row>
    <row r="134" spans="1:8" ht="63.75" x14ac:dyDescent="0.2">
      <c r="A134" s="193" t="s">
        <v>1115</v>
      </c>
      <c r="B134" s="189" t="s">
        <v>5</v>
      </c>
      <c r="C134" s="189" t="s">
        <v>372</v>
      </c>
      <c r="D134" s="189" t="s">
        <v>703</v>
      </c>
      <c r="E134" s="189" t="s">
        <v>1116</v>
      </c>
      <c r="F134" s="191">
        <v>180213</v>
      </c>
      <c r="G134" s="191">
        <v>180213</v>
      </c>
      <c r="H134" s="143" t="str">
        <f t="shared" si="2"/>
        <v>01048020074670129</v>
      </c>
    </row>
    <row r="135" spans="1:8" ht="38.25" x14ac:dyDescent="0.2">
      <c r="A135" s="200" t="s">
        <v>1502</v>
      </c>
      <c r="B135" s="189" t="s">
        <v>5</v>
      </c>
      <c r="C135" s="189" t="s">
        <v>372</v>
      </c>
      <c r="D135" s="189" t="s">
        <v>703</v>
      </c>
      <c r="E135" s="189" t="s">
        <v>1503</v>
      </c>
      <c r="F135" s="191">
        <v>29900</v>
      </c>
      <c r="G135" s="191">
        <v>29900</v>
      </c>
      <c r="H135" s="143" t="str">
        <f t="shared" si="2"/>
        <v>01048020074670200</v>
      </c>
    </row>
    <row r="136" spans="1:8" ht="38.25" x14ac:dyDescent="0.2">
      <c r="A136" s="193" t="s">
        <v>1338</v>
      </c>
      <c r="B136" s="189" t="s">
        <v>5</v>
      </c>
      <c r="C136" s="189" t="s">
        <v>372</v>
      </c>
      <c r="D136" s="189" t="s">
        <v>703</v>
      </c>
      <c r="E136" s="189" t="s">
        <v>1339</v>
      </c>
      <c r="F136" s="191">
        <v>29900</v>
      </c>
      <c r="G136" s="191">
        <v>29900</v>
      </c>
      <c r="H136" s="143" t="str">
        <f t="shared" si="2"/>
        <v>01048020074670240</v>
      </c>
    </row>
    <row r="137" spans="1:8" x14ac:dyDescent="0.2">
      <c r="A137" s="200" t="s">
        <v>1379</v>
      </c>
      <c r="B137" s="189" t="s">
        <v>5</v>
      </c>
      <c r="C137" s="189" t="s">
        <v>372</v>
      </c>
      <c r="D137" s="189" t="s">
        <v>703</v>
      </c>
      <c r="E137" s="189" t="s">
        <v>368</v>
      </c>
      <c r="F137" s="191">
        <v>29900</v>
      </c>
      <c r="G137" s="191">
        <v>29900</v>
      </c>
      <c r="H137" s="143" t="str">
        <f t="shared" si="2"/>
        <v>01048020074670244</v>
      </c>
    </row>
    <row r="138" spans="1:8" ht="76.5" x14ac:dyDescent="0.2">
      <c r="A138" s="193" t="s">
        <v>375</v>
      </c>
      <c r="B138" s="189" t="s">
        <v>5</v>
      </c>
      <c r="C138" s="189" t="s">
        <v>372</v>
      </c>
      <c r="D138" s="189" t="s">
        <v>704</v>
      </c>
      <c r="E138" s="189" t="s">
        <v>1314</v>
      </c>
      <c r="F138" s="191">
        <v>1621700</v>
      </c>
      <c r="G138" s="191">
        <v>1621700</v>
      </c>
      <c r="H138" s="143" t="str">
        <f t="shared" si="2"/>
        <v>01048020076040</v>
      </c>
    </row>
    <row r="139" spans="1:8" ht="76.5" x14ac:dyDescent="0.2">
      <c r="A139" s="193" t="s">
        <v>1501</v>
      </c>
      <c r="B139" s="189" t="s">
        <v>5</v>
      </c>
      <c r="C139" s="189" t="s">
        <v>372</v>
      </c>
      <c r="D139" s="189" t="s">
        <v>704</v>
      </c>
      <c r="E139" s="189" t="s">
        <v>290</v>
      </c>
      <c r="F139" s="191">
        <v>1579310</v>
      </c>
      <c r="G139" s="191">
        <v>1579310</v>
      </c>
      <c r="H139" s="143" t="str">
        <f t="shared" si="2"/>
        <v>01048020076040100</v>
      </c>
    </row>
    <row r="140" spans="1:8" ht="38.25" x14ac:dyDescent="0.2">
      <c r="A140" s="193" t="s">
        <v>1345</v>
      </c>
      <c r="B140" s="189" t="s">
        <v>5</v>
      </c>
      <c r="C140" s="189" t="s">
        <v>372</v>
      </c>
      <c r="D140" s="189" t="s">
        <v>704</v>
      </c>
      <c r="E140" s="189" t="s">
        <v>30</v>
      </c>
      <c r="F140" s="191">
        <v>1579310</v>
      </c>
      <c r="G140" s="191">
        <v>1579310</v>
      </c>
      <c r="H140" s="143" t="str">
        <f t="shared" si="2"/>
        <v>01048020076040120</v>
      </c>
    </row>
    <row r="141" spans="1:8" ht="25.5" x14ac:dyDescent="0.2">
      <c r="A141" s="193" t="s">
        <v>1010</v>
      </c>
      <c r="B141" s="189" t="s">
        <v>5</v>
      </c>
      <c r="C141" s="189" t="s">
        <v>372</v>
      </c>
      <c r="D141" s="189" t="s">
        <v>704</v>
      </c>
      <c r="E141" s="189" t="s">
        <v>363</v>
      </c>
      <c r="F141" s="191">
        <v>1193785</v>
      </c>
      <c r="G141" s="191">
        <v>1193785</v>
      </c>
      <c r="H141" s="143" t="str">
        <f t="shared" si="2"/>
        <v>01048020076040121</v>
      </c>
    </row>
    <row r="142" spans="1:8" ht="51" x14ac:dyDescent="0.2">
      <c r="A142" s="193" t="s">
        <v>364</v>
      </c>
      <c r="B142" s="189" t="s">
        <v>5</v>
      </c>
      <c r="C142" s="189" t="s">
        <v>372</v>
      </c>
      <c r="D142" s="189" t="s">
        <v>704</v>
      </c>
      <c r="E142" s="189" t="s">
        <v>365</v>
      </c>
      <c r="F142" s="191">
        <v>25000</v>
      </c>
      <c r="G142" s="191">
        <v>25000</v>
      </c>
      <c r="H142" s="143" t="str">
        <f t="shared" si="2"/>
        <v>01048020076040122</v>
      </c>
    </row>
    <row r="143" spans="1:8" ht="63.75" x14ac:dyDescent="0.2">
      <c r="A143" s="193" t="s">
        <v>1115</v>
      </c>
      <c r="B143" s="189" t="s">
        <v>5</v>
      </c>
      <c r="C143" s="189" t="s">
        <v>372</v>
      </c>
      <c r="D143" s="189" t="s">
        <v>704</v>
      </c>
      <c r="E143" s="189" t="s">
        <v>1116</v>
      </c>
      <c r="F143" s="191">
        <v>360525</v>
      </c>
      <c r="G143" s="191">
        <v>360525</v>
      </c>
      <c r="H143" s="143" t="str">
        <f t="shared" si="2"/>
        <v>01048020076040129</v>
      </c>
    </row>
    <row r="144" spans="1:8" ht="38.25" x14ac:dyDescent="0.2">
      <c r="A144" s="193" t="s">
        <v>1502</v>
      </c>
      <c r="B144" s="189" t="s">
        <v>5</v>
      </c>
      <c r="C144" s="189" t="s">
        <v>372</v>
      </c>
      <c r="D144" s="189" t="s">
        <v>704</v>
      </c>
      <c r="E144" s="189" t="s">
        <v>1503</v>
      </c>
      <c r="F144" s="191">
        <v>42390</v>
      </c>
      <c r="G144" s="191">
        <v>42390</v>
      </c>
      <c r="H144" s="143" t="str">
        <f t="shared" si="2"/>
        <v>01048020076040200</v>
      </c>
    </row>
    <row r="145" spans="1:8" ht="38.25" x14ac:dyDescent="0.2">
      <c r="A145" s="193" t="s">
        <v>1338</v>
      </c>
      <c r="B145" s="189" t="s">
        <v>5</v>
      </c>
      <c r="C145" s="189" t="s">
        <v>372</v>
      </c>
      <c r="D145" s="189" t="s">
        <v>704</v>
      </c>
      <c r="E145" s="189" t="s">
        <v>1339</v>
      </c>
      <c r="F145" s="191">
        <v>42390</v>
      </c>
      <c r="G145" s="191">
        <v>42390</v>
      </c>
      <c r="H145" s="143" t="str">
        <f t="shared" si="2"/>
        <v>01048020076040240</v>
      </c>
    </row>
    <row r="146" spans="1:8" x14ac:dyDescent="0.2">
      <c r="A146" s="200" t="s">
        <v>1379</v>
      </c>
      <c r="B146" s="189" t="s">
        <v>5</v>
      </c>
      <c r="C146" s="189" t="s">
        <v>372</v>
      </c>
      <c r="D146" s="189" t="s">
        <v>704</v>
      </c>
      <c r="E146" s="189" t="s">
        <v>368</v>
      </c>
      <c r="F146" s="191">
        <v>42390</v>
      </c>
      <c r="G146" s="191">
        <v>42390</v>
      </c>
      <c r="H146" s="143" t="str">
        <f t="shared" si="2"/>
        <v>01048020076040244</v>
      </c>
    </row>
    <row r="147" spans="1:8" ht="267.75" x14ac:dyDescent="0.2">
      <c r="A147" s="193" t="s">
        <v>540</v>
      </c>
      <c r="B147" s="189" t="s">
        <v>5</v>
      </c>
      <c r="C147" s="189" t="s">
        <v>372</v>
      </c>
      <c r="D147" s="189" t="s">
        <v>707</v>
      </c>
      <c r="E147" s="189" t="s">
        <v>1314</v>
      </c>
      <c r="F147" s="191">
        <v>777154</v>
      </c>
      <c r="G147" s="191">
        <v>777154</v>
      </c>
      <c r="H147" s="143" t="str">
        <f t="shared" si="2"/>
        <v>010480200Ч0010</v>
      </c>
    </row>
    <row r="148" spans="1:8" ht="76.5" x14ac:dyDescent="0.2">
      <c r="A148" s="193" t="s">
        <v>1501</v>
      </c>
      <c r="B148" s="189" t="s">
        <v>5</v>
      </c>
      <c r="C148" s="189" t="s">
        <v>372</v>
      </c>
      <c r="D148" s="189" t="s">
        <v>707</v>
      </c>
      <c r="E148" s="189" t="s">
        <v>290</v>
      </c>
      <c r="F148" s="191">
        <v>777154</v>
      </c>
      <c r="G148" s="191">
        <v>777154</v>
      </c>
      <c r="H148" s="143" t="str">
        <f t="shared" si="2"/>
        <v>010480200Ч0010100</v>
      </c>
    </row>
    <row r="149" spans="1:8" ht="38.25" x14ac:dyDescent="0.2">
      <c r="A149" s="193" t="s">
        <v>1345</v>
      </c>
      <c r="B149" s="189" t="s">
        <v>5</v>
      </c>
      <c r="C149" s="189" t="s">
        <v>372</v>
      </c>
      <c r="D149" s="189" t="s">
        <v>707</v>
      </c>
      <c r="E149" s="189" t="s">
        <v>30</v>
      </c>
      <c r="F149" s="191">
        <v>777154</v>
      </c>
      <c r="G149" s="191">
        <v>777154</v>
      </c>
      <c r="H149" s="143" t="str">
        <f t="shared" si="2"/>
        <v>010480200Ч0010120</v>
      </c>
    </row>
    <row r="150" spans="1:8" ht="25.5" x14ac:dyDescent="0.2">
      <c r="A150" s="200" t="s">
        <v>1010</v>
      </c>
      <c r="B150" s="189" t="s">
        <v>5</v>
      </c>
      <c r="C150" s="189" t="s">
        <v>372</v>
      </c>
      <c r="D150" s="189" t="s">
        <v>707</v>
      </c>
      <c r="E150" s="189" t="s">
        <v>363</v>
      </c>
      <c r="F150" s="191">
        <v>596893</v>
      </c>
      <c r="G150" s="191">
        <v>596893</v>
      </c>
      <c r="H150" s="143" t="str">
        <f t="shared" si="2"/>
        <v>010480200Ч0010121</v>
      </c>
    </row>
    <row r="151" spans="1:8" ht="63.75" x14ac:dyDescent="0.2">
      <c r="A151" s="193" t="s">
        <v>1115</v>
      </c>
      <c r="B151" s="189" t="s">
        <v>5</v>
      </c>
      <c r="C151" s="189" t="s">
        <v>372</v>
      </c>
      <c r="D151" s="189" t="s">
        <v>707</v>
      </c>
      <c r="E151" s="189" t="s">
        <v>1116</v>
      </c>
      <c r="F151" s="191">
        <v>180261</v>
      </c>
      <c r="G151" s="191">
        <v>180261</v>
      </c>
      <c r="H151" s="143" t="str">
        <f t="shared" si="2"/>
        <v>010480200Ч0010129</v>
      </c>
    </row>
    <row r="152" spans="1:8" x14ac:dyDescent="0.2">
      <c r="A152" s="200" t="s">
        <v>1333</v>
      </c>
      <c r="B152" s="189" t="s">
        <v>5</v>
      </c>
      <c r="C152" s="189" t="s">
        <v>1334</v>
      </c>
      <c r="D152" s="189" t="s">
        <v>1314</v>
      </c>
      <c r="E152" s="189" t="s">
        <v>1314</v>
      </c>
      <c r="F152" s="191">
        <v>172900</v>
      </c>
      <c r="G152" s="191">
        <v>0</v>
      </c>
      <c r="H152" s="143" t="str">
        <f t="shared" si="2"/>
        <v>0105</v>
      </c>
    </row>
    <row r="153" spans="1:8" ht="25.5" x14ac:dyDescent="0.2">
      <c r="A153" s="193" t="s">
        <v>648</v>
      </c>
      <c r="B153" s="189" t="s">
        <v>5</v>
      </c>
      <c r="C153" s="189" t="s">
        <v>1334</v>
      </c>
      <c r="D153" s="189" t="s">
        <v>1072</v>
      </c>
      <c r="E153" s="189" t="s">
        <v>1314</v>
      </c>
      <c r="F153" s="191">
        <v>172900</v>
      </c>
      <c r="G153" s="191">
        <v>0</v>
      </c>
      <c r="H153" s="143" t="str">
        <f t="shared" si="2"/>
        <v>01059000000000</v>
      </c>
    </row>
    <row r="154" spans="1:8" ht="89.25" x14ac:dyDescent="0.2">
      <c r="A154" s="200" t="s">
        <v>481</v>
      </c>
      <c r="B154" s="189" t="s">
        <v>5</v>
      </c>
      <c r="C154" s="189" t="s">
        <v>1334</v>
      </c>
      <c r="D154" s="189" t="s">
        <v>1335</v>
      </c>
      <c r="E154" s="189" t="s">
        <v>1314</v>
      </c>
      <c r="F154" s="191">
        <v>172900</v>
      </c>
      <c r="G154" s="191">
        <v>0</v>
      </c>
      <c r="H154" s="143" t="str">
        <f t="shared" si="2"/>
        <v>01059040000000</v>
      </c>
    </row>
    <row r="155" spans="1:8" ht="89.25" x14ac:dyDescent="0.2">
      <c r="A155" s="193" t="s">
        <v>481</v>
      </c>
      <c r="B155" s="189" t="s">
        <v>5</v>
      </c>
      <c r="C155" s="189" t="s">
        <v>1334</v>
      </c>
      <c r="D155" s="189" t="s">
        <v>708</v>
      </c>
      <c r="E155" s="189" t="s">
        <v>1314</v>
      </c>
      <c r="F155" s="191">
        <v>172900</v>
      </c>
      <c r="G155" s="191">
        <v>0</v>
      </c>
      <c r="H155" s="143" t="str">
        <f t="shared" si="2"/>
        <v>01059040051200</v>
      </c>
    </row>
    <row r="156" spans="1:8" ht="38.25" x14ac:dyDescent="0.2">
      <c r="A156" s="193" t="s">
        <v>1502</v>
      </c>
      <c r="B156" s="189" t="s">
        <v>5</v>
      </c>
      <c r="C156" s="189" t="s">
        <v>1334</v>
      </c>
      <c r="D156" s="189" t="s">
        <v>708</v>
      </c>
      <c r="E156" s="189" t="s">
        <v>1503</v>
      </c>
      <c r="F156" s="191">
        <v>172900</v>
      </c>
      <c r="G156" s="191">
        <v>0</v>
      </c>
      <c r="H156" s="143" t="str">
        <f t="shared" si="2"/>
        <v>01059040051200200</v>
      </c>
    </row>
    <row r="157" spans="1:8" ht="38.25" x14ac:dyDescent="0.2">
      <c r="A157" s="193" t="s">
        <v>1338</v>
      </c>
      <c r="B157" s="189" t="s">
        <v>5</v>
      </c>
      <c r="C157" s="189" t="s">
        <v>1334</v>
      </c>
      <c r="D157" s="189" t="s">
        <v>708</v>
      </c>
      <c r="E157" s="189" t="s">
        <v>1339</v>
      </c>
      <c r="F157" s="191">
        <v>172900</v>
      </c>
      <c r="G157" s="191">
        <v>0</v>
      </c>
      <c r="H157" s="143" t="str">
        <f t="shared" si="2"/>
        <v>01059040051200240</v>
      </c>
    </row>
    <row r="158" spans="1:8" x14ac:dyDescent="0.2">
      <c r="A158" s="193" t="s">
        <v>1379</v>
      </c>
      <c r="B158" s="189" t="s">
        <v>5</v>
      </c>
      <c r="C158" s="189" t="s">
        <v>1334</v>
      </c>
      <c r="D158" s="189" t="s">
        <v>708</v>
      </c>
      <c r="E158" s="189" t="s">
        <v>368</v>
      </c>
      <c r="F158" s="191">
        <v>172900</v>
      </c>
      <c r="G158" s="191">
        <v>0</v>
      </c>
      <c r="H158" s="143" t="str">
        <f t="shared" si="2"/>
        <v>01059040051200244</v>
      </c>
    </row>
    <row r="159" spans="1:8" x14ac:dyDescent="0.2">
      <c r="A159" s="51" t="s">
        <v>233</v>
      </c>
      <c r="B159" s="189" t="s">
        <v>5</v>
      </c>
      <c r="C159" s="189" t="s">
        <v>376</v>
      </c>
      <c r="D159" s="189" t="s">
        <v>1314</v>
      </c>
      <c r="E159" s="189" t="s">
        <v>1314</v>
      </c>
      <c r="F159" s="191">
        <v>445000</v>
      </c>
      <c r="G159" s="191">
        <v>445000</v>
      </c>
      <c r="H159" s="143" t="str">
        <f t="shared" si="2"/>
        <v>0113</v>
      </c>
    </row>
    <row r="160" spans="1:8" ht="51" x14ac:dyDescent="0.2">
      <c r="A160" s="193" t="s">
        <v>497</v>
      </c>
      <c r="B160" s="189" t="s">
        <v>5</v>
      </c>
      <c r="C160" s="189" t="s">
        <v>376</v>
      </c>
      <c r="D160" s="189" t="s">
        <v>1038</v>
      </c>
      <c r="E160" s="189" t="s">
        <v>1314</v>
      </c>
      <c r="F160" s="191">
        <v>215000</v>
      </c>
      <c r="G160" s="191">
        <v>215000</v>
      </c>
      <c r="H160" s="143" t="str">
        <f t="shared" si="2"/>
        <v>01130400000000</v>
      </c>
    </row>
    <row r="161" spans="1:8" ht="51" x14ac:dyDescent="0.2">
      <c r="A161" s="193" t="s">
        <v>1527</v>
      </c>
      <c r="B161" s="189" t="s">
        <v>5</v>
      </c>
      <c r="C161" s="189" t="s">
        <v>376</v>
      </c>
      <c r="D161" s="189" t="s">
        <v>1272</v>
      </c>
      <c r="E161" s="189" t="s">
        <v>1314</v>
      </c>
      <c r="F161" s="191">
        <v>215000</v>
      </c>
      <c r="G161" s="191">
        <v>215000</v>
      </c>
      <c r="H161" s="143" t="str">
        <f t="shared" si="2"/>
        <v>01130430000000</v>
      </c>
    </row>
    <row r="162" spans="1:8" ht="127.5" x14ac:dyDescent="0.2">
      <c r="A162" s="193" t="s">
        <v>2026</v>
      </c>
      <c r="B162" s="189" t="s">
        <v>5</v>
      </c>
      <c r="C162" s="189" t="s">
        <v>376</v>
      </c>
      <c r="D162" s="189" t="s">
        <v>2027</v>
      </c>
      <c r="E162" s="189" t="s">
        <v>1314</v>
      </c>
      <c r="F162" s="191">
        <v>215000</v>
      </c>
      <c r="G162" s="191">
        <v>215000</v>
      </c>
      <c r="H162" s="143" t="str">
        <f t="shared" si="2"/>
        <v>0113043008Ф000</v>
      </c>
    </row>
    <row r="163" spans="1:8" ht="38.25" x14ac:dyDescent="0.2">
      <c r="A163" s="193" t="s">
        <v>1502</v>
      </c>
      <c r="B163" s="189" t="s">
        <v>5</v>
      </c>
      <c r="C163" s="189" t="s">
        <v>376</v>
      </c>
      <c r="D163" s="189" t="s">
        <v>2027</v>
      </c>
      <c r="E163" s="189" t="s">
        <v>1503</v>
      </c>
      <c r="F163" s="191">
        <v>215000</v>
      </c>
      <c r="G163" s="191">
        <v>215000</v>
      </c>
      <c r="H163" s="143" t="str">
        <f t="shared" si="2"/>
        <v>0113043008Ф000200</v>
      </c>
    </row>
    <row r="164" spans="1:8" ht="38.25" x14ac:dyDescent="0.2">
      <c r="A164" s="193" t="s">
        <v>1338</v>
      </c>
      <c r="B164" s="189" t="s">
        <v>5</v>
      </c>
      <c r="C164" s="189" t="s">
        <v>376</v>
      </c>
      <c r="D164" s="189" t="s">
        <v>2027</v>
      </c>
      <c r="E164" s="189" t="s">
        <v>1339</v>
      </c>
      <c r="F164" s="191">
        <v>215000</v>
      </c>
      <c r="G164" s="191">
        <v>215000</v>
      </c>
      <c r="H164" s="143" t="str">
        <f t="shared" si="2"/>
        <v>0113043008Ф000240</v>
      </c>
    </row>
    <row r="165" spans="1:8" x14ac:dyDescent="0.2">
      <c r="A165" s="193" t="s">
        <v>1379</v>
      </c>
      <c r="B165" s="189" t="s">
        <v>5</v>
      </c>
      <c r="C165" s="189" t="s">
        <v>376</v>
      </c>
      <c r="D165" s="189" t="s">
        <v>2027</v>
      </c>
      <c r="E165" s="189" t="s">
        <v>368</v>
      </c>
      <c r="F165" s="191">
        <v>215000</v>
      </c>
      <c r="G165" s="191">
        <v>215000</v>
      </c>
      <c r="H165" s="143" t="str">
        <f t="shared" si="2"/>
        <v>0113043008Ф000244</v>
      </c>
    </row>
    <row r="166" spans="1:8" ht="38.25" x14ac:dyDescent="0.2">
      <c r="A166" s="193" t="s">
        <v>646</v>
      </c>
      <c r="B166" s="189" t="s">
        <v>5</v>
      </c>
      <c r="C166" s="189" t="s">
        <v>376</v>
      </c>
      <c r="D166" s="189" t="s">
        <v>1067</v>
      </c>
      <c r="E166" s="189" t="s">
        <v>1314</v>
      </c>
      <c r="F166" s="191">
        <v>170000</v>
      </c>
      <c r="G166" s="191">
        <v>170000</v>
      </c>
      <c r="H166" s="143" t="str">
        <f t="shared" si="2"/>
        <v>01138000000000</v>
      </c>
    </row>
    <row r="167" spans="1:8" ht="51" x14ac:dyDescent="0.2">
      <c r="A167" s="193" t="s">
        <v>647</v>
      </c>
      <c r="B167" s="189" t="s">
        <v>5</v>
      </c>
      <c r="C167" s="189" t="s">
        <v>376</v>
      </c>
      <c r="D167" s="189" t="s">
        <v>1069</v>
      </c>
      <c r="E167" s="189" t="s">
        <v>1314</v>
      </c>
      <c r="F167" s="191">
        <v>170000</v>
      </c>
      <c r="G167" s="191">
        <v>170000</v>
      </c>
      <c r="H167" s="143" t="str">
        <f t="shared" si="2"/>
        <v>01138020000000</v>
      </c>
    </row>
    <row r="168" spans="1:8" ht="89.25" x14ac:dyDescent="0.2">
      <c r="A168" s="193" t="s">
        <v>584</v>
      </c>
      <c r="B168" s="189" t="s">
        <v>5</v>
      </c>
      <c r="C168" s="189" t="s">
        <v>376</v>
      </c>
      <c r="D168" s="189" t="s">
        <v>710</v>
      </c>
      <c r="E168" s="189" t="s">
        <v>1314</v>
      </c>
      <c r="F168" s="191">
        <v>80900</v>
      </c>
      <c r="G168" s="191">
        <v>80900</v>
      </c>
      <c r="H168" s="143" t="str">
        <f t="shared" si="2"/>
        <v>01138020074290</v>
      </c>
    </row>
    <row r="169" spans="1:8" ht="76.5" x14ac:dyDescent="0.2">
      <c r="A169" s="193" t="s">
        <v>1501</v>
      </c>
      <c r="B169" s="189" t="s">
        <v>5</v>
      </c>
      <c r="C169" s="189" t="s">
        <v>376</v>
      </c>
      <c r="D169" s="189" t="s">
        <v>710</v>
      </c>
      <c r="E169" s="189" t="s">
        <v>290</v>
      </c>
      <c r="F169" s="191">
        <v>77720</v>
      </c>
      <c r="G169" s="191">
        <v>77720</v>
      </c>
      <c r="H169" s="143" t="str">
        <f t="shared" si="2"/>
        <v>01138020074290100</v>
      </c>
    </row>
    <row r="170" spans="1:8" ht="38.25" x14ac:dyDescent="0.2">
      <c r="A170" s="193" t="s">
        <v>1345</v>
      </c>
      <c r="B170" s="189" t="s">
        <v>5</v>
      </c>
      <c r="C170" s="189" t="s">
        <v>376</v>
      </c>
      <c r="D170" s="189" t="s">
        <v>710</v>
      </c>
      <c r="E170" s="189" t="s">
        <v>30</v>
      </c>
      <c r="F170" s="191">
        <v>77720</v>
      </c>
      <c r="G170" s="191">
        <v>77720</v>
      </c>
      <c r="H170" s="143" t="str">
        <f t="shared" si="2"/>
        <v>01138020074290120</v>
      </c>
    </row>
    <row r="171" spans="1:8" ht="25.5" x14ac:dyDescent="0.2">
      <c r="A171" s="193" t="s">
        <v>1010</v>
      </c>
      <c r="B171" s="189" t="s">
        <v>5</v>
      </c>
      <c r="C171" s="189" t="s">
        <v>376</v>
      </c>
      <c r="D171" s="189" t="s">
        <v>710</v>
      </c>
      <c r="E171" s="189" t="s">
        <v>363</v>
      </c>
      <c r="F171" s="191">
        <v>59689</v>
      </c>
      <c r="G171" s="191">
        <v>59689</v>
      </c>
      <c r="H171" s="143" t="str">
        <f t="shared" si="2"/>
        <v>01138020074290121</v>
      </c>
    </row>
    <row r="172" spans="1:8" ht="63.75" x14ac:dyDescent="0.2">
      <c r="A172" s="200" t="s">
        <v>1115</v>
      </c>
      <c r="B172" s="189" t="s">
        <v>5</v>
      </c>
      <c r="C172" s="189" t="s">
        <v>376</v>
      </c>
      <c r="D172" s="189" t="s">
        <v>710</v>
      </c>
      <c r="E172" s="189" t="s">
        <v>1116</v>
      </c>
      <c r="F172" s="191">
        <v>18031</v>
      </c>
      <c r="G172" s="191">
        <v>18031</v>
      </c>
      <c r="H172" s="143" t="str">
        <f t="shared" si="2"/>
        <v>01138020074290129</v>
      </c>
    </row>
    <row r="173" spans="1:8" ht="38.25" x14ac:dyDescent="0.2">
      <c r="A173" s="193" t="s">
        <v>1502</v>
      </c>
      <c r="B173" s="189" t="s">
        <v>5</v>
      </c>
      <c r="C173" s="189" t="s">
        <v>376</v>
      </c>
      <c r="D173" s="189" t="s">
        <v>710</v>
      </c>
      <c r="E173" s="189" t="s">
        <v>1503</v>
      </c>
      <c r="F173" s="191">
        <v>3180</v>
      </c>
      <c r="G173" s="191">
        <v>3180</v>
      </c>
      <c r="H173" s="143" t="str">
        <f t="shared" si="2"/>
        <v>01138020074290200</v>
      </c>
    </row>
    <row r="174" spans="1:8" ht="38.25" x14ac:dyDescent="0.2">
      <c r="A174" s="193" t="s">
        <v>1338</v>
      </c>
      <c r="B174" s="189" t="s">
        <v>5</v>
      </c>
      <c r="C174" s="189" t="s">
        <v>376</v>
      </c>
      <c r="D174" s="189" t="s">
        <v>710</v>
      </c>
      <c r="E174" s="189" t="s">
        <v>1339</v>
      </c>
      <c r="F174" s="191">
        <v>3180</v>
      </c>
      <c r="G174" s="191">
        <v>3180</v>
      </c>
      <c r="H174" s="143" t="str">
        <f t="shared" si="2"/>
        <v>01138020074290240</v>
      </c>
    </row>
    <row r="175" spans="1:8" x14ac:dyDescent="0.2">
      <c r="A175" s="193" t="s">
        <v>1379</v>
      </c>
      <c r="B175" s="189" t="s">
        <v>5</v>
      </c>
      <c r="C175" s="189" t="s">
        <v>376</v>
      </c>
      <c r="D175" s="189" t="s">
        <v>710</v>
      </c>
      <c r="E175" s="189" t="s">
        <v>368</v>
      </c>
      <c r="F175" s="191">
        <v>3180</v>
      </c>
      <c r="G175" s="191">
        <v>3180</v>
      </c>
      <c r="H175" s="143" t="str">
        <f t="shared" si="2"/>
        <v>01138020074290244</v>
      </c>
    </row>
    <row r="176" spans="1:8" ht="51" x14ac:dyDescent="0.2">
      <c r="A176" s="200" t="s">
        <v>377</v>
      </c>
      <c r="B176" s="189" t="s">
        <v>5</v>
      </c>
      <c r="C176" s="189" t="s">
        <v>376</v>
      </c>
      <c r="D176" s="189" t="s">
        <v>711</v>
      </c>
      <c r="E176" s="189" t="s">
        <v>1314</v>
      </c>
      <c r="F176" s="191">
        <v>89100</v>
      </c>
      <c r="G176" s="191">
        <v>89100</v>
      </c>
      <c r="H176" s="143" t="str">
        <f t="shared" si="2"/>
        <v>01138020075190</v>
      </c>
    </row>
    <row r="177" spans="1:8" ht="76.5" x14ac:dyDescent="0.2">
      <c r="A177" s="193" t="s">
        <v>1501</v>
      </c>
      <c r="B177" s="189" t="s">
        <v>5</v>
      </c>
      <c r="C177" s="189" t="s">
        <v>376</v>
      </c>
      <c r="D177" s="189" t="s">
        <v>711</v>
      </c>
      <c r="E177" s="189" t="s">
        <v>290</v>
      </c>
      <c r="F177" s="191">
        <v>74481</v>
      </c>
      <c r="G177" s="191">
        <v>74481</v>
      </c>
      <c r="H177" s="143" t="str">
        <f t="shared" si="2"/>
        <v>01138020075190100</v>
      </c>
    </row>
    <row r="178" spans="1:8" ht="38.25" x14ac:dyDescent="0.2">
      <c r="A178" s="193" t="s">
        <v>1345</v>
      </c>
      <c r="B178" s="189" t="s">
        <v>5</v>
      </c>
      <c r="C178" s="189" t="s">
        <v>376</v>
      </c>
      <c r="D178" s="189" t="s">
        <v>711</v>
      </c>
      <c r="E178" s="189" t="s">
        <v>30</v>
      </c>
      <c r="F178" s="191">
        <v>74481</v>
      </c>
      <c r="G178" s="191">
        <v>74481</v>
      </c>
      <c r="H178" s="143" t="str">
        <f t="shared" si="2"/>
        <v>01138020075190120</v>
      </c>
    </row>
    <row r="179" spans="1:8" ht="25.5" x14ac:dyDescent="0.2">
      <c r="A179" s="200" t="s">
        <v>1010</v>
      </c>
      <c r="B179" s="189" t="s">
        <v>5</v>
      </c>
      <c r="C179" s="189" t="s">
        <v>376</v>
      </c>
      <c r="D179" s="189" t="s">
        <v>711</v>
      </c>
      <c r="E179" s="189" t="s">
        <v>363</v>
      </c>
      <c r="F179" s="191">
        <v>57205</v>
      </c>
      <c r="G179" s="191">
        <v>57205</v>
      </c>
      <c r="H179" s="143" t="str">
        <f t="shared" si="2"/>
        <v>01138020075190121</v>
      </c>
    </row>
    <row r="180" spans="1:8" ht="63.75" x14ac:dyDescent="0.2">
      <c r="A180" s="193" t="s">
        <v>1115</v>
      </c>
      <c r="B180" s="189" t="s">
        <v>5</v>
      </c>
      <c r="C180" s="189" t="s">
        <v>376</v>
      </c>
      <c r="D180" s="189" t="s">
        <v>711</v>
      </c>
      <c r="E180" s="189" t="s">
        <v>1116</v>
      </c>
      <c r="F180" s="191">
        <v>17276</v>
      </c>
      <c r="G180" s="191">
        <v>17276</v>
      </c>
      <c r="H180" s="143" t="str">
        <f t="shared" si="2"/>
        <v>01138020075190129</v>
      </c>
    </row>
    <row r="181" spans="1:8" ht="38.25" x14ac:dyDescent="0.2">
      <c r="A181" s="193" t="s">
        <v>1502</v>
      </c>
      <c r="B181" s="189" t="s">
        <v>5</v>
      </c>
      <c r="C181" s="189" t="s">
        <v>376</v>
      </c>
      <c r="D181" s="189" t="s">
        <v>711</v>
      </c>
      <c r="E181" s="189" t="s">
        <v>1503</v>
      </c>
      <c r="F181" s="191">
        <v>14619</v>
      </c>
      <c r="G181" s="191">
        <v>14619</v>
      </c>
      <c r="H181" s="143" t="str">
        <f t="shared" si="2"/>
        <v>01138020075190200</v>
      </c>
    </row>
    <row r="182" spans="1:8" ht="38.25" x14ac:dyDescent="0.2">
      <c r="A182" s="193" t="s">
        <v>1338</v>
      </c>
      <c r="B182" s="189" t="s">
        <v>5</v>
      </c>
      <c r="C182" s="189" t="s">
        <v>376</v>
      </c>
      <c r="D182" s="189" t="s">
        <v>711</v>
      </c>
      <c r="E182" s="189" t="s">
        <v>1339</v>
      </c>
      <c r="F182" s="191">
        <v>14619</v>
      </c>
      <c r="G182" s="191">
        <v>14619</v>
      </c>
      <c r="H182" s="143" t="str">
        <f t="shared" si="2"/>
        <v>01138020075190240</v>
      </c>
    </row>
    <row r="183" spans="1:8" x14ac:dyDescent="0.2">
      <c r="A183" s="193" t="s">
        <v>1379</v>
      </c>
      <c r="B183" s="189" t="s">
        <v>5</v>
      </c>
      <c r="C183" s="189" t="s">
        <v>376</v>
      </c>
      <c r="D183" s="189" t="s">
        <v>711</v>
      </c>
      <c r="E183" s="189" t="s">
        <v>368</v>
      </c>
      <c r="F183" s="191">
        <v>14619</v>
      </c>
      <c r="G183" s="191">
        <v>14619</v>
      </c>
      <c r="H183" s="143" t="str">
        <f t="shared" si="2"/>
        <v>01138020075190244</v>
      </c>
    </row>
    <row r="184" spans="1:8" ht="25.5" x14ac:dyDescent="0.2">
      <c r="A184" s="193" t="s">
        <v>648</v>
      </c>
      <c r="B184" s="189" t="s">
        <v>5</v>
      </c>
      <c r="C184" s="189" t="s">
        <v>376</v>
      </c>
      <c r="D184" s="189" t="s">
        <v>1072</v>
      </c>
      <c r="E184" s="189" t="s">
        <v>1314</v>
      </c>
      <c r="F184" s="191">
        <v>60000</v>
      </c>
      <c r="G184" s="191">
        <v>60000</v>
      </c>
      <c r="H184" s="143" t="str">
        <f t="shared" si="2"/>
        <v>01139000000000</v>
      </c>
    </row>
    <row r="185" spans="1:8" ht="63.75" x14ac:dyDescent="0.2">
      <c r="A185" s="193" t="s">
        <v>542</v>
      </c>
      <c r="B185" s="189" t="s">
        <v>5</v>
      </c>
      <c r="C185" s="189" t="s">
        <v>376</v>
      </c>
      <c r="D185" s="189" t="s">
        <v>1075</v>
      </c>
      <c r="E185" s="189" t="s">
        <v>1314</v>
      </c>
      <c r="F185" s="191">
        <v>60000</v>
      </c>
      <c r="G185" s="191">
        <v>60000</v>
      </c>
      <c r="H185" s="143" t="str">
        <f t="shared" si="2"/>
        <v>01139060000000</v>
      </c>
    </row>
    <row r="186" spans="1:8" ht="63.75" x14ac:dyDescent="0.2">
      <c r="A186" s="193" t="s">
        <v>542</v>
      </c>
      <c r="B186" s="189" t="s">
        <v>5</v>
      </c>
      <c r="C186" s="189" t="s">
        <v>376</v>
      </c>
      <c r="D186" s="189" t="s">
        <v>712</v>
      </c>
      <c r="E186" s="189" t="s">
        <v>1314</v>
      </c>
      <c r="F186" s="191">
        <v>60000</v>
      </c>
      <c r="G186" s="191">
        <v>60000</v>
      </c>
      <c r="H186" s="143" t="str">
        <f t="shared" si="2"/>
        <v>01139060080000</v>
      </c>
    </row>
    <row r="187" spans="1:8" ht="25.5" x14ac:dyDescent="0.2">
      <c r="A187" s="193" t="s">
        <v>1506</v>
      </c>
      <c r="B187" s="189" t="s">
        <v>5</v>
      </c>
      <c r="C187" s="189" t="s">
        <v>376</v>
      </c>
      <c r="D187" s="189" t="s">
        <v>712</v>
      </c>
      <c r="E187" s="189" t="s">
        <v>1507</v>
      </c>
      <c r="F187" s="191">
        <v>60000</v>
      </c>
      <c r="G187" s="191">
        <v>60000</v>
      </c>
      <c r="H187" s="143" t="str">
        <f t="shared" si="2"/>
        <v>01139060080000300</v>
      </c>
    </row>
    <row r="188" spans="1:8" ht="25.5" x14ac:dyDescent="0.2">
      <c r="A188" s="193" t="s">
        <v>378</v>
      </c>
      <c r="B188" s="189" t="s">
        <v>5</v>
      </c>
      <c r="C188" s="189" t="s">
        <v>376</v>
      </c>
      <c r="D188" s="189" t="s">
        <v>712</v>
      </c>
      <c r="E188" s="189" t="s">
        <v>379</v>
      </c>
      <c r="F188" s="191">
        <v>60000</v>
      </c>
      <c r="G188" s="191">
        <v>60000</v>
      </c>
      <c r="H188" s="143" t="str">
        <f t="shared" si="2"/>
        <v>01139060080000330</v>
      </c>
    </row>
    <row r="189" spans="1:8" ht="38.25" x14ac:dyDescent="0.2">
      <c r="A189" s="193" t="s">
        <v>254</v>
      </c>
      <c r="B189" s="189" t="s">
        <v>5</v>
      </c>
      <c r="C189" s="189" t="s">
        <v>1215</v>
      </c>
      <c r="D189" s="189" t="s">
        <v>1314</v>
      </c>
      <c r="E189" s="189" t="s">
        <v>1314</v>
      </c>
      <c r="F189" s="191">
        <v>4573063</v>
      </c>
      <c r="G189" s="191">
        <v>4573063</v>
      </c>
      <c r="H189" s="143" t="str">
        <f t="shared" si="2"/>
        <v>0300</v>
      </c>
    </row>
    <row r="190" spans="1:8" x14ac:dyDescent="0.2">
      <c r="A190" s="193" t="s">
        <v>2028</v>
      </c>
      <c r="B190" s="189" t="s">
        <v>5</v>
      </c>
      <c r="C190" s="189" t="s">
        <v>380</v>
      </c>
      <c r="D190" s="189" t="s">
        <v>1314</v>
      </c>
      <c r="E190" s="189" t="s">
        <v>1314</v>
      </c>
      <c r="F190" s="191">
        <v>4259557</v>
      </c>
      <c r="G190" s="191">
        <v>4259557</v>
      </c>
      <c r="H190" s="143" t="str">
        <f t="shared" si="2"/>
        <v>0309</v>
      </c>
    </row>
    <row r="191" spans="1:8" ht="51" x14ac:dyDescent="0.2">
      <c r="A191" s="193" t="s">
        <v>497</v>
      </c>
      <c r="B191" s="189" t="s">
        <v>5</v>
      </c>
      <c r="C191" s="189" t="s">
        <v>380</v>
      </c>
      <c r="D191" s="189" t="s">
        <v>1038</v>
      </c>
      <c r="E191" s="189" t="s">
        <v>1314</v>
      </c>
      <c r="F191" s="191">
        <v>4259557</v>
      </c>
      <c r="G191" s="191">
        <v>4259557</v>
      </c>
      <c r="H191" s="143" t="str">
        <f t="shared" si="2"/>
        <v>03090400000000</v>
      </c>
    </row>
    <row r="192" spans="1:8" ht="89.25" x14ac:dyDescent="0.2">
      <c r="A192" s="193" t="s">
        <v>498</v>
      </c>
      <c r="B192" s="189" t="s">
        <v>5</v>
      </c>
      <c r="C192" s="189" t="s">
        <v>380</v>
      </c>
      <c r="D192" s="189" t="s">
        <v>1039</v>
      </c>
      <c r="E192" s="189" t="s">
        <v>1314</v>
      </c>
      <c r="F192" s="191">
        <v>4259557</v>
      </c>
      <c r="G192" s="191">
        <v>4259557</v>
      </c>
      <c r="H192" s="143" t="str">
        <f t="shared" ref="H192:H243" si="3">CONCATENATE(C192,,D192,E192)</f>
        <v>03090410000000</v>
      </c>
    </row>
    <row r="193" spans="1:8" ht="165.75" x14ac:dyDescent="0.2">
      <c r="A193" s="193" t="s">
        <v>381</v>
      </c>
      <c r="B193" s="189" t="s">
        <v>5</v>
      </c>
      <c r="C193" s="189" t="s">
        <v>380</v>
      </c>
      <c r="D193" s="189" t="s">
        <v>713</v>
      </c>
      <c r="E193" s="189" t="s">
        <v>1314</v>
      </c>
      <c r="F193" s="191">
        <v>3325199</v>
      </c>
      <c r="G193" s="191">
        <v>3325199</v>
      </c>
      <c r="H193" s="143" t="str">
        <f t="shared" si="3"/>
        <v>03090410040010</v>
      </c>
    </row>
    <row r="194" spans="1:8" ht="76.5" x14ac:dyDescent="0.2">
      <c r="A194" s="193" t="s">
        <v>1501</v>
      </c>
      <c r="B194" s="189" t="s">
        <v>5</v>
      </c>
      <c r="C194" s="189" t="s">
        <v>380</v>
      </c>
      <c r="D194" s="189" t="s">
        <v>713</v>
      </c>
      <c r="E194" s="189" t="s">
        <v>290</v>
      </c>
      <c r="F194" s="191">
        <v>3265199</v>
      </c>
      <c r="G194" s="191">
        <v>3265199</v>
      </c>
      <c r="H194" s="143" t="str">
        <f t="shared" si="3"/>
        <v>03090410040010100</v>
      </c>
    </row>
    <row r="195" spans="1:8" ht="25.5" x14ac:dyDescent="0.2">
      <c r="A195" s="193" t="s">
        <v>1331</v>
      </c>
      <c r="B195" s="189" t="s">
        <v>5</v>
      </c>
      <c r="C195" s="189" t="s">
        <v>380</v>
      </c>
      <c r="D195" s="189" t="s">
        <v>713</v>
      </c>
      <c r="E195" s="189" t="s">
        <v>140</v>
      </c>
      <c r="F195" s="191">
        <v>3265199</v>
      </c>
      <c r="G195" s="191">
        <v>3265199</v>
      </c>
      <c r="H195" s="143" t="str">
        <f t="shared" si="3"/>
        <v>03090410040010110</v>
      </c>
    </row>
    <row r="196" spans="1:8" x14ac:dyDescent="0.2">
      <c r="A196" s="193" t="s">
        <v>1216</v>
      </c>
      <c r="B196" s="189" t="s">
        <v>5</v>
      </c>
      <c r="C196" s="189" t="s">
        <v>380</v>
      </c>
      <c r="D196" s="189" t="s">
        <v>713</v>
      </c>
      <c r="E196" s="189" t="s">
        <v>382</v>
      </c>
      <c r="F196" s="191">
        <v>2507833</v>
      </c>
      <c r="G196" s="191">
        <v>2507833</v>
      </c>
      <c r="H196" s="143" t="str">
        <f t="shared" si="3"/>
        <v>03090410040010111</v>
      </c>
    </row>
    <row r="197" spans="1:8" ht="51" x14ac:dyDescent="0.2">
      <c r="A197" s="193" t="s">
        <v>1217</v>
      </c>
      <c r="B197" s="189" t="s">
        <v>5</v>
      </c>
      <c r="C197" s="189" t="s">
        <v>380</v>
      </c>
      <c r="D197" s="189" t="s">
        <v>713</v>
      </c>
      <c r="E197" s="189" t="s">
        <v>1117</v>
      </c>
      <c r="F197" s="191">
        <v>757366</v>
      </c>
      <c r="G197" s="191">
        <v>757366</v>
      </c>
      <c r="H197" s="143" t="str">
        <f t="shared" si="3"/>
        <v>03090410040010119</v>
      </c>
    </row>
    <row r="198" spans="1:8" ht="38.25" x14ac:dyDescent="0.2">
      <c r="A198" s="193" t="s">
        <v>1502</v>
      </c>
      <c r="B198" s="189" t="s">
        <v>5</v>
      </c>
      <c r="C198" s="189" t="s">
        <v>380</v>
      </c>
      <c r="D198" s="189" t="s">
        <v>713</v>
      </c>
      <c r="E198" s="189" t="s">
        <v>1503</v>
      </c>
      <c r="F198" s="191">
        <v>60000</v>
      </c>
      <c r="G198" s="191">
        <v>60000</v>
      </c>
      <c r="H198" s="143" t="str">
        <f t="shared" si="3"/>
        <v>03090410040010200</v>
      </c>
    </row>
    <row r="199" spans="1:8" ht="38.25" x14ac:dyDescent="0.2">
      <c r="A199" s="193" t="s">
        <v>1338</v>
      </c>
      <c r="B199" s="189" t="s">
        <v>5</v>
      </c>
      <c r="C199" s="189" t="s">
        <v>380</v>
      </c>
      <c r="D199" s="189" t="s">
        <v>713</v>
      </c>
      <c r="E199" s="189" t="s">
        <v>1339</v>
      </c>
      <c r="F199" s="191">
        <v>60000</v>
      </c>
      <c r="G199" s="191">
        <v>60000</v>
      </c>
      <c r="H199" s="143" t="str">
        <f t="shared" si="3"/>
        <v>03090410040010240</v>
      </c>
    </row>
    <row r="200" spans="1:8" x14ac:dyDescent="0.2">
      <c r="A200" s="193" t="s">
        <v>1379</v>
      </c>
      <c r="B200" s="189" t="s">
        <v>5</v>
      </c>
      <c r="C200" s="189" t="s">
        <v>380</v>
      </c>
      <c r="D200" s="189" t="s">
        <v>713</v>
      </c>
      <c r="E200" s="189" t="s">
        <v>368</v>
      </c>
      <c r="F200" s="191">
        <v>60000</v>
      </c>
      <c r="G200" s="191">
        <v>60000</v>
      </c>
      <c r="H200" s="143" t="str">
        <f t="shared" si="3"/>
        <v>03090410040010244</v>
      </c>
    </row>
    <row r="201" spans="1:8" ht="204" x14ac:dyDescent="0.2">
      <c r="A201" s="193" t="s">
        <v>674</v>
      </c>
      <c r="B201" s="189" t="s">
        <v>5</v>
      </c>
      <c r="C201" s="189" t="s">
        <v>380</v>
      </c>
      <c r="D201" s="189" t="s">
        <v>714</v>
      </c>
      <c r="E201" s="189" t="s">
        <v>1314</v>
      </c>
      <c r="F201" s="191">
        <v>542218</v>
      </c>
      <c r="G201" s="191">
        <v>542218</v>
      </c>
      <c r="H201" s="143" t="str">
        <f t="shared" si="3"/>
        <v>03090410041010</v>
      </c>
    </row>
    <row r="202" spans="1:8" ht="76.5" x14ac:dyDescent="0.2">
      <c r="A202" s="193" t="s">
        <v>1501</v>
      </c>
      <c r="B202" s="189" t="s">
        <v>5</v>
      </c>
      <c r="C202" s="189" t="s">
        <v>380</v>
      </c>
      <c r="D202" s="189" t="s">
        <v>714</v>
      </c>
      <c r="E202" s="189" t="s">
        <v>290</v>
      </c>
      <c r="F202" s="191">
        <v>542218</v>
      </c>
      <c r="G202" s="191">
        <v>542218</v>
      </c>
      <c r="H202" s="143" t="str">
        <f t="shared" si="3"/>
        <v>03090410041010100</v>
      </c>
    </row>
    <row r="203" spans="1:8" ht="25.5" x14ac:dyDescent="0.2">
      <c r="A203" s="200" t="s">
        <v>1331</v>
      </c>
      <c r="B203" s="189" t="s">
        <v>5</v>
      </c>
      <c r="C203" s="189" t="s">
        <v>380</v>
      </c>
      <c r="D203" s="189" t="s">
        <v>714</v>
      </c>
      <c r="E203" s="189" t="s">
        <v>140</v>
      </c>
      <c r="F203" s="191">
        <v>542218</v>
      </c>
      <c r="G203" s="191">
        <v>542218</v>
      </c>
      <c r="H203" s="143" t="str">
        <f t="shared" si="3"/>
        <v>03090410041010110</v>
      </c>
    </row>
    <row r="204" spans="1:8" x14ac:dyDescent="0.2">
      <c r="A204" s="193" t="s">
        <v>1216</v>
      </c>
      <c r="B204" s="189" t="s">
        <v>5</v>
      </c>
      <c r="C204" s="189" t="s">
        <v>380</v>
      </c>
      <c r="D204" s="189" t="s">
        <v>714</v>
      </c>
      <c r="E204" s="189" t="s">
        <v>382</v>
      </c>
      <c r="F204" s="191">
        <v>416450</v>
      </c>
      <c r="G204" s="191">
        <v>416450</v>
      </c>
      <c r="H204" s="143" t="str">
        <f t="shared" si="3"/>
        <v>03090410041010111</v>
      </c>
    </row>
    <row r="205" spans="1:8" ht="51" x14ac:dyDescent="0.2">
      <c r="A205" s="200" t="s">
        <v>1217</v>
      </c>
      <c r="B205" s="189" t="s">
        <v>5</v>
      </c>
      <c r="C205" s="189" t="s">
        <v>380</v>
      </c>
      <c r="D205" s="189" t="s">
        <v>714</v>
      </c>
      <c r="E205" s="189" t="s">
        <v>1117</v>
      </c>
      <c r="F205" s="191">
        <v>125768</v>
      </c>
      <c r="G205" s="191">
        <v>125768</v>
      </c>
      <c r="H205" s="143" t="str">
        <f t="shared" si="3"/>
        <v>03090410041010119</v>
      </c>
    </row>
    <row r="206" spans="1:8" ht="191.25" x14ac:dyDescent="0.2">
      <c r="A206" s="193" t="s">
        <v>2029</v>
      </c>
      <c r="B206" s="189" t="s">
        <v>5</v>
      </c>
      <c r="C206" s="189" t="s">
        <v>380</v>
      </c>
      <c r="D206" s="189" t="s">
        <v>2030</v>
      </c>
      <c r="E206" s="189" t="s">
        <v>1314</v>
      </c>
      <c r="F206" s="191">
        <v>80000</v>
      </c>
      <c r="G206" s="191">
        <v>80000</v>
      </c>
      <c r="H206" s="143" t="str">
        <f t="shared" si="3"/>
        <v>0309041004Ф010</v>
      </c>
    </row>
    <row r="207" spans="1:8" ht="38.25" x14ac:dyDescent="0.2">
      <c r="A207" s="193" t="s">
        <v>1502</v>
      </c>
      <c r="B207" s="189" t="s">
        <v>5</v>
      </c>
      <c r="C207" s="189" t="s">
        <v>380</v>
      </c>
      <c r="D207" s="189" t="s">
        <v>2030</v>
      </c>
      <c r="E207" s="189" t="s">
        <v>1503</v>
      </c>
      <c r="F207" s="191">
        <v>80000</v>
      </c>
      <c r="G207" s="191">
        <v>80000</v>
      </c>
      <c r="H207" s="143" t="str">
        <f t="shared" si="3"/>
        <v>0309041004Ф010200</v>
      </c>
    </row>
    <row r="208" spans="1:8" ht="38.25" x14ac:dyDescent="0.2">
      <c r="A208" s="193" t="s">
        <v>1338</v>
      </c>
      <c r="B208" s="189" t="s">
        <v>5</v>
      </c>
      <c r="C208" s="189" t="s">
        <v>380</v>
      </c>
      <c r="D208" s="189" t="s">
        <v>2030</v>
      </c>
      <c r="E208" s="189" t="s">
        <v>1339</v>
      </c>
      <c r="F208" s="191">
        <v>80000</v>
      </c>
      <c r="G208" s="191">
        <v>80000</v>
      </c>
      <c r="H208" s="143" t="str">
        <f t="shared" si="3"/>
        <v>0309041004Ф010240</v>
      </c>
    </row>
    <row r="209" spans="1:8" x14ac:dyDescent="0.2">
      <c r="A209" s="200" t="s">
        <v>1379</v>
      </c>
      <c r="B209" s="189" t="s">
        <v>5</v>
      </c>
      <c r="C209" s="189" t="s">
        <v>380</v>
      </c>
      <c r="D209" s="189" t="s">
        <v>2030</v>
      </c>
      <c r="E209" s="189" t="s">
        <v>368</v>
      </c>
      <c r="F209" s="191">
        <v>80000</v>
      </c>
      <c r="G209" s="191">
        <v>80000</v>
      </c>
      <c r="H209" s="143" t="str">
        <f t="shared" si="3"/>
        <v>0309041004Ф010244</v>
      </c>
    </row>
    <row r="210" spans="1:8" ht="153" x14ac:dyDescent="0.2">
      <c r="A210" s="193" t="s">
        <v>391</v>
      </c>
      <c r="B210" s="189" t="s">
        <v>5</v>
      </c>
      <c r="C210" s="189" t="s">
        <v>380</v>
      </c>
      <c r="D210" s="189" t="s">
        <v>2031</v>
      </c>
      <c r="E210" s="189" t="s">
        <v>1314</v>
      </c>
      <c r="F210" s="191">
        <v>22000</v>
      </c>
      <c r="G210" s="191">
        <v>22000</v>
      </c>
      <c r="H210" s="143" t="str">
        <f t="shared" si="3"/>
        <v>03090410080000</v>
      </c>
    </row>
    <row r="211" spans="1:8" ht="38.25" x14ac:dyDescent="0.2">
      <c r="A211" s="193" t="s">
        <v>1502</v>
      </c>
      <c r="B211" s="189" t="s">
        <v>5</v>
      </c>
      <c r="C211" s="189" t="s">
        <v>380</v>
      </c>
      <c r="D211" s="189" t="s">
        <v>2031</v>
      </c>
      <c r="E211" s="189" t="s">
        <v>1503</v>
      </c>
      <c r="F211" s="191">
        <v>22000</v>
      </c>
      <c r="G211" s="191">
        <v>22000</v>
      </c>
      <c r="H211" s="143" t="str">
        <f t="shared" si="3"/>
        <v>03090410080000200</v>
      </c>
    </row>
    <row r="212" spans="1:8" ht="38.25" x14ac:dyDescent="0.2">
      <c r="A212" s="193" t="s">
        <v>1338</v>
      </c>
      <c r="B212" s="189" t="s">
        <v>5</v>
      </c>
      <c r="C212" s="189" t="s">
        <v>380</v>
      </c>
      <c r="D212" s="189" t="s">
        <v>2031</v>
      </c>
      <c r="E212" s="189" t="s">
        <v>1339</v>
      </c>
      <c r="F212" s="191">
        <v>22000</v>
      </c>
      <c r="G212" s="191">
        <v>22000</v>
      </c>
      <c r="H212" s="143" t="str">
        <f t="shared" si="3"/>
        <v>03090410080000240</v>
      </c>
    </row>
    <row r="213" spans="1:8" x14ac:dyDescent="0.2">
      <c r="A213" s="193" t="s">
        <v>1379</v>
      </c>
      <c r="B213" s="189" t="s">
        <v>5</v>
      </c>
      <c r="C213" s="189" t="s">
        <v>380</v>
      </c>
      <c r="D213" s="189" t="s">
        <v>2031</v>
      </c>
      <c r="E213" s="189" t="s">
        <v>368</v>
      </c>
      <c r="F213" s="191">
        <v>22000</v>
      </c>
      <c r="G213" s="191">
        <v>22000</v>
      </c>
      <c r="H213" s="143" t="str">
        <f t="shared" si="3"/>
        <v>03090410080000244</v>
      </c>
    </row>
    <row r="214" spans="1:8" ht="178.5" x14ac:dyDescent="0.2">
      <c r="A214" s="193" t="s">
        <v>1936</v>
      </c>
      <c r="B214" s="189" t="s">
        <v>5</v>
      </c>
      <c r="C214" s="189" t="s">
        <v>380</v>
      </c>
      <c r="D214" s="189" t="s">
        <v>1937</v>
      </c>
      <c r="E214" s="189" t="s">
        <v>1314</v>
      </c>
      <c r="F214" s="191">
        <v>150000</v>
      </c>
      <c r="G214" s="191">
        <v>150000</v>
      </c>
      <c r="H214" s="143" t="str">
        <f t="shared" si="3"/>
        <v>03090410080090</v>
      </c>
    </row>
    <row r="215" spans="1:8" ht="38.25" x14ac:dyDescent="0.2">
      <c r="A215" s="193" t="s">
        <v>1502</v>
      </c>
      <c r="B215" s="189" t="s">
        <v>5</v>
      </c>
      <c r="C215" s="189" t="s">
        <v>380</v>
      </c>
      <c r="D215" s="189" t="s">
        <v>1937</v>
      </c>
      <c r="E215" s="189" t="s">
        <v>1503</v>
      </c>
      <c r="F215" s="191">
        <v>150000</v>
      </c>
      <c r="G215" s="191">
        <v>150000</v>
      </c>
      <c r="H215" s="143" t="str">
        <f t="shared" si="3"/>
        <v>03090410080090200</v>
      </c>
    </row>
    <row r="216" spans="1:8" ht="38.25" x14ac:dyDescent="0.2">
      <c r="A216" s="193" t="s">
        <v>1338</v>
      </c>
      <c r="B216" s="189" t="s">
        <v>5</v>
      </c>
      <c r="C216" s="189" t="s">
        <v>380</v>
      </c>
      <c r="D216" s="189" t="s">
        <v>1937</v>
      </c>
      <c r="E216" s="189" t="s">
        <v>1339</v>
      </c>
      <c r="F216" s="191">
        <v>150000</v>
      </c>
      <c r="G216" s="191">
        <v>150000</v>
      </c>
      <c r="H216" s="143" t="str">
        <f t="shared" si="3"/>
        <v>03090410080090240</v>
      </c>
    </row>
    <row r="217" spans="1:8" x14ac:dyDescent="0.2">
      <c r="A217" s="200" t="s">
        <v>1379</v>
      </c>
      <c r="B217" s="189" t="s">
        <v>5</v>
      </c>
      <c r="C217" s="189" t="s">
        <v>380</v>
      </c>
      <c r="D217" s="189" t="s">
        <v>1937</v>
      </c>
      <c r="E217" s="189" t="s">
        <v>368</v>
      </c>
      <c r="F217" s="191">
        <v>150000</v>
      </c>
      <c r="G217" s="191">
        <v>150000</v>
      </c>
      <c r="H217" s="143" t="str">
        <f t="shared" si="3"/>
        <v>03090410080090244</v>
      </c>
    </row>
    <row r="218" spans="1:8" ht="191.25" x14ac:dyDescent="0.2">
      <c r="A218" s="193" t="s">
        <v>1745</v>
      </c>
      <c r="B218" s="189" t="s">
        <v>5</v>
      </c>
      <c r="C218" s="189" t="s">
        <v>380</v>
      </c>
      <c r="D218" s="189" t="s">
        <v>1528</v>
      </c>
      <c r="E218" s="189" t="s">
        <v>1314</v>
      </c>
      <c r="F218" s="191">
        <v>140140</v>
      </c>
      <c r="G218" s="191">
        <v>140140</v>
      </c>
      <c r="H218" s="143" t="str">
        <f t="shared" si="3"/>
        <v>030904100S4130</v>
      </c>
    </row>
    <row r="219" spans="1:8" ht="38.25" x14ac:dyDescent="0.2">
      <c r="A219" s="200" t="s">
        <v>1502</v>
      </c>
      <c r="B219" s="189" t="s">
        <v>5</v>
      </c>
      <c r="C219" s="189" t="s">
        <v>380</v>
      </c>
      <c r="D219" s="189" t="s">
        <v>1528</v>
      </c>
      <c r="E219" s="189" t="s">
        <v>1503</v>
      </c>
      <c r="F219" s="191">
        <v>140140</v>
      </c>
      <c r="G219" s="191">
        <v>140140</v>
      </c>
      <c r="H219" s="143" t="str">
        <f t="shared" si="3"/>
        <v>030904100S4130200</v>
      </c>
    </row>
    <row r="220" spans="1:8" ht="38.25" x14ac:dyDescent="0.2">
      <c r="A220" s="193" t="s">
        <v>1338</v>
      </c>
      <c r="B220" s="189" t="s">
        <v>5</v>
      </c>
      <c r="C220" s="189" t="s">
        <v>380</v>
      </c>
      <c r="D220" s="189" t="s">
        <v>1528</v>
      </c>
      <c r="E220" s="189" t="s">
        <v>1339</v>
      </c>
      <c r="F220" s="191">
        <v>140140</v>
      </c>
      <c r="G220" s="191">
        <v>140140</v>
      </c>
      <c r="H220" s="143" t="str">
        <f t="shared" si="3"/>
        <v>030904100S4130240</v>
      </c>
    </row>
    <row r="221" spans="1:8" x14ac:dyDescent="0.2">
      <c r="A221" s="193" t="s">
        <v>1379</v>
      </c>
      <c r="B221" s="189" t="s">
        <v>5</v>
      </c>
      <c r="C221" s="189" t="s">
        <v>380</v>
      </c>
      <c r="D221" s="189" t="s">
        <v>1528</v>
      </c>
      <c r="E221" s="189" t="s">
        <v>368</v>
      </c>
      <c r="F221" s="191">
        <v>140140</v>
      </c>
      <c r="G221" s="191">
        <v>140140</v>
      </c>
      <c r="H221" s="143" t="str">
        <f t="shared" si="3"/>
        <v>030904100S4130244</v>
      </c>
    </row>
    <row r="222" spans="1:8" ht="51" x14ac:dyDescent="0.2">
      <c r="A222" s="193" t="s">
        <v>2032</v>
      </c>
      <c r="B222" s="189" t="s">
        <v>5</v>
      </c>
      <c r="C222" s="189" t="s">
        <v>385</v>
      </c>
      <c r="D222" s="189" t="s">
        <v>1314</v>
      </c>
      <c r="E222" s="189" t="s">
        <v>1314</v>
      </c>
      <c r="F222" s="191">
        <v>313506</v>
      </c>
      <c r="G222" s="191">
        <v>313506</v>
      </c>
      <c r="H222" s="143" t="str">
        <f t="shared" si="3"/>
        <v>0310</v>
      </c>
    </row>
    <row r="223" spans="1:8" ht="51" x14ac:dyDescent="0.2">
      <c r="A223" s="193" t="s">
        <v>497</v>
      </c>
      <c r="B223" s="189" t="s">
        <v>5</v>
      </c>
      <c r="C223" s="189" t="s">
        <v>385</v>
      </c>
      <c r="D223" s="189" t="s">
        <v>1038</v>
      </c>
      <c r="E223" s="189" t="s">
        <v>1314</v>
      </c>
      <c r="F223" s="191">
        <v>313506</v>
      </c>
      <c r="G223" s="191">
        <v>313506</v>
      </c>
      <c r="H223" s="143" t="str">
        <f t="shared" si="3"/>
        <v>03100400000000</v>
      </c>
    </row>
    <row r="224" spans="1:8" ht="25.5" x14ac:dyDescent="0.2">
      <c r="A224" s="193" t="s">
        <v>500</v>
      </c>
      <c r="B224" s="189" t="s">
        <v>5</v>
      </c>
      <c r="C224" s="189" t="s">
        <v>385</v>
      </c>
      <c r="D224" s="189" t="s">
        <v>1040</v>
      </c>
      <c r="E224" s="189" t="s">
        <v>1314</v>
      </c>
      <c r="F224" s="191">
        <v>313506</v>
      </c>
      <c r="G224" s="191">
        <v>313506</v>
      </c>
      <c r="H224" s="143" t="str">
        <f t="shared" si="3"/>
        <v>03100420000000</v>
      </c>
    </row>
    <row r="225" spans="1:8" ht="127.5" x14ac:dyDescent="0.2">
      <c r="A225" s="193" t="s">
        <v>389</v>
      </c>
      <c r="B225" s="189" t="s">
        <v>5</v>
      </c>
      <c r="C225" s="189" t="s">
        <v>385</v>
      </c>
      <c r="D225" s="189" t="s">
        <v>718</v>
      </c>
      <c r="E225" s="189" t="s">
        <v>1314</v>
      </c>
      <c r="F225" s="191">
        <v>150000</v>
      </c>
      <c r="G225" s="191">
        <v>150000</v>
      </c>
      <c r="H225" s="143" t="str">
        <f t="shared" si="3"/>
        <v>03100420080020</v>
      </c>
    </row>
    <row r="226" spans="1:8" ht="38.25" x14ac:dyDescent="0.2">
      <c r="A226" s="193" t="s">
        <v>1502</v>
      </c>
      <c r="B226" s="189" t="s">
        <v>5</v>
      </c>
      <c r="C226" s="189" t="s">
        <v>385</v>
      </c>
      <c r="D226" s="189" t="s">
        <v>718</v>
      </c>
      <c r="E226" s="189" t="s">
        <v>1503</v>
      </c>
      <c r="F226" s="191">
        <v>150000</v>
      </c>
      <c r="G226" s="191">
        <v>150000</v>
      </c>
      <c r="H226" s="143" t="str">
        <f t="shared" si="3"/>
        <v>03100420080020200</v>
      </c>
    </row>
    <row r="227" spans="1:8" ht="38.25" x14ac:dyDescent="0.2">
      <c r="A227" s="193" t="s">
        <v>1338</v>
      </c>
      <c r="B227" s="189" t="s">
        <v>5</v>
      </c>
      <c r="C227" s="189" t="s">
        <v>385</v>
      </c>
      <c r="D227" s="189" t="s">
        <v>718</v>
      </c>
      <c r="E227" s="189" t="s">
        <v>1339</v>
      </c>
      <c r="F227" s="191">
        <v>150000</v>
      </c>
      <c r="G227" s="191">
        <v>150000</v>
      </c>
      <c r="H227" s="143" t="str">
        <f t="shared" si="3"/>
        <v>03100420080020240</v>
      </c>
    </row>
    <row r="228" spans="1:8" x14ac:dyDescent="0.2">
      <c r="A228" s="200" t="s">
        <v>1379</v>
      </c>
      <c r="B228" s="189" t="s">
        <v>5</v>
      </c>
      <c r="C228" s="189" t="s">
        <v>385</v>
      </c>
      <c r="D228" s="189" t="s">
        <v>718</v>
      </c>
      <c r="E228" s="189" t="s">
        <v>368</v>
      </c>
      <c r="F228" s="191">
        <v>150000</v>
      </c>
      <c r="G228" s="191">
        <v>150000</v>
      </c>
      <c r="H228" s="143" t="str">
        <f t="shared" si="3"/>
        <v>03100420080020244</v>
      </c>
    </row>
    <row r="229" spans="1:8" ht="114.75" x14ac:dyDescent="0.2">
      <c r="A229" s="193" t="s">
        <v>390</v>
      </c>
      <c r="B229" s="189" t="s">
        <v>5</v>
      </c>
      <c r="C229" s="189" t="s">
        <v>385</v>
      </c>
      <c r="D229" s="189" t="s">
        <v>719</v>
      </c>
      <c r="E229" s="189" t="s">
        <v>1314</v>
      </c>
      <c r="F229" s="191">
        <v>30500</v>
      </c>
      <c r="G229" s="191">
        <v>30500</v>
      </c>
      <c r="H229" s="143" t="str">
        <f t="shared" si="3"/>
        <v>03100420080030</v>
      </c>
    </row>
    <row r="230" spans="1:8" ht="38.25" x14ac:dyDescent="0.2">
      <c r="A230" s="200" t="s">
        <v>1502</v>
      </c>
      <c r="B230" s="189" t="s">
        <v>5</v>
      </c>
      <c r="C230" s="189" t="s">
        <v>385</v>
      </c>
      <c r="D230" s="189" t="s">
        <v>719</v>
      </c>
      <c r="E230" s="189" t="s">
        <v>1503</v>
      </c>
      <c r="F230" s="191">
        <v>30500</v>
      </c>
      <c r="G230" s="191">
        <v>30500</v>
      </c>
      <c r="H230" s="143" t="str">
        <f t="shared" si="3"/>
        <v>03100420080030200</v>
      </c>
    </row>
    <row r="231" spans="1:8" ht="38.25" x14ac:dyDescent="0.2">
      <c r="A231" s="193" t="s">
        <v>1338</v>
      </c>
      <c r="B231" s="189" t="s">
        <v>5</v>
      </c>
      <c r="C231" s="189" t="s">
        <v>385</v>
      </c>
      <c r="D231" s="189" t="s">
        <v>719</v>
      </c>
      <c r="E231" s="189" t="s">
        <v>1339</v>
      </c>
      <c r="F231" s="191">
        <v>30500</v>
      </c>
      <c r="G231" s="191">
        <v>30500</v>
      </c>
      <c r="H231" s="143" t="str">
        <f t="shared" si="3"/>
        <v>03100420080030240</v>
      </c>
    </row>
    <row r="232" spans="1:8" x14ac:dyDescent="0.2">
      <c r="A232" s="200" t="s">
        <v>1379</v>
      </c>
      <c r="B232" s="189" t="s">
        <v>5</v>
      </c>
      <c r="C232" s="189" t="s">
        <v>385</v>
      </c>
      <c r="D232" s="189" t="s">
        <v>719</v>
      </c>
      <c r="E232" s="189" t="s">
        <v>368</v>
      </c>
      <c r="F232" s="191">
        <v>30500</v>
      </c>
      <c r="G232" s="191">
        <v>30500</v>
      </c>
      <c r="H232" s="143" t="str">
        <f t="shared" si="3"/>
        <v>03100420080030244</v>
      </c>
    </row>
    <row r="233" spans="1:8" ht="140.25" x14ac:dyDescent="0.2">
      <c r="A233" s="193" t="s">
        <v>2033</v>
      </c>
      <c r="B233" s="189" t="s">
        <v>5</v>
      </c>
      <c r="C233" s="189" t="s">
        <v>385</v>
      </c>
      <c r="D233" s="189" t="s">
        <v>2034</v>
      </c>
      <c r="E233" s="189" t="s">
        <v>1314</v>
      </c>
      <c r="F233" s="191">
        <v>124000</v>
      </c>
      <c r="G233" s="191">
        <v>124000</v>
      </c>
      <c r="H233" s="143" t="str">
        <f t="shared" si="3"/>
        <v>0310042008Ф030</v>
      </c>
    </row>
    <row r="234" spans="1:8" ht="38.25" x14ac:dyDescent="0.2">
      <c r="A234" s="193" t="s">
        <v>1502</v>
      </c>
      <c r="B234" s="189" t="s">
        <v>5</v>
      </c>
      <c r="C234" s="189" t="s">
        <v>385</v>
      </c>
      <c r="D234" s="189" t="s">
        <v>2034</v>
      </c>
      <c r="E234" s="189" t="s">
        <v>1503</v>
      </c>
      <c r="F234" s="191">
        <v>124000</v>
      </c>
      <c r="G234" s="191">
        <v>124000</v>
      </c>
      <c r="H234" s="143" t="str">
        <f t="shared" si="3"/>
        <v>0310042008Ф030200</v>
      </c>
    </row>
    <row r="235" spans="1:8" ht="38.25" x14ac:dyDescent="0.2">
      <c r="A235" s="193" t="s">
        <v>1338</v>
      </c>
      <c r="B235" s="189" t="s">
        <v>5</v>
      </c>
      <c r="C235" s="189" t="s">
        <v>385</v>
      </c>
      <c r="D235" s="189" t="s">
        <v>2034</v>
      </c>
      <c r="E235" s="189" t="s">
        <v>1339</v>
      </c>
      <c r="F235" s="191">
        <v>124000</v>
      </c>
      <c r="G235" s="191">
        <v>124000</v>
      </c>
      <c r="H235" s="143" t="str">
        <f t="shared" si="3"/>
        <v>0310042008Ф030240</v>
      </c>
    </row>
    <row r="236" spans="1:8" x14ac:dyDescent="0.2">
      <c r="A236" s="200" t="s">
        <v>1379</v>
      </c>
      <c r="B236" s="189" t="s">
        <v>5</v>
      </c>
      <c r="C236" s="189" t="s">
        <v>385</v>
      </c>
      <c r="D236" s="189" t="s">
        <v>2034</v>
      </c>
      <c r="E236" s="189" t="s">
        <v>368</v>
      </c>
      <c r="F236" s="191">
        <v>124000</v>
      </c>
      <c r="G236" s="191">
        <v>124000</v>
      </c>
      <c r="H236" s="143" t="str">
        <f t="shared" si="3"/>
        <v>0310042008Ф030244</v>
      </c>
    </row>
    <row r="237" spans="1:8" ht="102" x14ac:dyDescent="0.2">
      <c r="A237" s="193" t="s">
        <v>1677</v>
      </c>
      <c r="B237" s="189" t="s">
        <v>5</v>
      </c>
      <c r="C237" s="189" t="s">
        <v>385</v>
      </c>
      <c r="D237" s="189" t="s">
        <v>1678</v>
      </c>
      <c r="E237" s="189" t="s">
        <v>1314</v>
      </c>
      <c r="F237" s="191">
        <v>9006</v>
      </c>
      <c r="G237" s="191">
        <v>9006</v>
      </c>
      <c r="H237" s="143" t="str">
        <f t="shared" si="3"/>
        <v>031004200S4121</v>
      </c>
    </row>
    <row r="238" spans="1:8" ht="38.25" x14ac:dyDescent="0.2">
      <c r="A238" s="193" t="s">
        <v>1502</v>
      </c>
      <c r="B238" s="189" t="s">
        <v>5</v>
      </c>
      <c r="C238" s="189" t="s">
        <v>385</v>
      </c>
      <c r="D238" s="189" t="s">
        <v>1678</v>
      </c>
      <c r="E238" s="189" t="s">
        <v>1503</v>
      </c>
      <c r="F238" s="191">
        <v>9006</v>
      </c>
      <c r="G238" s="191">
        <v>9006</v>
      </c>
      <c r="H238" s="143" t="str">
        <f t="shared" si="3"/>
        <v>031004200S4121200</v>
      </c>
    </row>
    <row r="239" spans="1:8" ht="38.25" x14ac:dyDescent="0.2">
      <c r="A239" s="193" t="s">
        <v>1338</v>
      </c>
      <c r="B239" s="189" t="s">
        <v>5</v>
      </c>
      <c r="C239" s="189" t="s">
        <v>385</v>
      </c>
      <c r="D239" s="189" t="s">
        <v>1678</v>
      </c>
      <c r="E239" s="189" t="s">
        <v>1339</v>
      </c>
      <c r="F239" s="191">
        <v>9006</v>
      </c>
      <c r="G239" s="191">
        <v>9006</v>
      </c>
      <c r="H239" s="143" t="str">
        <f t="shared" si="3"/>
        <v>031004200S4121240</v>
      </c>
    </row>
    <row r="240" spans="1:8" x14ac:dyDescent="0.2">
      <c r="A240" s="193" t="s">
        <v>1379</v>
      </c>
      <c r="B240" s="189" t="s">
        <v>5</v>
      </c>
      <c r="C240" s="189" t="s">
        <v>385</v>
      </c>
      <c r="D240" s="189" t="s">
        <v>1678</v>
      </c>
      <c r="E240" s="189" t="s">
        <v>368</v>
      </c>
      <c r="F240" s="191">
        <v>9006</v>
      </c>
      <c r="G240" s="191">
        <v>9006</v>
      </c>
      <c r="H240" s="143" t="str">
        <f t="shared" si="3"/>
        <v>031004200S4121244</v>
      </c>
    </row>
    <row r="241" spans="1:8" x14ac:dyDescent="0.2">
      <c r="A241" s="193" t="s">
        <v>190</v>
      </c>
      <c r="B241" s="189" t="s">
        <v>5</v>
      </c>
      <c r="C241" s="189" t="s">
        <v>1218</v>
      </c>
      <c r="D241" s="189" t="s">
        <v>1314</v>
      </c>
      <c r="E241" s="189" t="s">
        <v>1314</v>
      </c>
      <c r="F241" s="191">
        <v>35550900</v>
      </c>
      <c r="G241" s="191">
        <v>35557900</v>
      </c>
      <c r="H241" s="143" t="str">
        <f t="shared" si="3"/>
        <v>0400</v>
      </c>
    </row>
    <row r="242" spans="1:8" x14ac:dyDescent="0.2">
      <c r="A242" s="193" t="s">
        <v>191</v>
      </c>
      <c r="B242" s="189" t="s">
        <v>5</v>
      </c>
      <c r="C242" s="189" t="s">
        <v>392</v>
      </c>
      <c r="D242" s="189" t="s">
        <v>1314</v>
      </c>
      <c r="E242" s="189" t="s">
        <v>1314</v>
      </c>
      <c r="F242" s="191">
        <v>1761700</v>
      </c>
      <c r="G242" s="191">
        <v>1768600</v>
      </c>
      <c r="H242" s="143" t="str">
        <f t="shared" si="3"/>
        <v>0405</v>
      </c>
    </row>
    <row r="243" spans="1:8" ht="38.25" x14ac:dyDescent="0.2">
      <c r="A243" s="193" t="s">
        <v>534</v>
      </c>
      <c r="B243" s="189" t="s">
        <v>5</v>
      </c>
      <c r="C243" s="189" t="s">
        <v>392</v>
      </c>
      <c r="D243" s="189" t="s">
        <v>1063</v>
      </c>
      <c r="E243" s="189" t="s">
        <v>1314</v>
      </c>
      <c r="F243" s="191">
        <v>1761700</v>
      </c>
      <c r="G243" s="191">
        <v>1768600</v>
      </c>
      <c r="H243" s="143" t="str">
        <f t="shared" si="3"/>
        <v>04051200000000</v>
      </c>
    </row>
    <row r="244" spans="1:8" ht="25.5" x14ac:dyDescent="0.2">
      <c r="A244" s="193" t="s">
        <v>535</v>
      </c>
      <c r="B244" s="189" t="s">
        <v>5</v>
      </c>
      <c r="C244" s="189" t="s">
        <v>392</v>
      </c>
      <c r="D244" s="189" t="s">
        <v>1064</v>
      </c>
      <c r="E244" s="189" t="s">
        <v>1314</v>
      </c>
      <c r="F244" s="191">
        <v>22300</v>
      </c>
      <c r="G244" s="191">
        <v>27000</v>
      </c>
      <c r="H244" s="143" t="str">
        <f t="shared" ref="H244:H307" si="4">CONCATENATE(C244,,D244,E244)</f>
        <v>04051210000000</v>
      </c>
    </row>
    <row r="245" spans="1:8" ht="114.75" x14ac:dyDescent="0.2">
      <c r="A245" s="193" t="s">
        <v>1490</v>
      </c>
      <c r="B245" s="189" t="s">
        <v>5</v>
      </c>
      <c r="C245" s="189" t="s">
        <v>392</v>
      </c>
      <c r="D245" s="189" t="s">
        <v>1491</v>
      </c>
      <c r="E245" s="189" t="s">
        <v>1314</v>
      </c>
      <c r="F245" s="191">
        <v>12300</v>
      </c>
      <c r="G245" s="191">
        <v>17000</v>
      </c>
      <c r="H245" s="143" t="str">
        <f t="shared" si="4"/>
        <v>04051210024380</v>
      </c>
    </row>
    <row r="246" spans="1:8" x14ac:dyDescent="0.2">
      <c r="A246" s="193" t="s">
        <v>1504</v>
      </c>
      <c r="B246" s="189" t="s">
        <v>5</v>
      </c>
      <c r="C246" s="189" t="s">
        <v>392</v>
      </c>
      <c r="D246" s="189" t="s">
        <v>1491</v>
      </c>
      <c r="E246" s="189" t="s">
        <v>1505</v>
      </c>
      <c r="F246" s="191">
        <v>12300</v>
      </c>
      <c r="G246" s="191">
        <v>17000</v>
      </c>
      <c r="H246" s="143" t="str">
        <f t="shared" si="4"/>
        <v>04051210024380800</v>
      </c>
    </row>
    <row r="247" spans="1:8" ht="63.75" x14ac:dyDescent="0.2">
      <c r="A247" s="193" t="s">
        <v>1348</v>
      </c>
      <c r="B247" s="189" t="s">
        <v>5</v>
      </c>
      <c r="C247" s="189" t="s">
        <v>392</v>
      </c>
      <c r="D247" s="189" t="s">
        <v>1491</v>
      </c>
      <c r="E247" s="189" t="s">
        <v>394</v>
      </c>
      <c r="F247" s="191">
        <v>12300</v>
      </c>
      <c r="G247" s="191">
        <v>17000</v>
      </c>
      <c r="H247" s="143" t="str">
        <f t="shared" si="4"/>
        <v>04051210024380810</v>
      </c>
    </row>
    <row r="248" spans="1:8" ht="76.5" x14ac:dyDescent="0.2">
      <c r="A248" s="193" t="s">
        <v>1529</v>
      </c>
      <c r="B248" s="189" t="s">
        <v>5</v>
      </c>
      <c r="C248" s="189" t="s">
        <v>392</v>
      </c>
      <c r="D248" s="189" t="s">
        <v>1491</v>
      </c>
      <c r="E248" s="189" t="s">
        <v>1530</v>
      </c>
      <c r="F248" s="191">
        <v>12300</v>
      </c>
      <c r="G248" s="191">
        <v>17000</v>
      </c>
      <c r="H248" s="143" t="str">
        <f t="shared" si="4"/>
        <v>04051210024380813</v>
      </c>
    </row>
    <row r="249" spans="1:8" ht="63.75" x14ac:dyDescent="0.2">
      <c r="A249" s="193" t="s">
        <v>2035</v>
      </c>
      <c r="B249" s="189" t="s">
        <v>5</v>
      </c>
      <c r="C249" s="189" t="s">
        <v>392</v>
      </c>
      <c r="D249" s="189" t="s">
        <v>2036</v>
      </c>
      <c r="E249" s="189" t="s">
        <v>1314</v>
      </c>
      <c r="F249" s="191">
        <v>10000</v>
      </c>
      <c r="G249" s="191">
        <v>10000</v>
      </c>
      <c r="H249" s="143" t="str">
        <f t="shared" si="4"/>
        <v>04051210080000</v>
      </c>
    </row>
    <row r="250" spans="1:8" ht="38.25" x14ac:dyDescent="0.2">
      <c r="A250" s="193" t="s">
        <v>1502</v>
      </c>
      <c r="B250" s="189" t="s">
        <v>5</v>
      </c>
      <c r="C250" s="189" t="s">
        <v>392</v>
      </c>
      <c r="D250" s="189" t="s">
        <v>2036</v>
      </c>
      <c r="E250" s="189" t="s">
        <v>1503</v>
      </c>
      <c r="F250" s="191">
        <v>10000</v>
      </c>
      <c r="G250" s="191">
        <v>10000</v>
      </c>
      <c r="H250" s="143" t="str">
        <f t="shared" si="4"/>
        <v>04051210080000200</v>
      </c>
    </row>
    <row r="251" spans="1:8" ht="38.25" x14ac:dyDescent="0.2">
      <c r="A251" s="193" t="s">
        <v>1338</v>
      </c>
      <c r="B251" s="189" t="s">
        <v>5</v>
      </c>
      <c r="C251" s="189" t="s">
        <v>392</v>
      </c>
      <c r="D251" s="189" t="s">
        <v>2036</v>
      </c>
      <c r="E251" s="189" t="s">
        <v>1339</v>
      </c>
      <c r="F251" s="191">
        <v>10000</v>
      </c>
      <c r="G251" s="191">
        <v>10000</v>
      </c>
      <c r="H251" s="143" t="str">
        <f t="shared" si="4"/>
        <v>04051210080000240</v>
      </c>
    </row>
    <row r="252" spans="1:8" x14ac:dyDescent="0.2">
      <c r="A252" s="193" t="s">
        <v>1379</v>
      </c>
      <c r="B252" s="189" t="s">
        <v>5</v>
      </c>
      <c r="C252" s="189" t="s">
        <v>392</v>
      </c>
      <c r="D252" s="189" t="s">
        <v>2036</v>
      </c>
      <c r="E252" s="189" t="s">
        <v>368</v>
      </c>
      <c r="F252" s="191">
        <v>10000</v>
      </c>
      <c r="G252" s="191">
        <v>10000</v>
      </c>
      <c r="H252" s="143" t="str">
        <f t="shared" si="4"/>
        <v>04051210080000244</v>
      </c>
    </row>
    <row r="253" spans="1:8" ht="38.25" x14ac:dyDescent="0.2">
      <c r="A253" s="193" t="s">
        <v>488</v>
      </c>
      <c r="B253" s="189" t="s">
        <v>5</v>
      </c>
      <c r="C253" s="189" t="s">
        <v>392</v>
      </c>
      <c r="D253" s="189" t="s">
        <v>1066</v>
      </c>
      <c r="E253" s="189" t="s">
        <v>1314</v>
      </c>
      <c r="F253" s="191">
        <v>1739400</v>
      </c>
      <c r="G253" s="191">
        <v>1741600</v>
      </c>
      <c r="H253" s="143" t="str">
        <f t="shared" si="4"/>
        <v>04051230000000</v>
      </c>
    </row>
    <row r="254" spans="1:8" ht="114.75" x14ac:dyDescent="0.2">
      <c r="A254" s="193" t="s">
        <v>395</v>
      </c>
      <c r="B254" s="189" t="s">
        <v>5</v>
      </c>
      <c r="C254" s="189" t="s">
        <v>392</v>
      </c>
      <c r="D254" s="189" t="s">
        <v>726</v>
      </c>
      <c r="E254" s="189" t="s">
        <v>1314</v>
      </c>
      <c r="F254" s="191">
        <v>1739400</v>
      </c>
      <c r="G254" s="191">
        <v>1741600</v>
      </c>
      <c r="H254" s="143" t="str">
        <f t="shared" si="4"/>
        <v>04051230075170</v>
      </c>
    </row>
    <row r="255" spans="1:8" ht="76.5" x14ac:dyDescent="0.2">
      <c r="A255" s="193" t="s">
        <v>1501</v>
      </c>
      <c r="B255" s="189" t="s">
        <v>5</v>
      </c>
      <c r="C255" s="189" t="s">
        <v>392</v>
      </c>
      <c r="D255" s="189" t="s">
        <v>726</v>
      </c>
      <c r="E255" s="189" t="s">
        <v>290</v>
      </c>
      <c r="F255" s="191">
        <v>1677100</v>
      </c>
      <c r="G255" s="191">
        <v>1677100</v>
      </c>
      <c r="H255" s="143"/>
    </row>
    <row r="256" spans="1:8" ht="38.25" x14ac:dyDescent="0.2">
      <c r="A256" s="193" t="s">
        <v>1345</v>
      </c>
      <c r="B256" s="189" t="s">
        <v>5</v>
      </c>
      <c r="C256" s="189" t="s">
        <v>392</v>
      </c>
      <c r="D256" s="189" t="s">
        <v>726</v>
      </c>
      <c r="E256" s="189" t="s">
        <v>30</v>
      </c>
      <c r="F256" s="191">
        <v>1677100</v>
      </c>
      <c r="G256" s="191">
        <v>1677100</v>
      </c>
      <c r="H256" s="143"/>
    </row>
    <row r="257" spans="1:8" ht="25.5" x14ac:dyDescent="0.2">
      <c r="A257" s="193" t="s">
        <v>1010</v>
      </c>
      <c r="B257" s="189" t="s">
        <v>5</v>
      </c>
      <c r="C257" s="189" t="s">
        <v>392</v>
      </c>
      <c r="D257" s="189" t="s">
        <v>726</v>
      </c>
      <c r="E257" s="189" t="s">
        <v>363</v>
      </c>
      <c r="F257" s="191">
        <v>1193785</v>
      </c>
      <c r="G257" s="191">
        <v>1193785</v>
      </c>
      <c r="H257" s="143" t="str">
        <f t="shared" si="4"/>
        <v>04051230075170121</v>
      </c>
    </row>
    <row r="258" spans="1:8" ht="51" x14ac:dyDescent="0.2">
      <c r="A258" s="193" t="s">
        <v>364</v>
      </c>
      <c r="B258" s="189" t="s">
        <v>5</v>
      </c>
      <c r="C258" s="189" t="s">
        <v>392</v>
      </c>
      <c r="D258" s="189" t="s">
        <v>726</v>
      </c>
      <c r="E258" s="189" t="s">
        <v>365</v>
      </c>
      <c r="F258" s="191">
        <v>122800</v>
      </c>
      <c r="G258" s="191">
        <v>122800</v>
      </c>
      <c r="H258" s="143" t="str">
        <f t="shared" si="4"/>
        <v>04051230075170122</v>
      </c>
    </row>
    <row r="259" spans="1:8" ht="63.75" x14ac:dyDescent="0.2">
      <c r="A259" s="193" t="s">
        <v>1115</v>
      </c>
      <c r="B259" s="189" t="s">
        <v>5</v>
      </c>
      <c r="C259" s="189" t="s">
        <v>392</v>
      </c>
      <c r="D259" s="189" t="s">
        <v>726</v>
      </c>
      <c r="E259" s="189" t="s">
        <v>1116</v>
      </c>
      <c r="F259" s="191">
        <v>360515</v>
      </c>
      <c r="G259" s="191">
        <v>360515</v>
      </c>
      <c r="H259" s="143" t="str">
        <f t="shared" si="4"/>
        <v>04051230075170129</v>
      </c>
    </row>
    <row r="260" spans="1:8" ht="38.25" x14ac:dyDescent="0.2">
      <c r="A260" s="193" t="s">
        <v>1502</v>
      </c>
      <c r="B260" s="189" t="s">
        <v>5</v>
      </c>
      <c r="C260" s="189" t="s">
        <v>392</v>
      </c>
      <c r="D260" s="189" t="s">
        <v>726</v>
      </c>
      <c r="E260" s="189" t="s">
        <v>1503</v>
      </c>
      <c r="F260" s="191">
        <v>62300</v>
      </c>
      <c r="G260" s="191">
        <v>64500</v>
      </c>
      <c r="H260" s="143" t="str">
        <f t="shared" si="4"/>
        <v>04051230075170200</v>
      </c>
    </row>
    <row r="261" spans="1:8" ht="38.25" x14ac:dyDescent="0.2">
      <c r="A261" s="193" t="s">
        <v>1338</v>
      </c>
      <c r="B261" s="189" t="s">
        <v>5</v>
      </c>
      <c r="C261" s="189" t="s">
        <v>392</v>
      </c>
      <c r="D261" s="189" t="s">
        <v>726</v>
      </c>
      <c r="E261" s="189" t="s">
        <v>1339</v>
      </c>
      <c r="F261" s="191">
        <v>62300</v>
      </c>
      <c r="G261" s="191">
        <v>64500</v>
      </c>
      <c r="H261" s="143" t="str">
        <f t="shared" si="4"/>
        <v>04051230075170240</v>
      </c>
    </row>
    <row r="262" spans="1:8" x14ac:dyDescent="0.2">
      <c r="A262" s="193" t="s">
        <v>1379</v>
      </c>
      <c r="B262" s="189" t="s">
        <v>5</v>
      </c>
      <c r="C262" s="189" t="s">
        <v>392</v>
      </c>
      <c r="D262" s="189" t="s">
        <v>726</v>
      </c>
      <c r="E262" s="189" t="s">
        <v>368</v>
      </c>
      <c r="F262" s="191">
        <v>62300</v>
      </c>
      <c r="G262" s="191">
        <v>64500</v>
      </c>
      <c r="H262" s="143" t="str">
        <f t="shared" si="4"/>
        <v>04051230075170244</v>
      </c>
    </row>
    <row r="263" spans="1:8" x14ac:dyDescent="0.2">
      <c r="A263" s="193" t="s">
        <v>1963</v>
      </c>
      <c r="B263" s="189" t="s">
        <v>5</v>
      </c>
      <c r="C263" s="189" t="s">
        <v>1964</v>
      </c>
      <c r="D263" s="189" t="s">
        <v>1314</v>
      </c>
      <c r="E263" s="189" t="s">
        <v>1314</v>
      </c>
      <c r="F263" s="191">
        <v>1887000</v>
      </c>
      <c r="G263" s="191">
        <v>1887000</v>
      </c>
      <c r="H263" s="143" t="str">
        <f t="shared" si="4"/>
        <v>0407</v>
      </c>
    </row>
    <row r="264" spans="1:8" ht="38.25" x14ac:dyDescent="0.2">
      <c r="A264" s="200" t="s">
        <v>646</v>
      </c>
      <c r="B264" s="189" t="s">
        <v>5</v>
      </c>
      <c r="C264" s="189" t="s">
        <v>1964</v>
      </c>
      <c r="D264" s="189" t="s">
        <v>1067</v>
      </c>
      <c r="E264" s="189" t="s">
        <v>1314</v>
      </c>
      <c r="F264" s="191">
        <v>1887000</v>
      </c>
      <c r="G264" s="191">
        <v>1887000</v>
      </c>
      <c r="H264" s="143" t="str">
        <f t="shared" si="4"/>
        <v>04078000000000</v>
      </c>
    </row>
    <row r="265" spans="1:8" ht="51" x14ac:dyDescent="0.2">
      <c r="A265" s="193" t="s">
        <v>647</v>
      </c>
      <c r="B265" s="189" t="s">
        <v>5</v>
      </c>
      <c r="C265" s="189" t="s">
        <v>1964</v>
      </c>
      <c r="D265" s="189" t="s">
        <v>1069</v>
      </c>
      <c r="E265" s="189" t="s">
        <v>1314</v>
      </c>
      <c r="F265" s="191">
        <v>1887000</v>
      </c>
      <c r="G265" s="191">
        <v>1887000</v>
      </c>
      <c r="H265" s="143" t="str">
        <f t="shared" si="4"/>
        <v>04078020000000</v>
      </c>
    </row>
    <row r="266" spans="1:8" ht="76.5" x14ac:dyDescent="0.2">
      <c r="A266" s="193" t="s">
        <v>1965</v>
      </c>
      <c r="B266" s="189" t="s">
        <v>5</v>
      </c>
      <c r="C266" s="189" t="s">
        <v>1964</v>
      </c>
      <c r="D266" s="189" t="s">
        <v>1966</v>
      </c>
      <c r="E266" s="189" t="s">
        <v>1314</v>
      </c>
      <c r="F266" s="191">
        <v>1887000</v>
      </c>
      <c r="G266" s="191">
        <v>1887000</v>
      </c>
      <c r="H266" s="143" t="str">
        <f t="shared" si="4"/>
        <v>04078020074460</v>
      </c>
    </row>
    <row r="267" spans="1:8" ht="76.5" x14ac:dyDescent="0.2">
      <c r="A267" s="193" t="s">
        <v>1501</v>
      </c>
      <c r="B267" s="189" t="s">
        <v>5</v>
      </c>
      <c r="C267" s="189" t="s">
        <v>1964</v>
      </c>
      <c r="D267" s="189" t="s">
        <v>1966</v>
      </c>
      <c r="E267" s="189" t="s">
        <v>290</v>
      </c>
      <c r="F267" s="191">
        <v>1846954</v>
      </c>
      <c r="G267" s="191">
        <v>1846954</v>
      </c>
      <c r="H267" s="143" t="str">
        <f t="shared" si="4"/>
        <v>04078020074460100</v>
      </c>
    </row>
    <row r="268" spans="1:8" ht="38.25" x14ac:dyDescent="0.2">
      <c r="A268" s="193" t="s">
        <v>1345</v>
      </c>
      <c r="B268" s="189" t="s">
        <v>5</v>
      </c>
      <c r="C268" s="189" t="s">
        <v>1964</v>
      </c>
      <c r="D268" s="189" t="s">
        <v>1966</v>
      </c>
      <c r="E268" s="189" t="s">
        <v>30</v>
      </c>
      <c r="F268" s="191">
        <v>1846954</v>
      </c>
      <c r="G268" s="191">
        <v>1846954</v>
      </c>
      <c r="H268" s="143" t="str">
        <f t="shared" si="4"/>
        <v>04078020074460120</v>
      </c>
    </row>
    <row r="269" spans="1:8" ht="25.5" x14ac:dyDescent="0.2">
      <c r="A269" s="193" t="s">
        <v>1010</v>
      </c>
      <c r="B269" s="189" t="s">
        <v>5</v>
      </c>
      <c r="C269" s="189" t="s">
        <v>1964</v>
      </c>
      <c r="D269" s="189" t="s">
        <v>1966</v>
      </c>
      <c r="E269" s="189" t="s">
        <v>363</v>
      </c>
      <c r="F269" s="191">
        <v>1286447</v>
      </c>
      <c r="G269" s="191">
        <v>1286447</v>
      </c>
      <c r="H269" s="143" t="str">
        <f t="shared" si="4"/>
        <v>04078020074460121</v>
      </c>
    </row>
    <row r="270" spans="1:8" ht="51" x14ac:dyDescent="0.2">
      <c r="A270" s="193" t="s">
        <v>364</v>
      </c>
      <c r="B270" s="189" t="s">
        <v>5</v>
      </c>
      <c r="C270" s="189" t="s">
        <v>1964</v>
      </c>
      <c r="D270" s="189" t="s">
        <v>1966</v>
      </c>
      <c r="E270" s="189" t="s">
        <v>365</v>
      </c>
      <c r="F270" s="191">
        <v>172000</v>
      </c>
      <c r="G270" s="191">
        <v>172000</v>
      </c>
      <c r="H270" s="143" t="str">
        <f t="shared" si="4"/>
        <v>04078020074460122</v>
      </c>
    </row>
    <row r="271" spans="1:8" ht="63.75" x14ac:dyDescent="0.2">
      <c r="A271" s="193" t="s">
        <v>1115</v>
      </c>
      <c r="B271" s="189" t="s">
        <v>5</v>
      </c>
      <c r="C271" s="189" t="s">
        <v>1964</v>
      </c>
      <c r="D271" s="189" t="s">
        <v>1966</v>
      </c>
      <c r="E271" s="189" t="s">
        <v>1116</v>
      </c>
      <c r="F271" s="191">
        <v>388507</v>
      </c>
      <c r="G271" s="191">
        <v>388507</v>
      </c>
      <c r="H271" s="143" t="str">
        <f t="shared" si="4"/>
        <v>04078020074460129</v>
      </c>
    </row>
    <row r="272" spans="1:8" ht="38.25" x14ac:dyDescent="0.2">
      <c r="A272" s="193" t="s">
        <v>1502</v>
      </c>
      <c r="B272" s="189" t="s">
        <v>5</v>
      </c>
      <c r="C272" s="189" t="s">
        <v>1964</v>
      </c>
      <c r="D272" s="189" t="s">
        <v>1966</v>
      </c>
      <c r="E272" s="189" t="s">
        <v>1503</v>
      </c>
      <c r="F272" s="191">
        <v>40046</v>
      </c>
      <c r="G272" s="191">
        <v>40046</v>
      </c>
      <c r="H272" s="143" t="str">
        <f t="shared" si="4"/>
        <v>04078020074460200</v>
      </c>
    </row>
    <row r="273" spans="1:8" ht="38.25" x14ac:dyDescent="0.2">
      <c r="A273" s="200" t="s">
        <v>1338</v>
      </c>
      <c r="B273" s="189" t="s">
        <v>5</v>
      </c>
      <c r="C273" s="189" t="s">
        <v>1964</v>
      </c>
      <c r="D273" s="189" t="s">
        <v>1966</v>
      </c>
      <c r="E273" s="189" t="s">
        <v>1339</v>
      </c>
      <c r="F273" s="191">
        <v>40046</v>
      </c>
      <c r="G273" s="191">
        <v>40046</v>
      </c>
      <c r="H273" s="143" t="str">
        <f t="shared" si="4"/>
        <v>04078020074460240</v>
      </c>
    </row>
    <row r="274" spans="1:8" x14ac:dyDescent="0.2">
      <c r="A274" s="193" t="s">
        <v>1379</v>
      </c>
      <c r="B274" s="189" t="s">
        <v>5</v>
      </c>
      <c r="C274" s="189" t="s">
        <v>1964</v>
      </c>
      <c r="D274" s="189" t="s">
        <v>1966</v>
      </c>
      <c r="E274" s="189" t="s">
        <v>368</v>
      </c>
      <c r="F274" s="191">
        <v>40046</v>
      </c>
      <c r="G274" s="191">
        <v>40046</v>
      </c>
      <c r="H274" s="143" t="str">
        <f t="shared" si="4"/>
        <v>04078020074460244</v>
      </c>
    </row>
    <row r="275" spans="1:8" x14ac:dyDescent="0.2">
      <c r="A275" s="193" t="s">
        <v>192</v>
      </c>
      <c r="B275" s="189" t="s">
        <v>5</v>
      </c>
      <c r="C275" s="189" t="s">
        <v>396</v>
      </c>
      <c r="D275" s="189" t="s">
        <v>1314</v>
      </c>
      <c r="E275" s="189" t="s">
        <v>1314</v>
      </c>
      <c r="F275" s="191">
        <v>30390000</v>
      </c>
      <c r="G275" s="191">
        <v>30390000</v>
      </c>
      <c r="H275" s="143" t="str">
        <f t="shared" si="4"/>
        <v>0408</v>
      </c>
    </row>
    <row r="276" spans="1:8" ht="38.25" x14ac:dyDescent="0.2">
      <c r="A276" s="193" t="s">
        <v>524</v>
      </c>
      <c r="B276" s="189" t="s">
        <v>5</v>
      </c>
      <c r="C276" s="189" t="s">
        <v>396</v>
      </c>
      <c r="D276" s="189" t="s">
        <v>1054</v>
      </c>
      <c r="E276" s="189" t="s">
        <v>1314</v>
      </c>
      <c r="F276" s="191">
        <v>30390000</v>
      </c>
      <c r="G276" s="191">
        <v>30390000</v>
      </c>
      <c r="H276" s="143" t="str">
        <f t="shared" si="4"/>
        <v>04080900000000</v>
      </c>
    </row>
    <row r="277" spans="1:8" ht="25.5" x14ac:dyDescent="0.2">
      <c r="A277" s="200" t="s">
        <v>527</v>
      </c>
      <c r="B277" s="189" t="s">
        <v>5</v>
      </c>
      <c r="C277" s="189" t="s">
        <v>396</v>
      </c>
      <c r="D277" s="189" t="s">
        <v>1056</v>
      </c>
      <c r="E277" s="189" t="s">
        <v>1314</v>
      </c>
      <c r="F277" s="191">
        <v>30390000</v>
      </c>
      <c r="G277" s="191">
        <v>30390000</v>
      </c>
      <c r="H277" s="143" t="str">
        <f t="shared" si="4"/>
        <v>04080920000000</v>
      </c>
    </row>
    <row r="278" spans="1:8" ht="89.25" x14ac:dyDescent="0.2">
      <c r="A278" s="193" t="s">
        <v>882</v>
      </c>
      <c r="B278" s="189" t="s">
        <v>5</v>
      </c>
      <c r="C278" s="189" t="s">
        <v>396</v>
      </c>
      <c r="D278" s="189" t="s">
        <v>1008</v>
      </c>
      <c r="E278" s="189" t="s">
        <v>1314</v>
      </c>
      <c r="F278" s="191">
        <v>390000</v>
      </c>
      <c r="G278" s="191">
        <v>390000</v>
      </c>
      <c r="H278" s="143" t="str">
        <f t="shared" si="4"/>
        <v>040809200Л0000</v>
      </c>
    </row>
    <row r="279" spans="1:8" x14ac:dyDescent="0.2">
      <c r="A279" s="193" t="s">
        <v>1504</v>
      </c>
      <c r="B279" s="189" t="s">
        <v>5</v>
      </c>
      <c r="C279" s="189" t="s">
        <v>396</v>
      </c>
      <c r="D279" s="189" t="s">
        <v>1008</v>
      </c>
      <c r="E279" s="189" t="s">
        <v>1505</v>
      </c>
      <c r="F279" s="191">
        <v>390000</v>
      </c>
      <c r="G279" s="191">
        <v>390000</v>
      </c>
      <c r="H279" s="143" t="str">
        <f t="shared" si="4"/>
        <v>040809200Л0000800</v>
      </c>
    </row>
    <row r="280" spans="1:8" ht="63.75" x14ac:dyDescent="0.2">
      <c r="A280" s="193" t="s">
        <v>1348</v>
      </c>
      <c r="B280" s="189" t="s">
        <v>5</v>
      </c>
      <c r="C280" s="189" t="s">
        <v>396</v>
      </c>
      <c r="D280" s="189" t="s">
        <v>1008</v>
      </c>
      <c r="E280" s="189" t="s">
        <v>394</v>
      </c>
      <c r="F280" s="191">
        <v>390000</v>
      </c>
      <c r="G280" s="191">
        <v>390000</v>
      </c>
      <c r="H280" s="143" t="str">
        <f t="shared" si="4"/>
        <v>040809200Л0000810</v>
      </c>
    </row>
    <row r="281" spans="1:8" ht="76.5" x14ac:dyDescent="0.2">
      <c r="A281" s="193" t="s">
        <v>1381</v>
      </c>
      <c r="B281" s="189" t="s">
        <v>5</v>
      </c>
      <c r="C281" s="189" t="s">
        <v>396</v>
      </c>
      <c r="D281" s="189" t="s">
        <v>1008</v>
      </c>
      <c r="E281" s="189" t="s">
        <v>1382</v>
      </c>
      <c r="F281" s="191">
        <v>390000</v>
      </c>
      <c r="G281" s="191">
        <v>390000</v>
      </c>
      <c r="H281" s="143" t="str">
        <f t="shared" si="4"/>
        <v>040809200Л0000811</v>
      </c>
    </row>
    <row r="282" spans="1:8" ht="89.25" x14ac:dyDescent="0.2">
      <c r="A282" s="193" t="s">
        <v>397</v>
      </c>
      <c r="B282" s="189" t="s">
        <v>5</v>
      </c>
      <c r="C282" s="189" t="s">
        <v>396</v>
      </c>
      <c r="D282" s="189" t="s">
        <v>727</v>
      </c>
      <c r="E282" s="189" t="s">
        <v>1314</v>
      </c>
      <c r="F282" s="191">
        <v>30000000</v>
      </c>
      <c r="G282" s="191">
        <v>30000000</v>
      </c>
      <c r="H282" s="143" t="str">
        <f t="shared" si="4"/>
        <v>040809200П0000</v>
      </c>
    </row>
    <row r="283" spans="1:8" x14ac:dyDescent="0.2">
      <c r="A283" s="193" t="s">
        <v>1504</v>
      </c>
      <c r="B283" s="189" t="s">
        <v>5</v>
      </c>
      <c r="C283" s="189" t="s">
        <v>396</v>
      </c>
      <c r="D283" s="189" t="s">
        <v>727</v>
      </c>
      <c r="E283" s="189" t="s">
        <v>1505</v>
      </c>
      <c r="F283" s="191">
        <v>30000000</v>
      </c>
      <c r="G283" s="191">
        <v>30000000</v>
      </c>
      <c r="H283" s="143" t="str">
        <f t="shared" si="4"/>
        <v>040809200П0000800</v>
      </c>
    </row>
    <row r="284" spans="1:8" ht="63.75" x14ac:dyDescent="0.2">
      <c r="A284" s="200" t="s">
        <v>1348</v>
      </c>
      <c r="B284" s="189" t="s">
        <v>5</v>
      </c>
      <c r="C284" s="189" t="s">
        <v>396</v>
      </c>
      <c r="D284" s="189" t="s">
        <v>727</v>
      </c>
      <c r="E284" s="189" t="s">
        <v>394</v>
      </c>
      <c r="F284" s="191">
        <v>30000000</v>
      </c>
      <c r="G284" s="191">
        <v>30000000</v>
      </c>
      <c r="H284" s="143" t="str">
        <f t="shared" si="4"/>
        <v>040809200П0000810</v>
      </c>
    </row>
    <row r="285" spans="1:8" ht="76.5" x14ac:dyDescent="0.2">
      <c r="A285" s="193" t="s">
        <v>1381</v>
      </c>
      <c r="B285" s="189" t="s">
        <v>5</v>
      </c>
      <c r="C285" s="189" t="s">
        <v>396</v>
      </c>
      <c r="D285" s="189" t="s">
        <v>727</v>
      </c>
      <c r="E285" s="189" t="s">
        <v>1382</v>
      </c>
      <c r="F285" s="191">
        <v>30000000</v>
      </c>
      <c r="G285" s="191">
        <v>30000000</v>
      </c>
      <c r="H285" s="143" t="str">
        <f t="shared" si="4"/>
        <v>040809200П0000811</v>
      </c>
    </row>
    <row r="286" spans="1:8" x14ac:dyDescent="0.2">
      <c r="A286" s="193" t="s">
        <v>269</v>
      </c>
      <c r="B286" s="189" t="s">
        <v>5</v>
      </c>
      <c r="C286" s="189" t="s">
        <v>398</v>
      </c>
      <c r="D286" s="189" t="s">
        <v>1314</v>
      </c>
      <c r="E286" s="189" t="s">
        <v>1314</v>
      </c>
      <c r="F286" s="191">
        <v>156200</v>
      </c>
      <c r="G286" s="191">
        <v>156300</v>
      </c>
      <c r="H286" s="143" t="str">
        <f t="shared" si="4"/>
        <v>0409</v>
      </c>
    </row>
    <row r="287" spans="1:8" ht="38.25" x14ac:dyDescent="0.2">
      <c r="A287" s="193" t="s">
        <v>524</v>
      </c>
      <c r="B287" s="189" t="s">
        <v>5</v>
      </c>
      <c r="C287" s="189" t="s">
        <v>398</v>
      </c>
      <c r="D287" s="189" t="s">
        <v>1054</v>
      </c>
      <c r="E287" s="189" t="s">
        <v>1314</v>
      </c>
      <c r="F287" s="191">
        <v>156200</v>
      </c>
      <c r="G287" s="191">
        <v>156300</v>
      </c>
      <c r="H287" s="143" t="str">
        <f t="shared" si="4"/>
        <v>04090900000000</v>
      </c>
    </row>
    <row r="288" spans="1:8" ht="25.5" x14ac:dyDescent="0.2">
      <c r="A288" s="193" t="s">
        <v>525</v>
      </c>
      <c r="B288" s="189" t="s">
        <v>5</v>
      </c>
      <c r="C288" s="189" t="s">
        <v>398</v>
      </c>
      <c r="D288" s="189" t="s">
        <v>1055</v>
      </c>
      <c r="E288" s="189" t="s">
        <v>1314</v>
      </c>
      <c r="F288" s="191">
        <v>156200</v>
      </c>
      <c r="G288" s="191">
        <v>156300</v>
      </c>
      <c r="H288" s="143" t="str">
        <f t="shared" si="4"/>
        <v>04090910000000</v>
      </c>
    </row>
    <row r="289" spans="1:8" ht="63.75" x14ac:dyDescent="0.2">
      <c r="A289" s="193" t="s">
        <v>399</v>
      </c>
      <c r="B289" s="189" t="s">
        <v>5</v>
      </c>
      <c r="C289" s="189" t="s">
        <v>398</v>
      </c>
      <c r="D289" s="189" t="s">
        <v>728</v>
      </c>
      <c r="E289" s="189" t="s">
        <v>1314</v>
      </c>
      <c r="F289" s="191">
        <v>38700</v>
      </c>
      <c r="G289" s="191">
        <v>40100</v>
      </c>
      <c r="H289" s="143" t="str">
        <f t="shared" si="4"/>
        <v>04090910080000</v>
      </c>
    </row>
    <row r="290" spans="1:8" ht="38.25" x14ac:dyDescent="0.2">
      <c r="A290" s="193" t="s">
        <v>1502</v>
      </c>
      <c r="B290" s="189" t="s">
        <v>5</v>
      </c>
      <c r="C290" s="189" t="s">
        <v>398</v>
      </c>
      <c r="D290" s="189" t="s">
        <v>728</v>
      </c>
      <c r="E290" s="189" t="s">
        <v>1503</v>
      </c>
      <c r="F290" s="191">
        <v>38700</v>
      </c>
      <c r="G290" s="191">
        <v>40100</v>
      </c>
      <c r="H290" s="143" t="str">
        <f t="shared" si="4"/>
        <v>04090910080000200</v>
      </c>
    </row>
    <row r="291" spans="1:8" ht="38.25" x14ac:dyDescent="0.2">
      <c r="A291" s="193" t="s">
        <v>1338</v>
      </c>
      <c r="B291" s="189" t="s">
        <v>5</v>
      </c>
      <c r="C291" s="189" t="s">
        <v>398</v>
      </c>
      <c r="D291" s="189" t="s">
        <v>728</v>
      </c>
      <c r="E291" s="189" t="s">
        <v>1339</v>
      </c>
      <c r="F291" s="191">
        <v>38700</v>
      </c>
      <c r="G291" s="191">
        <v>40100</v>
      </c>
      <c r="H291" s="143" t="str">
        <f t="shared" si="4"/>
        <v>04090910080000240</v>
      </c>
    </row>
    <row r="292" spans="1:8" x14ac:dyDescent="0.2">
      <c r="A292" s="193" t="s">
        <v>1379</v>
      </c>
      <c r="B292" s="189" t="s">
        <v>5</v>
      </c>
      <c r="C292" s="189" t="s">
        <v>398</v>
      </c>
      <c r="D292" s="189" t="s">
        <v>728</v>
      </c>
      <c r="E292" s="189" t="s">
        <v>368</v>
      </c>
      <c r="F292" s="191">
        <v>38700</v>
      </c>
      <c r="G292" s="191">
        <v>40100</v>
      </c>
      <c r="H292" s="143" t="str">
        <f t="shared" si="4"/>
        <v>04090910080000244</v>
      </c>
    </row>
    <row r="293" spans="1:8" ht="76.5" x14ac:dyDescent="0.2">
      <c r="A293" s="193" t="s">
        <v>1679</v>
      </c>
      <c r="B293" s="189" t="s">
        <v>5</v>
      </c>
      <c r="C293" s="189" t="s">
        <v>398</v>
      </c>
      <c r="D293" s="189" t="s">
        <v>1680</v>
      </c>
      <c r="E293" s="189" t="s">
        <v>1314</v>
      </c>
      <c r="F293" s="191">
        <v>117500</v>
      </c>
      <c r="G293" s="191">
        <v>116200</v>
      </c>
      <c r="H293" s="143" t="str">
        <f t="shared" si="4"/>
        <v>040909100S5081</v>
      </c>
    </row>
    <row r="294" spans="1:8" ht="38.25" x14ac:dyDescent="0.2">
      <c r="A294" s="193" t="s">
        <v>1502</v>
      </c>
      <c r="B294" s="189" t="s">
        <v>5</v>
      </c>
      <c r="C294" s="189" t="s">
        <v>398</v>
      </c>
      <c r="D294" s="189" t="s">
        <v>1680</v>
      </c>
      <c r="E294" s="189" t="s">
        <v>1503</v>
      </c>
      <c r="F294" s="191">
        <v>117500</v>
      </c>
      <c r="G294" s="191">
        <v>116200</v>
      </c>
      <c r="H294" s="143" t="str">
        <f t="shared" si="4"/>
        <v>040909100S5081200</v>
      </c>
    </row>
    <row r="295" spans="1:8" ht="38.25" x14ac:dyDescent="0.2">
      <c r="A295" s="193" t="s">
        <v>1338</v>
      </c>
      <c r="B295" s="189" t="s">
        <v>5</v>
      </c>
      <c r="C295" s="189" t="s">
        <v>398</v>
      </c>
      <c r="D295" s="189" t="s">
        <v>1680</v>
      </c>
      <c r="E295" s="189" t="s">
        <v>1339</v>
      </c>
      <c r="F295" s="191">
        <v>117500</v>
      </c>
      <c r="G295" s="191">
        <v>116200</v>
      </c>
      <c r="H295" s="143" t="str">
        <f t="shared" si="4"/>
        <v>040909100S5081240</v>
      </c>
    </row>
    <row r="296" spans="1:8" x14ac:dyDescent="0.2">
      <c r="A296" s="193" t="s">
        <v>1379</v>
      </c>
      <c r="B296" s="189" t="s">
        <v>5</v>
      </c>
      <c r="C296" s="189" t="s">
        <v>398</v>
      </c>
      <c r="D296" s="189" t="s">
        <v>1680</v>
      </c>
      <c r="E296" s="189" t="s">
        <v>368</v>
      </c>
      <c r="F296" s="191">
        <v>117500</v>
      </c>
      <c r="G296" s="191">
        <v>116200</v>
      </c>
      <c r="H296" s="143" t="str">
        <f t="shared" si="4"/>
        <v>040909100S5081244</v>
      </c>
    </row>
    <row r="297" spans="1:8" ht="25.5" x14ac:dyDescent="0.2">
      <c r="A297" s="193" t="s">
        <v>152</v>
      </c>
      <c r="B297" s="189" t="s">
        <v>5</v>
      </c>
      <c r="C297" s="189" t="s">
        <v>400</v>
      </c>
      <c r="D297" s="189" t="s">
        <v>1314</v>
      </c>
      <c r="E297" s="189" t="s">
        <v>1314</v>
      </c>
      <c r="F297" s="191">
        <v>1356000</v>
      </c>
      <c r="G297" s="191">
        <v>1356000</v>
      </c>
      <c r="H297" s="143" t="str">
        <f t="shared" si="4"/>
        <v>0412</v>
      </c>
    </row>
    <row r="298" spans="1:8" ht="51" x14ac:dyDescent="0.2">
      <c r="A298" s="193" t="s">
        <v>1406</v>
      </c>
      <c r="B298" s="189" t="s">
        <v>5</v>
      </c>
      <c r="C298" s="189" t="s">
        <v>400</v>
      </c>
      <c r="D298" s="189" t="s">
        <v>1052</v>
      </c>
      <c r="E298" s="189" t="s">
        <v>1314</v>
      </c>
      <c r="F298" s="191">
        <v>763000</v>
      </c>
      <c r="G298" s="191">
        <v>763000</v>
      </c>
      <c r="H298" s="143" t="str">
        <f t="shared" si="4"/>
        <v>04120800000000</v>
      </c>
    </row>
    <row r="299" spans="1:8" ht="38.25" x14ac:dyDescent="0.2">
      <c r="A299" s="193" t="s">
        <v>521</v>
      </c>
      <c r="B299" s="189" t="s">
        <v>5</v>
      </c>
      <c r="C299" s="189" t="s">
        <v>400</v>
      </c>
      <c r="D299" s="189" t="s">
        <v>1053</v>
      </c>
      <c r="E299" s="189" t="s">
        <v>1314</v>
      </c>
      <c r="F299" s="191">
        <v>760000</v>
      </c>
      <c r="G299" s="191">
        <v>760000</v>
      </c>
      <c r="H299" s="143" t="str">
        <f t="shared" si="4"/>
        <v>04120810000000</v>
      </c>
    </row>
    <row r="300" spans="1:8" ht="127.5" x14ac:dyDescent="0.2">
      <c r="A300" s="193" t="s">
        <v>1492</v>
      </c>
      <c r="B300" s="189" t="s">
        <v>5</v>
      </c>
      <c r="C300" s="189" t="s">
        <v>400</v>
      </c>
      <c r="D300" s="189" t="s">
        <v>729</v>
      </c>
      <c r="E300" s="189" t="s">
        <v>1314</v>
      </c>
      <c r="F300" s="191">
        <v>10000</v>
      </c>
      <c r="G300" s="191">
        <v>10000</v>
      </c>
      <c r="H300" s="143" t="str">
        <f t="shared" si="4"/>
        <v>04120810080020</v>
      </c>
    </row>
    <row r="301" spans="1:8" ht="38.25" x14ac:dyDescent="0.2">
      <c r="A301" s="193" t="s">
        <v>1502</v>
      </c>
      <c r="B301" s="189" t="s">
        <v>5</v>
      </c>
      <c r="C301" s="189" t="s">
        <v>400</v>
      </c>
      <c r="D301" s="189" t="s">
        <v>729</v>
      </c>
      <c r="E301" s="189" t="s">
        <v>1503</v>
      </c>
      <c r="F301" s="191">
        <v>10000</v>
      </c>
      <c r="G301" s="191">
        <v>10000</v>
      </c>
      <c r="H301" s="143" t="str">
        <f t="shared" si="4"/>
        <v>04120810080020200</v>
      </c>
    </row>
    <row r="302" spans="1:8" ht="38.25" x14ac:dyDescent="0.2">
      <c r="A302" s="193" t="s">
        <v>1338</v>
      </c>
      <c r="B302" s="189" t="s">
        <v>5</v>
      </c>
      <c r="C302" s="189" t="s">
        <v>400</v>
      </c>
      <c r="D302" s="189" t="s">
        <v>729</v>
      </c>
      <c r="E302" s="189" t="s">
        <v>1339</v>
      </c>
      <c r="F302" s="191">
        <v>10000</v>
      </c>
      <c r="G302" s="191">
        <v>10000</v>
      </c>
      <c r="H302" s="143" t="str">
        <f t="shared" si="4"/>
        <v>04120810080020240</v>
      </c>
    </row>
    <row r="303" spans="1:8" x14ac:dyDescent="0.2">
      <c r="A303" s="193" t="s">
        <v>1379</v>
      </c>
      <c r="B303" s="189" t="s">
        <v>5</v>
      </c>
      <c r="C303" s="189" t="s">
        <v>400</v>
      </c>
      <c r="D303" s="189" t="s">
        <v>729</v>
      </c>
      <c r="E303" s="189" t="s">
        <v>368</v>
      </c>
      <c r="F303" s="191">
        <v>10000</v>
      </c>
      <c r="G303" s="191">
        <v>10000</v>
      </c>
      <c r="H303" s="143" t="str">
        <f t="shared" si="4"/>
        <v>04120810080020244</v>
      </c>
    </row>
    <row r="304" spans="1:8" ht="140.25" x14ac:dyDescent="0.2">
      <c r="A304" s="193" t="s">
        <v>1746</v>
      </c>
      <c r="B304" s="189" t="s">
        <v>5</v>
      </c>
      <c r="C304" s="189" t="s">
        <v>400</v>
      </c>
      <c r="D304" s="189" t="s">
        <v>1531</v>
      </c>
      <c r="E304" s="189" t="s">
        <v>1314</v>
      </c>
      <c r="F304" s="191">
        <v>750000</v>
      </c>
      <c r="G304" s="191">
        <v>750000</v>
      </c>
      <c r="H304" s="143" t="str">
        <f t="shared" si="4"/>
        <v>041208100S6070</v>
      </c>
    </row>
    <row r="305" spans="1:8" x14ac:dyDescent="0.2">
      <c r="A305" s="193" t="s">
        <v>1504</v>
      </c>
      <c r="B305" s="189" t="s">
        <v>5</v>
      </c>
      <c r="C305" s="189" t="s">
        <v>400</v>
      </c>
      <c r="D305" s="189" t="s">
        <v>1531</v>
      </c>
      <c r="E305" s="189" t="s">
        <v>1505</v>
      </c>
      <c r="F305" s="191">
        <v>750000</v>
      </c>
      <c r="G305" s="191">
        <v>750000</v>
      </c>
      <c r="H305" s="143" t="str">
        <f t="shared" si="4"/>
        <v>041208100S6070800</v>
      </c>
    </row>
    <row r="306" spans="1:8" ht="63.75" x14ac:dyDescent="0.2">
      <c r="A306" s="200" t="s">
        <v>1348</v>
      </c>
      <c r="B306" s="189" t="s">
        <v>5</v>
      </c>
      <c r="C306" s="189" t="s">
        <v>400</v>
      </c>
      <c r="D306" s="189" t="s">
        <v>1531</v>
      </c>
      <c r="E306" s="189" t="s">
        <v>394</v>
      </c>
      <c r="F306" s="191">
        <v>750000</v>
      </c>
      <c r="G306" s="191">
        <v>750000</v>
      </c>
      <c r="H306" s="143" t="str">
        <f t="shared" si="4"/>
        <v>041208100S6070810</v>
      </c>
    </row>
    <row r="307" spans="1:8" ht="76.5" x14ac:dyDescent="0.2">
      <c r="A307" s="193" t="s">
        <v>1529</v>
      </c>
      <c r="B307" s="189" t="s">
        <v>5</v>
      </c>
      <c r="C307" s="189" t="s">
        <v>400</v>
      </c>
      <c r="D307" s="189" t="s">
        <v>1531</v>
      </c>
      <c r="E307" s="189" t="s">
        <v>1530</v>
      </c>
      <c r="F307" s="191">
        <v>750000</v>
      </c>
      <c r="G307" s="191">
        <v>750000</v>
      </c>
      <c r="H307" s="143" t="str">
        <f t="shared" si="4"/>
        <v>041208100S6070813</v>
      </c>
    </row>
    <row r="308" spans="1:8" ht="38.25" x14ac:dyDescent="0.2">
      <c r="A308" s="193" t="s">
        <v>488</v>
      </c>
      <c r="B308" s="189" t="s">
        <v>5</v>
      </c>
      <c r="C308" s="189" t="s">
        <v>400</v>
      </c>
      <c r="D308" s="189" t="s">
        <v>1493</v>
      </c>
      <c r="E308" s="189" t="s">
        <v>1314</v>
      </c>
      <c r="F308" s="191">
        <v>3000</v>
      </c>
      <c r="G308" s="191">
        <v>3000</v>
      </c>
      <c r="H308" s="143" t="str">
        <f t="shared" ref="H308:H368" si="5">CONCATENATE(C308,,D308,E308)</f>
        <v>04120820000000</v>
      </c>
    </row>
    <row r="309" spans="1:8" ht="127.5" x14ac:dyDescent="0.2">
      <c r="A309" s="193" t="s">
        <v>1494</v>
      </c>
      <c r="B309" s="189" t="s">
        <v>5</v>
      </c>
      <c r="C309" s="189" t="s">
        <v>400</v>
      </c>
      <c r="D309" s="189" t="s">
        <v>1495</v>
      </c>
      <c r="E309" s="189" t="s">
        <v>1314</v>
      </c>
      <c r="F309" s="191">
        <v>3000</v>
      </c>
      <c r="G309" s="191">
        <v>3000</v>
      </c>
      <c r="H309" s="143" t="str">
        <f t="shared" si="5"/>
        <v>04120820080030</v>
      </c>
    </row>
    <row r="310" spans="1:8" ht="38.25" x14ac:dyDescent="0.2">
      <c r="A310" s="193" t="s">
        <v>1502</v>
      </c>
      <c r="B310" s="189" t="s">
        <v>5</v>
      </c>
      <c r="C310" s="189" t="s">
        <v>400</v>
      </c>
      <c r="D310" s="189" t="s">
        <v>1495</v>
      </c>
      <c r="E310" s="189" t="s">
        <v>1503</v>
      </c>
      <c r="F310" s="191">
        <v>3000</v>
      </c>
      <c r="G310" s="191">
        <v>3000</v>
      </c>
      <c r="H310" s="143" t="str">
        <f t="shared" si="5"/>
        <v>04120820080030200</v>
      </c>
    </row>
    <row r="311" spans="1:8" ht="38.25" x14ac:dyDescent="0.2">
      <c r="A311" s="193" t="s">
        <v>1338</v>
      </c>
      <c r="B311" s="189" t="s">
        <v>5</v>
      </c>
      <c r="C311" s="189" t="s">
        <v>400</v>
      </c>
      <c r="D311" s="189" t="s">
        <v>1495</v>
      </c>
      <c r="E311" s="189" t="s">
        <v>1339</v>
      </c>
      <c r="F311" s="191">
        <v>3000</v>
      </c>
      <c r="G311" s="191">
        <v>3000</v>
      </c>
      <c r="H311" s="143" t="str">
        <f t="shared" si="5"/>
        <v>04120820080030240</v>
      </c>
    </row>
    <row r="312" spans="1:8" x14ac:dyDescent="0.2">
      <c r="A312" s="193" t="s">
        <v>1379</v>
      </c>
      <c r="B312" s="189" t="s">
        <v>5</v>
      </c>
      <c r="C312" s="189" t="s">
        <v>400</v>
      </c>
      <c r="D312" s="189" t="s">
        <v>1495</v>
      </c>
      <c r="E312" s="189" t="s">
        <v>368</v>
      </c>
      <c r="F312" s="191">
        <v>3000</v>
      </c>
      <c r="G312" s="191">
        <v>3000</v>
      </c>
      <c r="H312" s="143" t="str">
        <f t="shared" si="5"/>
        <v>04120820080030244</v>
      </c>
    </row>
    <row r="313" spans="1:8" ht="38.25" x14ac:dyDescent="0.2">
      <c r="A313" s="190" t="s">
        <v>643</v>
      </c>
      <c r="B313" s="136" t="s">
        <v>5</v>
      </c>
      <c r="C313" s="136" t="s">
        <v>400</v>
      </c>
      <c r="D313" s="136" t="s">
        <v>1058</v>
      </c>
      <c r="E313" s="136" t="s">
        <v>1314</v>
      </c>
      <c r="F313" s="192">
        <v>500000</v>
      </c>
      <c r="G313" s="192">
        <v>500000</v>
      </c>
      <c r="H313" s="143" t="str">
        <f t="shared" si="5"/>
        <v>04121000000000</v>
      </c>
    </row>
    <row r="314" spans="1:8" ht="38.25" x14ac:dyDescent="0.2">
      <c r="A314" s="190" t="s">
        <v>1310</v>
      </c>
      <c r="B314" s="136" t="s">
        <v>5</v>
      </c>
      <c r="C314" s="136" t="s">
        <v>400</v>
      </c>
      <c r="D314" s="136" t="s">
        <v>1311</v>
      </c>
      <c r="E314" s="136" t="s">
        <v>1314</v>
      </c>
      <c r="F314" s="192">
        <v>500000</v>
      </c>
      <c r="G314" s="192">
        <v>500000</v>
      </c>
      <c r="H314" s="143" t="str">
        <f t="shared" si="5"/>
        <v>04121040000000</v>
      </c>
    </row>
    <row r="315" spans="1:8" ht="89.25" x14ac:dyDescent="0.2">
      <c r="A315" s="190" t="s">
        <v>1392</v>
      </c>
      <c r="B315" s="136" t="s">
        <v>5</v>
      </c>
      <c r="C315" s="136" t="s">
        <v>400</v>
      </c>
      <c r="D315" s="136" t="s">
        <v>1393</v>
      </c>
      <c r="E315" s="136" t="s">
        <v>1314</v>
      </c>
      <c r="F315" s="192">
        <v>500000</v>
      </c>
      <c r="G315" s="192">
        <v>500000</v>
      </c>
      <c r="H315" s="143" t="str">
        <f t="shared" si="5"/>
        <v>04121040080000</v>
      </c>
    </row>
    <row r="316" spans="1:8" ht="38.25" x14ac:dyDescent="0.2">
      <c r="A316" s="190" t="s">
        <v>1502</v>
      </c>
      <c r="B316" s="136" t="s">
        <v>5</v>
      </c>
      <c r="C316" s="136" t="s">
        <v>400</v>
      </c>
      <c r="D316" s="136" t="s">
        <v>1393</v>
      </c>
      <c r="E316" s="136" t="s">
        <v>1503</v>
      </c>
      <c r="F316" s="192">
        <v>500000</v>
      </c>
      <c r="G316" s="192">
        <v>500000</v>
      </c>
      <c r="H316" s="143" t="str">
        <f t="shared" si="5"/>
        <v>04121040080000200</v>
      </c>
    </row>
    <row r="317" spans="1:8" ht="38.25" x14ac:dyDescent="0.2">
      <c r="A317" s="190" t="s">
        <v>1338</v>
      </c>
      <c r="B317" s="136" t="s">
        <v>5</v>
      </c>
      <c r="C317" s="136" t="s">
        <v>400</v>
      </c>
      <c r="D317" s="136" t="s">
        <v>1393</v>
      </c>
      <c r="E317" s="136" t="s">
        <v>1339</v>
      </c>
      <c r="F317" s="192">
        <v>500000</v>
      </c>
      <c r="G317" s="192">
        <v>500000</v>
      </c>
      <c r="H317" s="143" t="str">
        <f t="shared" si="5"/>
        <v>04121040080000240</v>
      </c>
    </row>
    <row r="318" spans="1:8" x14ac:dyDescent="0.2">
      <c r="A318" s="190" t="s">
        <v>1379</v>
      </c>
      <c r="B318" s="136" t="s">
        <v>5</v>
      </c>
      <c r="C318" s="136" t="s">
        <v>400</v>
      </c>
      <c r="D318" s="136" t="s">
        <v>1393</v>
      </c>
      <c r="E318" s="136" t="s">
        <v>368</v>
      </c>
      <c r="F318" s="192">
        <v>500000</v>
      </c>
      <c r="G318" s="192">
        <v>500000</v>
      </c>
      <c r="H318" s="143" t="str">
        <f t="shared" si="5"/>
        <v>04121040080000244</v>
      </c>
    </row>
    <row r="319" spans="1:8" ht="38.25" x14ac:dyDescent="0.2">
      <c r="A319" s="190" t="s">
        <v>534</v>
      </c>
      <c r="B319" s="136" t="s">
        <v>5</v>
      </c>
      <c r="C319" s="136" t="s">
        <v>400</v>
      </c>
      <c r="D319" s="136" t="s">
        <v>1063</v>
      </c>
      <c r="E319" s="136" t="s">
        <v>1314</v>
      </c>
      <c r="F319" s="192">
        <v>93000</v>
      </c>
      <c r="G319" s="192">
        <v>93000</v>
      </c>
      <c r="H319" s="143" t="str">
        <f t="shared" si="5"/>
        <v>04121200000000</v>
      </c>
    </row>
    <row r="320" spans="1:8" ht="25.5" x14ac:dyDescent="0.2">
      <c r="A320" s="190" t="s">
        <v>536</v>
      </c>
      <c r="B320" s="136" t="s">
        <v>5</v>
      </c>
      <c r="C320" s="136" t="s">
        <v>400</v>
      </c>
      <c r="D320" s="136" t="s">
        <v>1065</v>
      </c>
      <c r="E320" s="136" t="s">
        <v>1314</v>
      </c>
      <c r="F320" s="192">
        <v>93000</v>
      </c>
      <c r="G320" s="192">
        <v>93000</v>
      </c>
      <c r="H320" s="143" t="str">
        <f t="shared" si="5"/>
        <v>04121220000000</v>
      </c>
    </row>
    <row r="321" spans="1:8" ht="89.25" x14ac:dyDescent="0.2">
      <c r="A321" s="190" t="s">
        <v>1315</v>
      </c>
      <c r="B321" s="136" t="s">
        <v>5</v>
      </c>
      <c r="C321" s="136" t="s">
        <v>400</v>
      </c>
      <c r="D321" s="136" t="s">
        <v>1316</v>
      </c>
      <c r="E321" s="136" t="s">
        <v>1314</v>
      </c>
      <c r="F321" s="192">
        <v>93000</v>
      </c>
      <c r="G321" s="192">
        <v>93000</v>
      </c>
      <c r="H321" s="143" t="str">
        <f t="shared" si="5"/>
        <v>04121220080010</v>
      </c>
    </row>
    <row r="322" spans="1:8" ht="38.25" x14ac:dyDescent="0.2">
      <c r="A322" s="190" t="s">
        <v>1502</v>
      </c>
      <c r="B322" s="136" t="s">
        <v>5</v>
      </c>
      <c r="C322" s="136" t="s">
        <v>400</v>
      </c>
      <c r="D322" s="136" t="s">
        <v>1316</v>
      </c>
      <c r="E322" s="136" t="s">
        <v>1503</v>
      </c>
      <c r="F322" s="192">
        <v>93000</v>
      </c>
      <c r="G322" s="192">
        <v>93000</v>
      </c>
      <c r="H322" s="143" t="str">
        <f t="shared" si="5"/>
        <v>04121220080010200</v>
      </c>
    </row>
    <row r="323" spans="1:8" ht="38.25" x14ac:dyDescent="0.2">
      <c r="A323" s="190" t="s">
        <v>1338</v>
      </c>
      <c r="B323" s="136" t="s">
        <v>5</v>
      </c>
      <c r="C323" s="136" t="s">
        <v>400</v>
      </c>
      <c r="D323" s="136" t="s">
        <v>1316</v>
      </c>
      <c r="E323" s="136" t="s">
        <v>1339</v>
      </c>
      <c r="F323" s="192">
        <v>93000</v>
      </c>
      <c r="G323" s="192">
        <v>93000</v>
      </c>
      <c r="H323" s="143" t="str">
        <f t="shared" si="5"/>
        <v>04121220080010240</v>
      </c>
    </row>
    <row r="324" spans="1:8" x14ac:dyDescent="0.2">
      <c r="A324" s="190" t="s">
        <v>1379</v>
      </c>
      <c r="B324" s="136" t="s">
        <v>5</v>
      </c>
      <c r="C324" s="136" t="s">
        <v>400</v>
      </c>
      <c r="D324" s="136" t="s">
        <v>1316</v>
      </c>
      <c r="E324" s="136" t="s">
        <v>368</v>
      </c>
      <c r="F324" s="192">
        <v>93000</v>
      </c>
      <c r="G324" s="192">
        <v>93000</v>
      </c>
      <c r="H324" s="143" t="str">
        <f t="shared" si="5"/>
        <v>04121220080010244</v>
      </c>
    </row>
    <row r="325" spans="1:8" ht="25.5" x14ac:dyDescent="0.2">
      <c r="A325" s="190" t="s">
        <v>255</v>
      </c>
      <c r="B325" s="136" t="s">
        <v>5</v>
      </c>
      <c r="C325" s="136" t="s">
        <v>1219</v>
      </c>
      <c r="D325" s="136" t="s">
        <v>1314</v>
      </c>
      <c r="E325" s="136" t="s">
        <v>1314</v>
      </c>
      <c r="F325" s="192">
        <v>220778420</v>
      </c>
      <c r="G325" s="192">
        <v>220778420</v>
      </c>
      <c r="H325" s="143" t="str">
        <f t="shared" si="5"/>
        <v>0500</v>
      </c>
    </row>
    <row r="326" spans="1:8" x14ac:dyDescent="0.2">
      <c r="A326" s="190" t="s">
        <v>153</v>
      </c>
      <c r="B326" s="136" t="s">
        <v>5</v>
      </c>
      <c r="C326" s="136" t="s">
        <v>404</v>
      </c>
      <c r="D326" s="136" t="s">
        <v>1314</v>
      </c>
      <c r="E326" s="136" t="s">
        <v>1314</v>
      </c>
      <c r="F326" s="192">
        <v>220778420</v>
      </c>
      <c r="G326" s="192">
        <v>220778420</v>
      </c>
      <c r="H326" s="143" t="str">
        <f t="shared" si="5"/>
        <v>0502</v>
      </c>
    </row>
    <row r="327" spans="1:8" ht="63.75" x14ac:dyDescent="0.2">
      <c r="A327" s="190" t="s">
        <v>493</v>
      </c>
      <c r="B327" s="136" t="s">
        <v>5</v>
      </c>
      <c r="C327" s="136" t="s">
        <v>404</v>
      </c>
      <c r="D327" s="136" t="s">
        <v>1034</v>
      </c>
      <c r="E327" s="136" t="s">
        <v>1314</v>
      </c>
      <c r="F327" s="192">
        <v>220740520</v>
      </c>
      <c r="G327" s="192">
        <v>220740520</v>
      </c>
      <c r="H327" s="143" t="str">
        <f t="shared" si="5"/>
        <v>05020300000000</v>
      </c>
    </row>
    <row r="328" spans="1:8" ht="51" x14ac:dyDescent="0.2">
      <c r="A328" s="190" t="s">
        <v>638</v>
      </c>
      <c r="B328" s="136" t="s">
        <v>5</v>
      </c>
      <c r="C328" s="136" t="s">
        <v>404</v>
      </c>
      <c r="D328" s="136" t="s">
        <v>1035</v>
      </c>
      <c r="E328" s="136" t="s">
        <v>1314</v>
      </c>
      <c r="F328" s="192">
        <v>220740520</v>
      </c>
      <c r="G328" s="192">
        <v>220740520</v>
      </c>
      <c r="H328" s="143" t="str">
        <f t="shared" si="5"/>
        <v>05020320000000</v>
      </c>
    </row>
    <row r="329" spans="1:8" ht="140.25" x14ac:dyDescent="0.2">
      <c r="A329" s="190" t="s">
        <v>1270</v>
      </c>
      <c r="B329" s="136" t="s">
        <v>5</v>
      </c>
      <c r="C329" s="136" t="s">
        <v>404</v>
      </c>
      <c r="D329" s="136" t="s">
        <v>736</v>
      </c>
      <c r="E329" s="136" t="s">
        <v>1314</v>
      </c>
      <c r="F329" s="192">
        <v>203640020</v>
      </c>
      <c r="G329" s="192">
        <v>203640020</v>
      </c>
      <c r="H329" s="143" t="str">
        <f t="shared" si="5"/>
        <v>05020320075700</v>
      </c>
    </row>
    <row r="330" spans="1:8" x14ac:dyDescent="0.2">
      <c r="A330" s="190" t="s">
        <v>1504</v>
      </c>
      <c r="B330" s="136" t="s">
        <v>5</v>
      </c>
      <c r="C330" s="136" t="s">
        <v>404</v>
      </c>
      <c r="D330" s="136" t="s">
        <v>736</v>
      </c>
      <c r="E330" s="136" t="s">
        <v>1505</v>
      </c>
      <c r="F330" s="192">
        <v>203640020</v>
      </c>
      <c r="G330" s="192">
        <v>203640020</v>
      </c>
      <c r="H330" s="143" t="str">
        <f t="shared" si="5"/>
        <v>05020320075700800</v>
      </c>
    </row>
    <row r="331" spans="1:8" ht="63.75" x14ac:dyDescent="0.2">
      <c r="A331" s="190" t="s">
        <v>1348</v>
      </c>
      <c r="B331" s="136" t="s">
        <v>5</v>
      </c>
      <c r="C331" s="136" t="s">
        <v>404</v>
      </c>
      <c r="D331" s="136" t="s">
        <v>736</v>
      </c>
      <c r="E331" s="136" t="s">
        <v>394</v>
      </c>
      <c r="F331" s="192">
        <v>203640020</v>
      </c>
      <c r="G331" s="192">
        <v>203640020</v>
      </c>
      <c r="H331" s="143" t="str">
        <f t="shared" si="5"/>
        <v>05020320075700810</v>
      </c>
    </row>
    <row r="332" spans="1:8" ht="76.5" x14ac:dyDescent="0.2">
      <c r="A332" s="190" t="s">
        <v>1381</v>
      </c>
      <c r="B332" s="136" t="s">
        <v>5</v>
      </c>
      <c r="C332" s="136" t="s">
        <v>404</v>
      </c>
      <c r="D332" s="136" t="s">
        <v>736</v>
      </c>
      <c r="E332" s="136" t="s">
        <v>1382</v>
      </c>
      <c r="F332" s="192">
        <v>203640020</v>
      </c>
      <c r="G332" s="192">
        <v>203640020</v>
      </c>
      <c r="H332" s="143" t="str">
        <f t="shared" si="5"/>
        <v>05020320075700811</v>
      </c>
    </row>
    <row r="333" spans="1:8" ht="216.75" x14ac:dyDescent="0.2">
      <c r="A333" s="190" t="s">
        <v>1532</v>
      </c>
      <c r="B333" s="136" t="s">
        <v>5</v>
      </c>
      <c r="C333" s="136" t="s">
        <v>404</v>
      </c>
      <c r="D333" s="136" t="s">
        <v>735</v>
      </c>
      <c r="E333" s="136" t="s">
        <v>1314</v>
      </c>
      <c r="F333" s="192">
        <v>17100500</v>
      </c>
      <c r="G333" s="192">
        <v>17100500</v>
      </c>
      <c r="H333" s="143" t="str">
        <f t="shared" si="5"/>
        <v>05020320075770</v>
      </c>
    </row>
    <row r="334" spans="1:8" x14ac:dyDescent="0.2">
      <c r="A334" s="190" t="s">
        <v>1504</v>
      </c>
      <c r="B334" s="136" t="s">
        <v>5</v>
      </c>
      <c r="C334" s="136" t="s">
        <v>404</v>
      </c>
      <c r="D334" s="136" t="s">
        <v>735</v>
      </c>
      <c r="E334" s="136" t="s">
        <v>1505</v>
      </c>
      <c r="F334" s="192">
        <v>17100500</v>
      </c>
      <c r="G334" s="192">
        <v>17100500</v>
      </c>
      <c r="H334" s="143" t="str">
        <f t="shared" si="5"/>
        <v>05020320075770800</v>
      </c>
    </row>
    <row r="335" spans="1:8" ht="63.75" x14ac:dyDescent="0.2">
      <c r="A335" s="190" t="s">
        <v>1348</v>
      </c>
      <c r="B335" s="136" t="s">
        <v>5</v>
      </c>
      <c r="C335" s="136" t="s">
        <v>404</v>
      </c>
      <c r="D335" s="136" t="s">
        <v>735</v>
      </c>
      <c r="E335" s="136" t="s">
        <v>394</v>
      </c>
      <c r="F335" s="192">
        <v>17100500</v>
      </c>
      <c r="G335" s="192">
        <v>17100500</v>
      </c>
      <c r="H335" s="143" t="str">
        <f t="shared" si="5"/>
        <v>05020320075770810</v>
      </c>
    </row>
    <row r="336" spans="1:8" ht="76.5" x14ac:dyDescent="0.2">
      <c r="A336" s="190" t="s">
        <v>1381</v>
      </c>
      <c r="B336" s="136" t="s">
        <v>5</v>
      </c>
      <c r="C336" s="136" t="s">
        <v>404</v>
      </c>
      <c r="D336" s="136" t="s">
        <v>735</v>
      </c>
      <c r="E336" s="136" t="s">
        <v>1382</v>
      </c>
      <c r="F336" s="192">
        <v>17100500</v>
      </c>
      <c r="G336" s="192">
        <v>17100500</v>
      </c>
      <c r="H336" s="143" t="str">
        <f t="shared" si="5"/>
        <v>05020320075770811</v>
      </c>
    </row>
    <row r="337" spans="1:8" ht="25.5" x14ac:dyDescent="0.2">
      <c r="A337" s="190" t="s">
        <v>648</v>
      </c>
      <c r="B337" s="136" t="s">
        <v>5</v>
      </c>
      <c r="C337" s="136" t="s">
        <v>404</v>
      </c>
      <c r="D337" s="136" t="s">
        <v>1072</v>
      </c>
      <c r="E337" s="136" t="s">
        <v>1314</v>
      </c>
      <c r="F337" s="192">
        <v>37900</v>
      </c>
      <c r="G337" s="192">
        <v>37900</v>
      </c>
      <c r="H337" s="143" t="str">
        <f t="shared" si="5"/>
        <v>05029000000000</v>
      </c>
    </row>
    <row r="338" spans="1:8" ht="38.25" x14ac:dyDescent="0.2">
      <c r="A338" s="190" t="s">
        <v>471</v>
      </c>
      <c r="B338" s="136" t="s">
        <v>5</v>
      </c>
      <c r="C338" s="136" t="s">
        <v>404</v>
      </c>
      <c r="D338" s="136" t="s">
        <v>1076</v>
      </c>
      <c r="E338" s="136" t="s">
        <v>1314</v>
      </c>
      <c r="F338" s="192">
        <v>37900</v>
      </c>
      <c r="G338" s="192">
        <v>37900</v>
      </c>
      <c r="H338" s="143" t="str">
        <f t="shared" si="5"/>
        <v>05029090000000</v>
      </c>
    </row>
    <row r="339" spans="1:8" ht="63.75" x14ac:dyDescent="0.2">
      <c r="A339" s="190" t="s">
        <v>737</v>
      </c>
      <c r="B339" s="136" t="s">
        <v>5</v>
      </c>
      <c r="C339" s="136" t="s">
        <v>404</v>
      </c>
      <c r="D339" s="136" t="s">
        <v>738</v>
      </c>
      <c r="E339" s="136" t="s">
        <v>1314</v>
      </c>
      <c r="F339" s="192">
        <v>37900</v>
      </c>
      <c r="G339" s="192">
        <v>37900</v>
      </c>
      <c r="H339" s="143" t="str">
        <f t="shared" si="5"/>
        <v>050290900Ш0000</v>
      </c>
    </row>
    <row r="340" spans="1:8" ht="38.25" x14ac:dyDescent="0.2">
      <c r="A340" s="190" t="s">
        <v>1502</v>
      </c>
      <c r="B340" s="136" t="s">
        <v>5</v>
      </c>
      <c r="C340" s="136" t="s">
        <v>404</v>
      </c>
      <c r="D340" s="136" t="s">
        <v>738</v>
      </c>
      <c r="E340" s="136" t="s">
        <v>1503</v>
      </c>
      <c r="F340" s="192">
        <v>37900</v>
      </c>
      <c r="G340" s="192">
        <v>37900</v>
      </c>
      <c r="H340" s="143" t="str">
        <f t="shared" si="5"/>
        <v>050290900Ш0000200</v>
      </c>
    </row>
    <row r="341" spans="1:8" ht="38.25" x14ac:dyDescent="0.2">
      <c r="A341" s="190" t="s">
        <v>1338</v>
      </c>
      <c r="B341" s="136" t="s">
        <v>5</v>
      </c>
      <c r="C341" s="136" t="s">
        <v>404</v>
      </c>
      <c r="D341" s="136" t="s">
        <v>738</v>
      </c>
      <c r="E341" s="136" t="s">
        <v>1339</v>
      </c>
      <c r="F341" s="192">
        <v>37900</v>
      </c>
      <c r="G341" s="192">
        <v>37900</v>
      </c>
      <c r="H341" s="143" t="str">
        <f t="shared" si="5"/>
        <v>050290900Ш0000240</v>
      </c>
    </row>
    <row r="342" spans="1:8" x14ac:dyDescent="0.2">
      <c r="A342" s="200" t="s">
        <v>1379</v>
      </c>
      <c r="B342" s="136" t="s">
        <v>5</v>
      </c>
      <c r="C342" s="136" t="s">
        <v>404</v>
      </c>
      <c r="D342" s="136" t="s">
        <v>738</v>
      </c>
      <c r="E342" s="136" t="s">
        <v>368</v>
      </c>
      <c r="F342" s="192">
        <v>37900</v>
      </c>
      <c r="G342" s="192">
        <v>37900</v>
      </c>
      <c r="H342" s="143" t="str">
        <f t="shared" si="5"/>
        <v>050290900Ш0000244</v>
      </c>
    </row>
    <row r="343" spans="1:8" x14ac:dyDescent="0.2">
      <c r="A343" s="190" t="s">
        <v>1938</v>
      </c>
      <c r="B343" s="136" t="s">
        <v>5</v>
      </c>
      <c r="C343" s="136" t="s">
        <v>1939</v>
      </c>
      <c r="D343" s="136" t="s">
        <v>1314</v>
      </c>
      <c r="E343" s="136" t="s">
        <v>1314</v>
      </c>
      <c r="F343" s="192">
        <v>1151500</v>
      </c>
      <c r="G343" s="192">
        <v>1151500</v>
      </c>
      <c r="H343" s="143" t="str">
        <f t="shared" si="5"/>
        <v>0600</v>
      </c>
    </row>
    <row r="344" spans="1:8" ht="25.5" x14ac:dyDescent="0.2">
      <c r="A344" s="190" t="s">
        <v>2042</v>
      </c>
      <c r="B344" s="136" t="s">
        <v>5</v>
      </c>
      <c r="C344" s="136" t="s">
        <v>2043</v>
      </c>
      <c r="D344" s="136" t="s">
        <v>1314</v>
      </c>
      <c r="E344" s="136" t="s">
        <v>1314</v>
      </c>
      <c r="F344" s="192">
        <v>1151500</v>
      </c>
      <c r="G344" s="192">
        <v>1151500</v>
      </c>
      <c r="H344" s="143" t="str">
        <f t="shared" si="5"/>
        <v>0603</v>
      </c>
    </row>
    <row r="345" spans="1:8" ht="25.5" x14ac:dyDescent="0.2">
      <c r="A345" s="190" t="s">
        <v>2037</v>
      </c>
      <c r="B345" s="136" t="s">
        <v>5</v>
      </c>
      <c r="C345" s="136" t="s">
        <v>2043</v>
      </c>
      <c r="D345" s="136" t="s">
        <v>2038</v>
      </c>
      <c r="E345" s="136" t="s">
        <v>1314</v>
      </c>
      <c r="F345" s="192">
        <v>1151500</v>
      </c>
      <c r="G345" s="192">
        <v>1151500</v>
      </c>
      <c r="H345" s="143" t="str">
        <f t="shared" si="5"/>
        <v>06030200000000</v>
      </c>
    </row>
    <row r="346" spans="1:8" ht="25.5" x14ac:dyDescent="0.2">
      <c r="A346" s="200" t="s">
        <v>2044</v>
      </c>
      <c r="B346" s="136" t="s">
        <v>5</v>
      </c>
      <c r="C346" s="136" t="s">
        <v>2043</v>
      </c>
      <c r="D346" s="136" t="s">
        <v>2045</v>
      </c>
      <c r="E346" s="136" t="s">
        <v>1314</v>
      </c>
      <c r="F346" s="192">
        <v>1151500</v>
      </c>
      <c r="G346" s="192">
        <v>1151500</v>
      </c>
      <c r="H346" s="143" t="str">
        <f t="shared" si="5"/>
        <v>06030220000000</v>
      </c>
    </row>
    <row r="347" spans="1:8" ht="102" x14ac:dyDescent="0.2">
      <c r="A347" s="190" t="s">
        <v>2046</v>
      </c>
      <c r="B347" s="136" t="s">
        <v>5</v>
      </c>
      <c r="C347" s="136" t="s">
        <v>2043</v>
      </c>
      <c r="D347" s="136" t="s">
        <v>2047</v>
      </c>
      <c r="E347" s="136" t="s">
        <v>1314</v>
      </c>
      <c r="F347" s="192">
        <v>1151500</v>
      </c>
      <c r="G347" s="192">
        <v>1151500</v>
      </c>
      <c r="H347" s="143" t="str">
        <f t="shared" si="5"/>
        <v>06030220075180</v>
      </c>
    </row>
    <row r="348" spans="1:8" ht="76.5" x14ac:dyDescent="0.2">
      <c r="A348" s="245" t="s">
        <v>1501</v>
      </c>
      <c r="B348" s="136" t="s">
        <v>5</v>
      </c>
      <c r="C348" s="136" t="s">
        <v>2043</v>
      </c>
      <c r="D348" s="136" t="s">
        <v>2047</v>
      </c>
      <c r="E348" s="136" t="s">
        <v>290</v>
      </c>
      <c r="F348" s="192">
        <v>77720</v>
      </c>
      <c r="G348" s="192">
        <v>77720</v>
      </c>
      <c r="H348" s="143"/>
    </row>
    <row r="349" spans="1:8" ht="38.25" x14ac:dyDescent="0.2">
      <c r="A349" s="245" t="s">
        <v>1345</v>
      </c>
      <c r="B349" s="136" t="s">
        <v>5</v>
      </c>
      <c r="C349" s="136" t="s">
        <v>2043</v>
      </c>
      <c r="D349" s="136" t="s">
        <v>2047</v>
      </c>
      <c r="E349" s="136" t="s">
        <v>30</v>
      </c>
      <c r="F349" s="192">
        <v>77720</v>
      </c>
      <c r="G349" s="192">
        <v>77720</v>
      </c>
      <c r="H349" s="143"/>
    </row>
    <row r="350" spans="1:8" ht="25.5" x14ac:dyDescent="0.2">
      <c r="A350" s="190" t="s">
        <v>1010</v>
      </c>
      <c r="B350" s="136" t="s">
        <v>5</v>
      </c>
      <c r="C350" s="136" t="s">
        <v>2043</v>
      </c>
      <c r="D350" s="136" t="s">
        <v>2047</v>
      </c>
      <c r="E350" s="136" t="s">
        <v>363</v>
      </c>
      <c r="F350" s="192">
        <v>59689</v>
      </c>
      <c r="G350" s="192">
        <v>59689</v>
      </c>
      <c r="H350" s="143" t="str">
        <f t="shared" si="5"/>
        <v>06030220075180121</v>
      </c>
    </row>
    <row r="351" spans="1:8" ht="63.75" x14ac:dyDescent="0.2">
      <c r="A351" s="190" t="s">
        <v>1115</v>
      </c>
      <c r="B351" s="136" t="s">
        <v>5</v>
      </c>
      <c r="C351" s="136" t="s">
        <v>2043</v>
      </c>
      <c r="D351" s="136" t="s">
        <v>2047</v>
      </c>
      <c r="E351" s="136" t="s">
        <v>1116</v>
      </c>
      <c r="F351" s="192">
        <v>18031</v>
      </c>
      <c r="G351" s="192">
        <v>18031</v>
      </c>
      <c r="H351" s="143" t="str">
        <f t="shared" si="5"/>
        <v>06030220075180129</v>
      </c>
    </row>
    <row r="352" spans="1:8" ht="38.25" x14ac:dyDescent="0.2">
      <c r="A352" s="190" t="s">
        <v>1502</v>
      </c>
      <c r="B352" s="136" t="s">
        <v>5</v>
      </c>
      <c r="C352" s="136" t="s">
        <v>2043</v>
      </c>
      <c r="D352" s="136" t="s">
        <v>2047</v>
      </c>
      <c r="E352" s="136" t="s">
        <v>1503</v>
      </c>
      <c r="F352" s="192">
        <v>1073780</v>
      </c>
      <c r="G352" s="192">
        <v>1073780</v>
      </c>
      <c r="H352" s="143" t="str">
        <f t="shared" si="5"/>
        <v>06030220075180200</v>
      </c>
    </row>
    <row r="353" spans="1:8" ht="38.25" x14ac:dyDescent="0.2">
      <c r="A353" s="190" t="s">
        <v>1338</v>
      </c>
      <c r="B353" s="136" t="s">
        <v>5</v>
      </c>
      <c r="C353" s="136" t="s">
        <v>2043</v>
      </c>
      <c r="D353" s="136" t="s">
        <v>2047</v>
      </c>
      <c r="E353" s="136" t="s">
        <v>1339</v>
      </c>
      <c r="F353" s="192">
        <v>1073780</v>
      </c>
      <c r="G353" s="192">
        <v>1073780</v>
      </c>
      <c r="H353" s="143" t="str">
        <f t="shared" si="5"/>
        <v>06030220075180240</v>
      </c>
    </row>
    <row r="354" spans="1:8" x14ac:dyDescent="0.2">
      <c r="A354" s="190" t="s">
        <v>1379</v>
      </c>
      <c r="B354" s="136" t="s">
        <v>5</v>
      </c>
      <c r="C354" s="136" t="s">
        <v>2043</v>
      </c>
      <c r="D354" s="136" t="s">
        <v>2047</v>
      </c>
      <c r="E354" s="136" t="s">
        <v>368</v>
      </c>
      <c r="F354" s="192">
        <v>1073780</v>
      </c>
      <c r="G354" s="192">
        <v>1073780</v>
      </c>
      <c r="H354" s="143" t="str">
        <f t="shared" si="5"/>
        <v>06030220075180244</v>
      </c>
    </row>
    <row r="355" spans="1:8" x14ac:dyDescent="0.2">
      <c r="A355" s="190" t="s">
        <v>266</v>
      </c>
      <c r="B355" s="136" t="s">
        <v>5</v>
      </c>
      <c r="C355" s="136" t="s">
        <v>1226</v>
      </c>
      <c r="D355" s="136" t="s">
        <v>1314</v>
      </c>
      <c r="E355" s="136" t="s">
        <v>1314</v>
      </c>
      <c r="F355" s="192">
        <v>150000</v>
      </c>
      <c r="G355" s="192">
        <v>150000</v>
      </c>
      <c r="H355" s="143" t="str">
        <f t="shared" si="5"/>
        <v>0800</v>
      </c>
    </row>
    <row r="356" spans="1:8" x14ac:dyDescent="0.2">
      <c r="A356" s="190" t="s">
        <v>222</v>
      </c>
      <c r="B356" s="136" t="s">
        <v>5</v>
      </c>
      <c r="C356" s="136" t="s">
        <v>432</v>
      </c>
      <c r="D356" s="136" t="s">
        <v>1314</v>
      </c>
      <c r="E356" s="136" t="s">
        <v>1314</v>
      </c>
      <c r="F356" s="192">
        <v>150000</v>
      </c>
      <c r="G356" s="192">
        <v>150000</v>
      </c>
      <c r="H356" s="143" t="str">
        <f t="shared" si="5"/>
        <v>0801</v>
      </c>
    </row>
    <row r="357" spans="1:8" ht="51" x14ac:dyDescent="0.2">
      <c r="A357" s="190" t="s">
        <v>2048</v>
      </c>
      <c r="B357" s="136" t="s">
        <v>5</v>
      </c>
      <c r="C357" s="136" t="s">
        <v>432</v>
      </c>
      <c r="D357" s="136" t="s">
        <v>2049</v>
      </c>
      <c r="E357" s="136" t="s">
        <v>1314</v>
      </c>
      <c r="F357" s="192">
        <v>150000</v>
      </c>
      <c r="G357" s="192">
        <v>150000</v>
      </c>
      <c r="H357" s="143" t="str">
        <f t="shared" si="5"/>
        <v>08011300000000</v>
      </c>
    </row>
    <row r="358" spans="1:8" ht="38.25" x14ac:dyDescent="0.2">
      <c r="A358" s="190" t="s">
        <v>2050</v>
      </c>
      <c r="B358" s="136" t="s">
        <v>5</v>
      </c>
      <c r="C358" s="136" t="s">
        <v>432</v>
      </c>
      <c r="D358" s="136" t="s">
        <v>2051</v>
      </c>
      <c r="E358" s="136" t="s">
        <v>1314</v>
      </c>
      <c r="F358" s="192">
        <v>150000</v>
      </c>
      <c r="G358" s="192">
        <v>150000</v>
      </c>
      <c r="H358" s="143" t="str">
        <f t="shared" si="5"/>
        <v>08011310000000</v>
      </c>
    </row>
    <row r="359" spans="1:8" ht="127.5" x14ac:dyDescent="0.2">
      <c r="A359" s="190" t="s">
        <v>2052</v>
      </c>
      <c r="B359" s="136" t="s">
        <v>5</v>
      </c>
      <c r="C359" s="136" t="s">
        <v>432</v>
      </c>
      <c r="D359" s="136" t="s">
        <v>2053</v>
      </c>
      <c r="E359" s="136" t="s">
        <v>1314</v>
      </c>
      <c r="F359" s="192">
        <v>150000</v>
      </c>
      <c r="G359" s="192">
        <v>150000</v>
      </c>
      <c r="H359" s="143" t="str">
        <f t="shared" si="5"/>
        <v>08011310080010</v>
      </c>
    </row>
    <row r="360" spans="1:8" ht="38.25" x14ac:dyDescent="0.2">
      <c r="A360" s="190" t="s">
        <v>1510</v>
      </c>
      <c r="B360" s="136" t="s">
        <v>5</v>
      </c>
      <c r="C360" s="136" t="s">
        <v>432</v>
      </c>
      <c r="D360" s="136" t="s">
        <v>2053</v>
      </c>
      <c r="E360" s="136" t="s">
        <v>1511</v>
      </c>
      <c r="F360" s="192">
        <v>150000</v>
      </c>
      <c r="G360" s="192">
        <v>150000</v>
      </c>
      <c r="H360" s="143" t="str">
        <f t="shared" si="5"/>
        <v>08011310080010600</v>
      </c>
    </row>
    <row r="361" spans="1:8" ht="38.25" x14ac:dyDescent="0.2">
      <c r="A361" s="190" t="s">
        <v>2054</v>
      </c>
      <c r="B361" s="136" t="s">
        <v>5</v>
      </c>
      <c r="C361" s="136" t="s">
        <v>432</v>
      </c>
      <c r="D361" s="136" t="s">
        <v>2053</v>
      </c>
      <c r="E361" s="136" t="s">
        <v>2055</v>
      </c>
      <c r="F361" s="148">
        <v>150000</v>
      </c>
      <c r="G361" s="148">
        <v>150000</v>
      </c>
      <c r="H361" s="143" t="str">
        <f t="shared" si="5"/>
        <v>08011310080010630</v>
      </c>
    </row>
    <row r="362" spans="1:8" ht="38.25" x14ac:dyDescent="0.2">
      <c r="A362" s="190" t="s">
        <v>2056</v>
      </c>
      <c r="B362" s="136" t="s">
        <v>5</v>
      </c>
      <c r="C362" s="136" t="s">
        <v>432</v>
      </c>
      <c r="D362" s="136" t="s">
        <v>2053</v>
      </c>
      <c r="E362" s="136" t="s">
        <v>2057</v>
      </c>
      <c r="F362" s="148">
        <v>150000</v>
      </c>
      <c r="G362" s="148">
        <v>150000</v>
      </c>
      <c r="H362" s="143" t="str">
        <f t="shared" si="5"/>
        <v>08011310080010633</v>
      </c>
    </row>
    <row r="363" spans="1:8" x14ac:dyDescent="0.2">
      <c r="A363" s="190" t="s">
        <v>148</v>
      </c>
      <c r="B363" s="136" t="s">
        <v>5</v>
      </c>
      <c r="C363" s="136" t="s">
        <v>1221</v>
      </c>
      <c r="D363" s="136" t="s">
        <v>1314</v>
      </c>
      <c r="E363" s="136" t="s">
        <v>1314</v>
      </c>
      <c r="F363" s="148">
        <v>3311407</v>
      </c>
      <c r="G363" s="148">
        <v>3311407</v>
      </c>
      <c r="H363" s="143" t="str">
        <f t="shared" si="5"/>
        <v>1000</v>
      </c>
    </row>
    <row r="364" spans="1:8" x14ac:dyDescent="0.2">
      <c r="A364" s="200" t="s">
        <v>104</v>
      </c>
      <c r="B364" s="136" t="s">
        <v>5</v>
      </c>
      <c r="C364" s="136" t="s">
        <v>415</v>
      </c>
      <c r="D364" s="136" t="s">
        <v>1314</v>
      </c>
      <c r="E364" s="136" t="s">
        <v>1314</v>
      </c>
      <c r="F364" s="148">
        <v>2405107</v>
      </c>
      <c r="G364" s="148">
        <v>2405107</v>
      </c>
      <c r="H364" s="143" t="str">
        <f t="shared" si="5"/>
        <v>1001</v>
      </c>
    </row>
    <row r="365" spans="1:8" ht="25.5" x14ac:dyDescent="0.2">
      <c r="A365" s="190" t="s">
        <v>648</v>
      </c>
      <c r="B365" s="136" t="s">
        <v>5</v>
      </c>
      <c r="C365" s="136" t="s">
        <v>415</v>
      </c>
      <c r="D365" s="136" t="s">
        <v>1072</v>
      </c>
      <c r="E365" s="136" t="s">
        <v>1314</v>
      </c>
      <c r="F365" s="148">
        <v>2405107</v>
      </c>
      <c r="G365" s="148">
        <v>2405107</v>
      </c>
      <c r="H365" s="143" t="str">
        <f t="shared" si="5"/>
        <v>10019000000000</v>
      </c>
    </row>
    <row r="366" spans="1:8" ht="38.25" x14ac:dyDescent="0.2">
      <c r="A366" s="190" t="s">
        <v>471</v>
      </c>
      <c r="B366" s="136" t="s">
        <v>5</v>
      </c>
      <c r="C366" s="136" t="s">
        <v>415</v>
      </c>
      <c r="D366" s="136" t="s">
        <v>1076</v>
      </c>
      <c r="E366" s="136" t="s">
        <v>1314</v>
      </c>
      <c r="F366" s="148">
        <v>2405107</v>
      </c>
      <c r="G366" s="148">
        <v>2405107</v>
      </c>
      <c r="H366" s="143" t="str">
        <f t="shared" si="5"/>
        <v>10019090000000</v>
      </c>
    </row>
    <row r="367" spans="1:8" ht="38.25" x14ac:dyDescent="0.2">
      <c r="A367" s="190" t="s">
        <v>471</v>
      </c>
      <c r="B367" s="136" t="s">
        <v>5</v>
      </c>
      <c r="C367" s="136" t="s">
        <v>415</v>
      </c>
      <c r="D367" s="136" t="s">
        <v>852</v>
      </c>
      <c r="E367" s="136" t="s">
        <v>1314</v>
      </c>
      <c r="F367" s="148">
        <v>2405107</v>
      </c>
      <c r="G367" s="148">
        <v>2405107</v>
      </c>
      <c r="H367" s="143" t="str">
        <f t="shared" si="5"/>
        <v>10019090080000</v>
      </c>
    </row>
    <row r="368" spans="1:8" ht="25.5" x14ac:dyDescent="0.2">
      <c r="A368" s="190" t="s">
        <v>1506</v>
      </c>
      <c r="B368" s="136" t="s">
        <v>5</v>
      </c>
      <c r="C368" s="136" t="s">
        <v>415</v>
      </c>
      <c r="D368" s="136" t="s">
        <v>852</v>
      </c>
      <c r="E368" s="136" t="s">
        <v>1507</v>
      </c>
      <c r="F368" s="148">
        <v>2405107</v>
      </c>
      <c r="G368" s="148">
        <v>2405107</v>
      </c>
      <c r="H368" s="143" t="str">
        <f t="shared" si="5"/>
        <v>10019090080000300</v>
      </c>
    </row>
    <row r="369" spans="1:8" ht="25.5" x14ac:dyDescent="0.2">
      <c r="A369" s="190" t="s">
        <v>1346</v>
      </c>
      <c r="B369" s="136" t="s">
        <v>5</v>
      </c>
      <c r="C369" s="136" t="s">
        <v>415</v>
      </c>
      <c r="D369" s="136" t="s">
        <v>852</v>
      </c>
      <c r="E369" s="136" t="s">
        <v>1347</v>
      </c>
      <c r="F369" s="148">
        <v>2405107</v>
      </c>
      <c r="G369" s="148">
        <v>2405107</v>
      </c>
      <c r="H369" s="143" t="str">
        <f t="shared" ref="H369:H429" si="6">CONCATENATE(C369,,D369,E369)</f>
        <v>10019090080000310</v>
      </c>
    </row>
    <row r="370" spans="1:8" ht="25.5" x14ac:dyDescent="0.2">
      <c r="A370" s="190" t="s">
        <v>416</v>
      </c>
      <c r="B370" s="136" t="s">
        <v>5</v>
      </c>
      <c r="C370" s="136" t="s">
        <v>415</v>
      </c>
      <c r="D370" s="136" t="s">
        <v>852</v>
      </c>
      <c r="E370" s="136" t="s">
        <v>417</v>
      </c>
      <c r="F370" s="148">
        <v>2405107</v>
      </c>
      <c r="G370" s="148">
        <v>2405107</v>
      </c>
      <c r="H370" s="143" t="str">
        <f t="shared" si="6"/>
        <v>10019090080000312</v>
      </c>
    </row>
    <row r="371" spans="1:8" ht="25.5" x14ac:dyDescent="0.2">
      <c r="A371" s="190" t="s">
        <v>65</v>
      </c>
      <c r="B371" s="136" t="s">
        <v>5</v>
      </c>
      <c r="C371" s="136" t="s">
        <v>434</v>
      </c>
      <c r="D371" s="136" t="s">
        <v>1314</v>
      </c>
      <c r="E371" s="136" t="s">
        <v>1314</v>
      </c>
      <c r="F371" s="148">
        <v>906300</v>
      </c>
      <c r="G371" s="148">
        <v>906300</v>
      </c>
      <c r="H371" s="143" t="str">
        <f t="shared" si="6"/>
        <v>1006</v>
      </c>
    </row>
    <row r="372" spans="1:8" ht="38.25" x14ac:dyDescent="0.2">
      <c r="A372" s="190" t="s">
        <v>646</v>
      </c>
      <c r="B372" s="136" t="s">
        <v>5</v>
      </c>
      <c r="C372" s="136" t="s">
        <v>434</v>
      </c>
      <c r="D372" s="136" t="s">
        <v>1067</v>
      </c>
      <c r="E372" s="136" t="s">
        <v>1314</v>
      </c>
      <c r="F372" s="148">
        <v>906300</v>
      </c>
      <c r="G372" s="148">
        <v>906300</v>
      </c>
      <c r="H372" s="143" t="str">
        <f t="shared" si="6"/>
        <v>10068000000000</v>
      </c>
    </row>
    <row r="373" spans="1:8" ht="51" x14ac:dyDescent="0.2">
      <c r="A373" s="190" t="s">
        <v>647</v>
      </c>
      <c r="B373" s="136" t="s">
        <v>5</v>
      </c>
      <c r="C373" s="136" t="s">
        <v>434</v>
      </c>
      <c r="D373" s="136" t="s">
        <v>1069</v>
      </c>
      <c r="E373" s="136" t="s">
        <v>1314</v>
      </c>
      <c r="F373" s="192">
        <v>906300</v>
      </c>
      <c r="G373" s="192">
        <v>906300</v>
      </c>
      <c r="H373" s="143" t="str">
        <f t="shared" si="6"/>
        <v>10068020000000</v>
      </c>
    </row>
    <row r="374" spans="1:8" ht="89.25" x14ac:dyDescent="0.2">
      <c r="A374" s="190" t="s">
        <v>1533</v>
      </c>
      <c r="B374" s="136" t="s">
        <v>5</v>
      </c>
      <c r="C374" s="136" t="s">
        <v>434</v>
      </c>
      <c r="D374" s="136" t="s">
        <v>1534</v>
      </c>
      <c r="E374" s="136" t="s">
        <v>1314</v>
      </c>
      <c r="F374" s="192">
        <v>906300</v>
      </c>
      <c r="G374" s="192">
        <v>906300</v>
      </c>
      <c r="H374" s="143" t="str">
        <f t="shared" si="6"/>
        <v>10068020002890</v>
      </c>
    </row>
    <row r="375" spans="1:8" ht="76.5" x14ac:dyDescent="0.2">
      <c r="A375" s="190" t="s">
        <v>1501</v>
      </c>
      <c r="B375" s="136" t="s">
        <v>5</v>
      </c>
      <c r="C375" s="136" t="s">
        <v>434</v>
      </c>
      <c r="D375" s="136" t="s">
        <v>1534</v>
      </c>
      <c r="E375" s="136" t="s">
        <v>290</v>
      </c>
      <c r="F375" s="192">
        <v>802200</v>
      </c>
      <c r="G375" s="192">
        <v>896300</v>
      </c>
      <c r="H375" s="143" t="str">
        <f t="shared" si="6"/>
        <v>10068020002890100</v>
      </c>
    </row>
    <row r="376" spans="1:8" ht="38.25" x14ac:dyDescent="0.2">
      <c r="A376" s="190" t="s">
        <v>1345</v>
      </c>
      <c r="B376" s="136" t="s">
        <v>5</v>
      </c>
      <c r="C376" s="136" t="s">
        <v>434</v>
      </c>
      <c r="D376" s="136" t="s">
        <v>1534</v>
      </c>
      <c r="E376" s="136" t="s">
        <v>30</v>
      </c>
      <c r="F376" s="192">
        <v>802200</v>
      </c>
      <c r="G376" s="192">
        <v>896300</v>
      </c>
      <c r="H376" s="143" t="str">
        <f t="shared" si="6"/>
        <v>10068020002890120</v>
      </c>
    </row>
    <row r="377" spans="1:8" ht="25.5" x14ac:dyDescent="0.2">
      <c r="A377" s="190" t="s">
        <v>1010</v>
      </c>
      <c r="B377" s="136" t="s">
        <v>5</v>
      </c>
      <c r="C377" s="136" t="s">
        <v>434</v>
      </c>
      <c r="D377" s="136" t="s">
        <v>1534</v>
      </c>
      <c r="E377" s="136" t="s">
        <v>363</v>
      </c>
      <c r="F377" s="192">
        <v>596893</v>
      </c>
      <c r="G377" s="192">
        <v>596893</v>
      </c>
      <c r="H377" s="143" t="str">
        <f t="shared" si="6"/>
        <v>10068020002890121</v>
      </c>
    </row>
    <row r="378" spans="1:8" ht="51" x14ac:dyDescent="0.2">
      <c r="A378" s="190" t="s">
        <v>364</v>
      </c>
      <c r="B378" s="136" t="s">
        <v>5</v>
      </c>
      <c r="C378" s="136" t="s">
        <v>434</v>
      </c>
      <c r="D378" s="136" t="s">
        <v>1534</v>
      </c>
      <c r="E378" s="136" t="s">
        <v>365</v>
      </c>
      <c r="F378" s="192">
        <v>25000</v>
      </c>
      <c r="G378" s="192">
        <v>119100</v>
      </c>
      <c r="H378" s="143" t="str">
        <f t="shared" si="6"/>
        <v>10068020002890122</v>
      </c>
    </row>
    <row r="379" spans="1:8" ht="63.75" x14ac:dyDescent="0.2">
      <c r="A379" s="190" t="s">
        <v>1115</v>
      </c>
      <c r="B379" s="136" t="s">
        <v>5</v>
      </c>
      <c r="C379" s="136" t="s">
        <v>434</v>
      </c>
      <c r="D379" s="136" t="s">
        <v>1534</v>
      </c>
      <c r="E379" s="136" t="s">
        <v>1116</v>
      </c>
      <c r="F379" s="192">
        <v>180307</v>
      </c>
      <c r="G379" s="192">
        <v>180307</v>
      </c>
      <c r="H379" s="143" t="str">
        <f t="shared" si="6"/>
        <v>10068020002890129</v>
      </c>
    </row>
    <row r="380" spans="1:8" ht="38.25" x14ac:dyDescent="0.2">
      <c r="A380" s="190" t="s">
        <v>1502</v>
      </c>
      <c r="B380" s="136" t="s">
        <v>5</v>
      </c>
      <c r="C380" s="136" t="s">
        <v>434</v>
      </c>
      <c r="D380" s="136" t="s">
        <v>1534</v>
      </c>
      <c r="E380" s="136" t="s">
        <v>1503</v>
      </c>
      <c r="F380" s="192">
        <v>104100</v>
      </c>
      <c r="G380" s="192">
        <v>10000</v>
      </c>
      <c r="H380" s="143" t="str">
        <f t="shared" si="6"/>
        <v>10068020002890200</v>
      </c>
    </row>
    <row r="381" spans="1:8" ht="38.25" x14ac:dyDescent="0.2">
      <c r="A381" s="190" t="s">
        <v>1338</v>
      </c>
      <c r="B381" s="136" t="s">
        <v>5</v>
      </c>
      <c r="C381" s="136" t="s">
        <v>434</v>
      </c>
      <c r="D381" s="136" t="s">
        <v>1534</v>
      </c>
      <c r="E381" s="136" t="s">
        <v>1339</v>
      </c>
      <c r="F381" s="192">
        <v>104100</v>
      </c>
      <c r="G381" s="192">
        <v>10000</v>
      </c>
      <c r="H381" s="143" t="str">
        <f t="shared" si="6"/>
        <v>10068020002890240</v>
      </c>
    </row>
    <row r="382" spans="1:8" x14ac:dyDescent="0.2">
      <c r="A382" s="190" t="s">
        <v>1379</v>
      </c>
      <c r="B382" s="136" t="s">
        <v>5</v>
      </c>
      <c r="C382" s="136" t="s">
        <v>434</v>
      </c>
      <c r="D382" s="136" t="s">
        <v>1534</v>
      </c>
      <c r="E382" s="136" t="s">
        <v>368</v>
      </c>
      <c r="F382" s="192">
        <v>104100</v>
      </c>
      <c r="G382" s="192">
        <v>10000</v>
      </c>
      <c r="H382" s="143" t="str">
        <f t="shared" si="6"/>
        <v>10068020002890244</v>
      </c>
    </row>
    <row r="383" spans="1:8" ht="25.5" x14ac:dyDescent="0.2">
      <c r="A383" s="190" t="s">
        <v>1123</v>
      </c>
      <c r="B383" s="136" t="s">
        <v>394</v>
      </c>
      <c r="C383" s="136" t="s">
        <v>1314</v>
      </c>
      <c r="D383" s="136" t="s">
        <v>1314</v>
      </c>
      <c r="E383" s="136" t="s">
        <v>1314</v>
      </c>
      <c r="F383" s="192">
        <v>8441000</v>
      </c>
      <c r="G383" s="192">
        <v>8441000</v>
      </c>
      <c r="H383" s="143" t="str">
        <f t="shared" si="6"/>
        <v/>
      </c>
    </row>
    <row r="384" spans="1:8" x14ac:dyDescent="0.2">
      <c r="A384" s="190" t="s">
        <v>250</v>
      </c>
      <c r="B384" s="136" t="s">
        <v>394</v>
      </c>
      <c r="C384" s="136" t="s">
        <v>1212</v>
      </c>
      <c r="D384" s="136" t="s">
        <v>1314</v>
      </c>
      <c r="E384" s="136" t="s">
        <v>1314</v>
      </c>
      <c r="F384" s="192">
        <v>8441000</v>
      </c>
      <c r="G384" s="192">
        <v>8441000</v>
      </c>
      <c r="H384" s="143" t="str">
        <f t="shared" si="6"/>
        <v>0100</v>
      </c>
    </row>
    <row r="385" spans="1:8" x14ac:dyDescent="0.2">
      <c r="A385" s="190" t="s">
        <v>233</v>
      </c>
      <c r="B385" s="136" t="s">
        <v>394</v>
      </c>
      <c r="C385" s="136" t="s">
        <v>376</v>
      </c>
      <c r="D385" s="136" t="s">
        <v>1314</v>
      </c>
      <c r="E385" s="136" t="s">
        <v>1314</v>
      </c>
      <c r="F385" s="192">
        <v>8441000</v>
      </c>
      <c r="G385" s="192">
        <v>8441000</v>
      </c>
      <c r="H385" s="143" t="str">
        <f t="shared" si="6"/>
        <v>0113</v>
      </c>
    </row>
    <row r="386" spans="1:8" ht="25.5" x14ac:dyDescent="0.2">
      <c r="A386" s="200" t="s">
        <v>648</v>
      </c>
      <c r="B386" s="136" t="s">
        <v>394</v>
      </c>
      <c r="C386" s="136" t="s">
        <v>376</v>
      </c>
      <c r="D386" s="136" t="s">
        <v>1072</v>
      </c>
      <c r="E386" s="136" t="s">
        <v>1314</v>
      </c>
      <c r="F386" s="192">
        <v>8441000</v>
      </c>
      <c r="G386" s="192">
        <v>8441000</v>
      </c>
      <c r="H386" s="143" t="str">
        <f t="shared" si="6"/>
        <v>01139000000000</v>
      </c>
    </row>
    <row r="387" spans="1:8" ht="38.25" x14ac:dyDescent="0.2">
      <c r="A387" s="190" t="s">
        <v>1124</v>
      </c>
      <c r="B387" s="136" t="s">
        <v>394</v>
      </c>
      <c r="C387" s="136" t="s">
        <v>376</v>
      </c>
      <c r="D387" s="136" t="s">
        <v>1125</v>
      </c>
      <c r="E387" s="136" t="s">
        <v>1314</v>
      </c>
      <c r="F387" s="192">
        <v>8441000</v>
      </c>
      <c r="G387" s="192">
        <v>8441000</v>
      </c>
      <c r="H387" s="143" t="str">
        <f t="shared" si="6"/>
        <v>01139070000000</v>
      </c>
    </row>
    <row r="388" spans="1:8" ht="38.25" x14ac:dyDescent="0.2">
      <c r="A388" s="200" t="s">
        <v>1124</v>
      </c>
      <c r="B388" s="136" t="s">
        <v>394</v>
      </c>
      <c r="C388" s="136" t="s">
        <v>376</v>
      </c>
      <c r="D388" s="136" t="s">
        <v>1146</v>
      </c>
      <c r="E388" s="136" t="s">
        <v>1314</v>
      </c>
      <c r="F388" s="192">
        <v>8066647</v>
      </c>
      <c r="G388" s="192">
        <v>8066647</v>
      </c>
      <c r="H388" s="143" t="str">
        <f t="shared" si="6"/>
        <v>01139070040000</v>
      </c>
    </row>
    <row r="389" spans="1:8" ht="76.5" x14ac:dyDescent="0.2">
      <c r="A389" s="190" t="s">
        <v>1501</v>
      </c>
      <c r="B389" s="136" t="s">
        <v>394</v>
      </c>
      <c r="C389" s="136" t="s">
        <v>376</v>
      </c>
      <c r="D389" s="136" t="s">
        <v>1146</v>
      </c>
      <c r="E389" s="136" t="s">
        <v>290</v>
      </c>
      <c r="F389" s="192">
        <v>7673647</v>
      </c>
      <c r="G389" s="192">
        <v>7673647</v>
      </c>
      <c r="H389" s="143" t="str">
        <f t="shared" si="6"/>
        <v>01139070040000100</v>
      </c>
    </row>
    <row r="390" spans="1:8" ht="38.25" x14ac:dyDescent="0.2">
      <c r="A390" s="200" t="s">
        <v>1345</v>
      </c>
      <c r="B390" s="136" t="s">
        <v>394</v>
      </c>
      <c r="C390" s="136" t="s">
        <v>376</v>
      </c>
      <c r="D390" s="136" t="s">
        <v>1146</v>
      </c>
      <c r="E390" s="136" t="s">
        <v>30</v>
      </c>
      <c r="F390" s="192">
        <v>7673647</v>
      </c>
      <c r="G390" s="192">
        <v>7673647</v>
      </c>
      <c r="H390" s="143" t="str">
        <f t="shared" si="6"/>
        <v>01139070040000120</v>
      </c>
    </row>
    <row r="391" spans="1:8" ht="25.5" x14ac:dyDescent="0.2">
      <c r="A391" s="190" t="s">
        <v>1010</v>
      </c>
      <c r="B391" s="136" t="s">
        <v>394</v>
      </c>
      <c r="C391" s="136" t="s">
        <v>376</v>
      </c>
      <c r="D391" s="136" t="s">
        <v>1146</v>
      </c>
      <c r="E391" s="136" t="s">
        <v>363</v>
      </c>
      <c r="F391" s="192">
        <v>5880835</v>
      </c>
      <c r="G391" s="192">
        <v>5880835</v>
      </c>
      <c r="H391" s="143" t="str">
        <f t="shared" si="6"/>
        <v>01139070040000121</v>
      </c>
    </row>
    <row r="392" spans="1:8" ht="51" x14ac:dyDescent="0.2">
      <c r="A392" s="190" t="s">
        <v>364</v>
      </c>
      <c r="B392" s="136" t="s">
        <v>394</v>
      </c>
      <c r="C392" s="136" t="s">
        <v>376</v>
      </c>
      <c r="D392" s="136" t="s">
        <v>1146</v>
      </c>
      <c r="E392" s="136" t="s">
        <v>365</v>
      </c>
      <c r="F392" s="192">
        <v>16800</v>
      </c>
      <c r="G392" s="192">
        <v>16800</v>
      </c>
      <c r="H392" s="143" t="str">
        <f t="shared" si="6"/>
        <v>01139070040000122</v>
      </c>
    </row>
    <row r="393" spans="1:8" ht="63.75" x14ac:dyDescent="0.2">
      <c r="A393" s="190" t="s">
        <v>1115</v>
      </c>
      <c r="B393" s="136" t="s">
        <v>394</v>
      </c>
      <c r="C393" s="136" t="s">
        <v>376</v>
      </c>
      <c r="D393" s="136" t="s">
        <v>1146</v>
      </c>
      <c r="E393" s="136" t="s">
        <v>1116</v>
      </c>
      <c r="F393" s="192">
        <v>1776012</v>
      </c>
      <c r="G393" s="192">
        <v>1776012</v>
      </c>
      <c r="H393" s="143" t="str">
        <f t="shared" si="6"/>
        <v>01139070040000129</v>
      </c>
    </row>
    <row r="394" spans="1:8" ht="38.25" x14ac:dyDescent="0.2">
      <c r="A394" s="200" t="s">
        <v>1502</v>
      </c>
      <c r="B394" s="136" t="s">
        <v>394</v>
      </c>
      <c r="C394" s="136" t="s">
        <v>376</v>
      </c>
      <c r="D394" s="136" t="s">
        <v>1146</v>
      </c>
      <c r="E394" s="136" t="s">
        <v>1503</v>
      </c>
      <c r="F394" s="192">
        <v>393000</v>
      </c>
      <c r="G394" s="192">
        <v>393000</v>
      </c>
      <c r="H394" s="143" t="str">
        <f t="shared" si="6"/>
        <v>01139070040000200</v>
      </c>
    </row>
    <row r="395" spans="1:8" ht="38.25" x14ac:dyDescent="0.2">
      <c r="A395" s="190" t="s">
        <v>1338</v>
      </c>
      <c r="B395" s="136" t="s">
        <v>394</v>
      </c>
      <c r="C395" s="136" t="s">
        <v>376</v>
      </c>
      <c r="D395" s="136" t="s">
        <v>1146</v>
      </c>
      <c r="E395" s="136" t="s">
        <v>1339</v>
      </c>
      <c r="F395" s="192">
        <v>393000</v>
      </c>
      <c r="G395" s="192">
        <v>393000</v>
      </c>
      <c r="H395" s="143" t="str">
        <f t="shared" si="6"/>
        <v>01139070040000240</v>
      </c>
    </row>
    <row r="396" spans="1:8" x14ac:dyDescent="0.2">
      <c r="A396" s="200" t="s">
        <v>1379</v>
      </c>
      <c r="B396" s="136" t="s">
        <v>394</v>
      </c>
      <c r="C396" s="136" t="s">
        <v>376</v>
      </c>
      <c r="D396" s="136" t="s">
        <v>1146</v>
      </c>
      <c r="E396" s="136" t="s">
        <v>368</v>
      </c>
      <c r="F396" s="192">
        <v>393000</v>
      </c>
      <c r="G396" s="192">
        <v>393000</v>
      </c>
      <c r="H396" s="143" t="str">
        <f t="shared" si="6"/>
        <v>01139070040000244</v>
      </c>
    </row>
    <row r="397" spans="1:8" ht="63.75" x14ac:dyDescent="0.2">
      <c r="A397" s="190" t="s">
        <v>1223</v>
      </c>
      <c r="B397" s="136" t="s">
        <v>394</v>
      </c>
      <c r="C397" s="136" t="s">
        <v>376</v>
      </c>
      <c r="D397" s="136" t="s">
        <v>1224</v>
      </c>
      <c r="E397" s="136" t="s">
        <v>1314</v>
      </c>
      <c r="F397" s="192">
        <v>374353</v>
      </c>
      <c r="G397" s="192">
        <v>374353</v>
      </c>
      <c r="H397" s="143" t="str">
        <f t="shared" si="6"/>
        <v>01139070047000</v>
      </c>
    </row>
    <row r="398" spans="1:8" ht="76.5" x14ac:dyDescent="0.2">
      <c r="A398" s="190" t="s">
        <v>1501</v>
      </c>
      <c r="B398" s="136" t="s">
        <v>394</v>
      </c>
      <c r="C398" s="136" t="s">
        <v>376</v>
      </c>
      <c r="D398" s="136" t="s">
        <v>1224</v>
      </c>
      <c r="E398" s="136" t="s">
        <v>290</v>
      </c>
      <c r="F398" s="192">
        <v>374353</v>
      </c>
      <c r="G398" s="192">
        <v>374353</v>
      </c>
      <c r="H398" s="143" t="str">
        <f t="shared" si="6"/>
        <v>01139070047000100</v>
      </c>
    </row>
    <row r="399" spans="1:8" ht="38.25" x14ac:dyDescent="0.2">
      <c r="A399" s="190" t="s">
        <v>1345</v>
      </c>
      <c r="B399" s="136" t="s">
        <v>394</v>
      </c>
      <c r="C399" s="136" t="s">
        <v>376</v>
      </c>
      <c r="D399" s="136" t="s">
        <v>1224</v>
      </c>
      <c r="E399" s="136" t="s">
        <v>30</v>
      </c>
      <c r="F399" s="192">
        <v>374353</v>
      </c>
      <c r="G399" s="192">
        <v>374353</v>
      </c>
      <c r="H399" s="143" t="str">
        <f t="shared" si="6"/>
        <v>01139070047000120</v>
      </c>
    </row>
    <row r="400" spans="1:8" ht="51" x14ac:dyDescent="0.2">
      <c r="A400" s="190" t="s">
        <v>364</v>
      </c>
      <c r="B400" s="136" t="s">
        <v>394</v>
      </c>
      <c r="C400" s="136" t="s">
        <v>376</v>
      </c>
      <c r="D400" s="136" t="s">
        <v>1224</v>
      </c>
      <c r="E400" s="136" t="s">
        <v>365</v>
      </c>
      <c r="F400" s="192">
        <v>374353</v>
      </c>
      <c r="G400" s="192">
        <v>374353</v>
      </c>
      <c r="H400" s="143" t="str">
        <f t="shared" si="6"/>
        <v>01139070047000122</v>
      </c>
    </row>
    <row r="401" spans="1:8" ht="25.5" x14ac:dyDescent="0.2">
      <c r="A401" s="190" t="s">
        <v>270</v>
      </c>
      <c r="B401" s="136" t="s">
        <v>214</v>
      </c>
      <c r="C401" s="136" t="s">
        <v>1314</v>
      </c>
      <c r="D401" s="136" t="s">
        <v>1314</v>
      </c>
      <c r="E401" s="136" t="s">
        <v>1314</v>
      </c>
      <c r="F401" s="192">
        <v>5626876</v>
      </c>
      <c r="G401" s="192">
        <v>5626876</v>
      </c>
      <c r="H401" s="143" t="str">
        <f t="shared" si="6"/>
        <v/>
      </c>
    </row>
    <row r="402" spans="1:8" ht="25.5" x14ac:dyDescent="0.2">
      <c r="A402" s="190" t="s">
        <v>255</v>
      </c>
      <c r="B402" s="136" t="s">
        <v>214</v>
      </c>
      <c r="C402" s="136" t="s">
        <v>1219</v>
      </c>
      <c r="D402" s="136" t="s">
        <v>1314</v>
      </c>
      <c r="E402" s="136" t="s">
        <v>1314</v>
      </c>
      <c r="F402" s="192">
        <v>5626876</v>
      </c>
      <c r="G402" s="192">
        <v>5626876</v>
      </c>
      <c r="H402" s="143" t="str">
        <f t="shared" si="6"/>
        <v>0500</v>
      </c>
    </row>
    <row r="403" spans="1:8" ht="25.5" x14ac:dyDescent="0.2">
      <c r="A403" s="190" t="s">
        <v>158</v>
      </c>
      <c r="B403" s="136" t="s">
        <v>214</v>
      </c>
      <c r="C403" s="136" t="s">
        <v>429</v>
      </c>
      <c r="D403" s="136" t="s">
        <v>1314</v>
      </c>
      <c r="E403" s="136" t="s">
        <v>1314</v>
      </c>
      <c r="F403" s="192">
        <v>5626876</v>
      </c>
      <c r="G403" s="192">
        <v>5626876</v>
      </c>
      <c r="H403" s="143" t="str">
        <f t="shared" si="6"/>
        <v>0505</v>
      </c>
    </row>
    <row r="404" spans="1:8" ht="25.5" x14ac:dyDescent="0.2">
      <c r="A404" s="190" t="s">
        <v>648</v>
      </c>
      <c r="B404" s="136" t="s">
        <v>214</v>
      </c>
      <c r="C404" s="136" t="s">
        <v>429</v>
      </c>
      <c r="D404" s="136" t="s">
        <v>1072</v>
      </c>
      <c r="E404" s="136" t="s">
        <v>1314</v>
      </c>
      <c r="F404" s="192">
        <v>5626876</v>
      </c>
      <c r="G404" s="192">
        <v>5626876</v>
      </c>
      <c r="H404" s="143" t="str">
        <f t="shared" si="6"/>
        <v>05059000000000</v>
      </c>
    </row>
    <row r="405" spans="1:8" ht="51" x14ac:dyDescent="0.2">
      <c r="A405" s="190" t="s">
        <v>430</v>
      </c>
      <c r="B405" s="136" t="s">
        <v>214</v>
      </c>
      <c r="C405" s="136" t="s">
        <v>429</v>
      </c>
      <c r="D405" s="136" t="s">
        <v>1074</v>
      </c>
      <c r="E405" s="136" t="s">
        <v>1314</v>
      </c>
      <c r="F405" s="192">
        <v>5626876</v>
      </c>
      <c r="G405" s="192">
        <v>5626876</v>
      </c>
      <c r="H405" s="143" t="str">
        <f t="shared" si="6"/>
        <v>05059050000000</v>
      </c>
    </row>
    <row r="406" spans="1:8" ht="51" x14ac:dyDescent="0.2">
      <c r="A406" s="190" t="s">
        <v>430</v>
      </c>
      <c r="B406" s="136" t="s">
        <v>214</v>
      </c>
      <c r="C406" s="136" t="s">
        <v>429</v>
      </c>
      <c r="D406" s="136" t="s">
        <v>751</v>
      </c>
      <c r="E406" s="136" t="s">
        <v>1314</v>
      </c>
      <c r="F406" s="192">
        <v>5376876</v>
      </c>
      <c r="G406" s="192">
        <v>5376876</v>
      </c>
      <c r="H406" s="143" t="str">
        <f t="shared" si="6"/>
        <v>05059050040000</v>
      </c>
    </row>
    <row r="407" spans="1:8" ht="76.5" x14ac:dyDescent="0.2">
      <c r="A407" s="190" t="s">
        <v>1501</v>
      </c>
      <c r="B407" s="136" t="s">
        <v>214</v>
      </c>
      <c r="C407" s="136" t="s">
        <v>429</v>
      </c>
      <c r="D407" s="136" t="s">
        <v>751</v>
      </c>
      <c r="E407" s="136" t="s">
        <v>290</v>
      </c>
      <c r="F407" s="192">
        <v>5003677</v>
      </c>
      <c r="G407" s="192">
        <v>5003677</v>
      </c>
      <c r="H407" s="143" t="str">
        <f t="shared" si="6"/>
        <v>05059050040000100</v>
      </c>
    </row>
    <row r="408" spans="1:8" ht="25.5" x14ac:dyDescent="0.2">
      <c r="A408" s="190" t="s">
        <v>1331</v>
      </c>
      <c r="B408" s="136" t="s">
        <v>214</v>
      </c>
      <c r="C408" s="136" t="s">
        <v>429</v>
      </c>
      <c r="D408" s="136" t="s">
        <v>751</v>
      </c>
      <c r="E408" s="136" t="s">
        <v>140</v>
      </c>
      <c r="F408" s="254">
        <v>5003677</v>
      </c>
      <c r="G408" s="192">
        <v>5003677</v>
      </c>
      <c r="H408" s="143" t="str">
        <f t="shared" si="6"/>
        <v>05059050040000110</v>
      </c>
    </row>
    <row r="409" spans="1:8" x14ac:dyDescent="0.2">
      <c r="A409" s="190" t="s">
        <v>1216</v>
      </c>
      <c r="B409" s="136" t="s">
        <v>214</v>
      </c>
      <c r="C409" s="136" t="s">
        <v>429</v>
      </c>
      <c r="D409" s="136" t="s">
        <v>751</v>
      </c>
      <c r="E409" s="136" t="s">
        <v>382</v>
      </c>
      <c r="F409" s="192">
        <v>3781702</v>
      </c>
      <c r="G409" s="192">
        <v>3781702</v>
      </c>
      <c r="H409" s="143" t="str">
        <f t="shared" si="6"/>
        <v>05059050040000111</v>
      </c>
    </row>
    <row r="410" spans="1:8" ht="25.5" x14ac:dyDescent="0.2">
      <c r="A410" s="190" t="s">
        <v>1225</v>
      </c>
      <c r="B410" s="136" t="s">
        <v>214</v>
      </c>
      <c r="C410" s="136" t="s">
        <v>429</v>
      </c>
      <c r="D410" s="136" t="s">
        <v>751</v>
      </c>
      <c r="E410" s="136" t="s">
        <v>431</v>
      </c>
      <c r="F410" s="192">
        <v>79901</v>
      </c>
      <c r="G410" s="192">
        <v>79901</v>
      </c>
      <c r="H410" s="143" t="str">
        <f t="shared" si="6"/>
        <v>05059050040000112</v>
      </c>
    </row>
    <row r="411" spans="1:8" ht="51" x14ac:dyDescent="0.2">
      <c r="A411" s="190" t="s">
        <v>1217</v>
      </c>
      <c r="B411" s="136" t="s">
        <v>214</v>
      </c>
      <c r="C411" s="136" t="s">
        <v>429</v>
      </c>
      <c r="D411" s="136" t="s">
        <v>751</v>
      </c>
      <c r="E411" s="136" t="s">
        <v>1117</v>
      </c>
      <c r="F411" s="192">
        <v>1142074</v>
      </c>
      <c r="G411" s="192">
        <v>1142074</v>
      </c>
      <c r="H411" s="143" t="str">
        <f t="shared" si="6"/>
        <v>05059050040000119</v>
      </c>
    </row>
    <row r="412" spans="1:8" ht="38.25" x14ac:dyDescent="0.2">
      <c r="A412" s="190" t="s">
        <v>1502</v>
      </c>
      <c r="B412" s="136" t="s">
        <v>214</v>
      </c>
      <c r="C412" s="136" t="s">
        <v>429</v>
      </c>
      <c r="D412" s="136" t="s">
        <v>751</v>
      </c>
      <c r="E412" s="136" t="s">
        <v>1503</v>
      </c>
      <c r="F412" s="192">
        <v>373199</v>
      </c>
      <c r="G412" s="192">
        <v>373199</v>
      </c>
      <c r="H412" s="143" t="str">
        <f t="shared" si="6"/>
        <v>05059050040000200</v>
      </c>
    </row>
    <row r="413" spans="1:8" ht="38.25" x14ac:dyDescent="0.2">
      <c r="A413" s="190" t="s">
        <v>1338</v>
      </c>
      <c r="B413" s="136" t="s">
        <v>214</v>
      </c>
      <c r="C413" s="136" t="s">
        <v>429</v>
      </c>
      <c r="D413" s="136" t="s">
        <v>751</v>
      </c>
      <c r="E413" s="136" t="s">
        <v>1339</v>
      </c>
      <c r="F413" s="192">
        <v>373199</v>
      </c>
      <c r="G413" s="192">
        <v>373199</v>
      </c>
      <c r="H413" s="143" t="str">
        <f t="shared" si="6"/>
        <v>05059050040000240</v>
      </c>
    </row>
    <row r="414" spans="1:8" x14ac:dyDescent="0.2">
      <c r="A414" s="190" t="s">
        <v>1379</v>
      </c>
      <c r="B414" s="136" t="s">
        <v>214</v>
      </c>
      <c r="C414" s="136" t="s">
        <v>429</v>
      </c>
      <c r="D414" s="136" t="s">
        <v>751</v>
      </c>
      <c r="E414" s="136" t="s">
        <v>368</v>
      </c>
      <c r="F414" s="192">
        <v>373199</v>
      </c>
      <c r="G414" s="192">
        <v>373199</v>
      </c>
      <c r="H414" s="143" t="str">
        <f t="shared" si="6"/>
        <v>05059050040000244</v>
      </c>
    </row>
    <row r="415" spans="1:8" ht="76.5" x14ac:dyDescent="0.2">
      <c r="A415" s="190" t="s">
        <v>610</v>
      </c>
      <c r="B415" s="136" t="s">
        <v>214</v>
      </c>
      <c r="C415" s="136" t="s">
        <v>429</v>
      </c>
      <c r="D415" s="136" t="s">
        <v>752</v>
      </c>
      <c r="E415" s="136" t="s">
        <v>1314</v>
      </c>
      <c r="F415" s="192">
        <v>250000</v>
      </c>
      <c r="G415" s="192">
        <v>250000</v>
      </c>
      <c r="H415" s="143" t="str">
        <f t="shared" si="6"/>
        <v>05059050047000</v>
      </c>
    </row>
    <row r="416" spans="1:8" ht="76.5" x14ac:dyDescent="0.2">
      <c r="A416" s="190" t="s">
        <v>1501</v>
      </c>
      <c r="B416" s="136" t="s">
        <v>214</v>
      </c>
      <c r="C416" s="136" t="s">
        <v>429</v>
      </c>
      <c r="D416" s="136" t="s">
        <v>752</v>
      </c>
      <c r="E416" s="136" t="s">
        <v>290</v>
      </c>
      <c r="F416" s="192">
        <v>250000</v>
      </c>
      <c r="G416" s="192">
        <v>250000</v>
      </c>
      <c r="H416" s="143" t="str">
        <f t="shared" si="6"/>
        <v>05059050047000100</v>
      </c>
    </row>
    <row r="417" spans="1:8" ht="25.5" x14ac:dyDescent="0.2">
      <c r="A417" s="190" t="s">
        <v>1331</v>
      </c>
      <c r="B417" s="136" t="s">
        <v>214</v>
      </c>
      <c r="C417" s="136" t="s">
        <v>429</v>
      </c>
      <c r="D417" s="136" t="s">
        <v>752</v>
      </c>
      <c r="E417" s="136" t="s">
        <v>140</v>
      </c>
      <c r="F417" s="192">
        <v>250000</v>
      </c>
      <c r="G417" s="192">
        <v>250000</v>
      </c>
      <c r="H417" s="143" t="str">
        <f t="shared" si="6"/>
        <v>05059050047000110</v>
      </c>
    </row>
    <row r="418" spans="1:8" ht="25.5" x14ac:dyDescent="0.2">
      <c r="A418" s="190" t="s">
        <v>1225</v>
      </c>
      <c r="B418" s="136" t="s">
        <v>214</v>
      </c>
      <c r="C418" s="136" t="s">
        <v>429</v>
      </c>
      <c r="D418" s="136" t="s">
        <v>752</v>
      </c>
      <c r="E418" s="136" t="s">
        <v>431</v>
      </c>
      <c r="F418" s="192">
        <v>250000</v>
      </c>
      <c r="G418" s="192">
        <v>250000</v>
      </c>
      <c r="H418" s="143" t="str">
        <f t="shared" si="6"/>
        <v>05059050047000112</v>
      </c>
    </row>
    <row r="419" spans="1:8" ht="51" x14ac:dyDescent="0.2">
      <c r="A419" s="190" t="s">
        <v>1538</v>
      </c>
      <c r="B419" s="136" t="s">
        <v>246</v>
      </c>
      <c r="C419" s="136" t="s">
        <v>1314</v>
      </c>
      <c r="D419" s="136" t="s">
        <v>1314</v>
      </c>
      <c r="E419" s="136" t="s">
        <v>1314</v>
      </c>
      <c r="F419" s="192">
        <v>284865400</v>
      </c>
      <c r="G419" s="192">
        <v>284865400</v>
      </c>
      <c r="H419" s="143" t="str">
        <f t="shared" si="6"/>
        <v/>
      </c>
    </row>
    <row r="420" spans="1:8" x14ac:dyDescent="0.2">
      <c r="A420" s="190" t="s">
        <v>147</v>
      </c>
      <c r="B420" s="136" t="s">
        <v>246</v>
      </c>
      <c r="C420" s="136" t="s">
        <v>1220</v>
      </c>
      <c r="D420" s="136" t="s">
        <v>1314</v>
      </c>
      <c r="E420" s="136" t="s">
        <v>1314</v>
      </c>
      <c r="F420" s="192">
        <v>57296712</v>
      </c>
      <c r="G420" s="192">
        <v>57296712</v>
      </c>
      <c r="H420" s="143" t="str">
        <f t="shared" si="6"/>
        <v>0700</v>
      </c>
    </row>
    <row r="421" spans="1:8" x14ac:dyDescent="0.2">
      <c r="A421" s="190" t="s">
        <v>1147</v>
      </c>
      <c r="B421" s="136" t="s">
        <v>246</v>
      </c>
      <c r="C421" s="136" t="s">
        <v>1148</v>
      </c>
      <c r="D421" s="136" t="s">
        <v>1314</v>
      </c>
      <c r="E421" s="136" t="s">
        <v>1314</v>
      </c>
      <c r="F421" s="192">
        <v>46679179</v>
      </c>
      <c r="G421" s="192">
        <v>46679179</v>
      </c>
      <c r="H421" s="143" t="str">
        <f t="shared" si="6"/>
        <v>0703</v>
      </c>
    </row>
    <row r="422" spans="1:8" ht="25.5" x14ac:dyDescent="0.2">
      <c r="A422" s="190" t="s">
        <v>502</v>
      </c>
      <c r="B422" s="136" t="s">
        <v>246</v>
      </c>
      <c r="C422" s="136" t="s">
        <v>1148</v>
      </c>
      <c r="D422" s="136" t="s">
        <v>1041</v>
      </c>
      <c r="E422" s="136" t="s">
        <v>1314</v>
      </c>
      <c r="F422" s="192">
        <v>46679179</v>
      </c>
      <c r="G422" s="192">
        <v>46679179</v>
      </c>
      <c r="H422" s="143" t="str">
        <f t="shared" si="6"/>
        <v>07030500000000</v>
      </c>
    </row>
    <row r="423" spans="1:8" ht="25.5" x14ac:dyDescent="0.2">
      <c r="A423" s="190" t="s">
        <v>641</v>
      </c>
      <c r="B423" s="136" t="s">
        <v>246</v>
      </c>
      <c r="C423" s="136" t="s">
        <v>1148</v>
      </c>
      <c r="D423" s="136" t="s">
        <v>1043</v>
      </c>
      <c r="E423" s="136" t="s">
        <v>1314</v>
      </c>
      <c r="F423" s="192">
        <v>150000</v>
      </c>
      <c r="G423" s="192">
        <v>150000</v>
      </c>
      <c r="H423" s="143" t="str">
        <f t="shared" si="6"/>
        <v>07030520000000</v>
      </c>
    </row>
    <row r="424" spans="1:8" ht="63.75" x14ac:dyDescent="0.2">
      <c r="A424" s="190" t="s">
        <v>550</v>
      </c>
      <c r="B424" s="136" t="s">
        <v>246</v>
      </c>
      <c r="C424" s="136" t="s">
        <v>1148</v>
      </c>
      <c r="D424" s="136" t="s">
        <v>759</v>
      </c>
      <c r="E424" s="136" t="s">
        <v>1314</v>
      </c>
      <c r="F424" s="192">
        <v>150000</v>
      </c>
      <c r="G424" s="192">
        <v>150000</v>
      </c>
      <c r="H424" s="143" t="str">
        <f t="shared" si="6"/>
        <v>07030520080520</v>
      </c>
    </row>
    <row r="425" spans="1:8" ht="38.25" x14ac:dyDescent="0.2">
      <c r="A425" s="190" t="s">
        <v>1510</v>
      </c>
      <c r="B425" s="136" t="s">
        <v>246</v>
      </c>
      <c r="C425" s="136" t="s">
        <v>1148</v>
      </c>
      <c r="D425" s="136" t="s">
        <v>759</v>
      </c>
      <c r="E425" s="136" t="s">
        <v>1511</v>
      </c>
      <c r="F425" s="192">
        <v>150000</v>
      </c>
      <c r="G425" s="192">
        <v>150000</v>
      </c>
      <c r="H425" s="143" t="str">
        <f t="shared" si="6"/>
        <v>07030520080520600</v>
      </c>
    </row>
    <row r="426" spans="1:8" x14ac:dyDescent="0.2">
      <c r="A426" s="190" t="s">
        <v>1340</v>
      </c>
      <c r="B426" s="136" t="s">
        <v>246</v>
      </c>
      <c r="C426" s="136" t="s">
        <v>1148</v>
      </c>
      <c r="D426" s="136" t="s">
        <v>759</v>
      </c>
      <c r="E426" s="136" t="s">
        <v>1341</v>
      </c>
      <c r="F426" s="192">
        <v>150000</v>
      </c>
      <c r="G426" s="192">
        <v>150000</v>
      </c>
      <c r="H426" s="143" t="str">
        <f t="shared" si="6"/>
        <v>07030520080520610</v>
      </c>
    </row>
    <row r="427" spans="1:8" ht="25.5" x14ac:dyDescent="0.2">
      <c r="A427" s="190" t="s">
        <v>406</v>
      </c>
      <c r="B427" s="136" t="s">
        <v>246</v>
      </c>
      <c r="C427" s="136" t="s">
        <v>1148</v>
      </c>
      <c r="D427" s="136" t="s">
        <v>759</v>
      </c>
      <c r="E427" s="136" t="s">
        <v>407</v>
      </c>
      <c r="F427" s="192">
        <v>150000</v>
      </c>
      <c r="G427" s="192">
        <v>150000</v>
      </c>
      <c r="H427" s="143" t="str">
        <f t="shared" si="6"/>
        <v>07030520080520612</v>
      </c>
    </row>
    <row r="428" spans="1:8" ht="38.25" x14ac:dyDescent="0.2">
      <c r="A428" s="190" t="s">
        <v>642</v>
      </c>
      <c r="B428" s="136" t="s">
        <v>246</v>
      </c>
      <c r="C428" s="136" t="s">
        <v>1148</v>
      </c>
      <c r="D428" s="136" t="s">
        <v>1044</v>
      </c>
      <c r="E428" s="136" t="s">
        <v>1314</v>
      </c>
      <c r="F428" s="192">
        <v>46529179</v>
      </c>
      <c r="G428" s="192">
        <v>46529179</v>
      </c>
      <c r="H428" s="143" t="str">
        <f t="shared" si="6"/>
        <v>07030530000000</v>
      </c>
    </row>
    <row r="429" spans="1:8" ht="127.5" x14ac:dyDescent="0.2">
      <c r="A429" s="190" t="s">
        <v>551</v>
      </c>
      <c r="B429" s="136" t="s">
        <v>246</v>
      </c>
      <c r="C429" s="136" t="s">
        <v>1148</v>
      </c>
      <c r="D429" s="136" t="s">
        <v>760</v>
      </c>
      <c r="E429" s="136" t="s">
        <v>1314</v>
      </c>
      <c r="F429" s="192">
        <v>36207429</v>
      </c>
      <c r="G429" s="192">
        <v>36207429</v>
      </c>
      <c r="H429" s="143" t="str">
        <f t="shared" si="6"/>
        <v>07030530040000</v>
      </c>
    </row>
    <row r="430" spans="1:8" ht="38.25" x14ac:dyDescent="0.2">
      <c r="A430" s="190" t="s">
        <v>1510</v>
      </c>
      <c r="B430" s="136" t="s">
        <v>246</v>
      </c>
      <c r="C430" s="136" t="s">
        <v>1148</v>
      </c>
      <c r="D430" s="136" t="s">
        <v>760</v>
      </c>
      <c r="E430" s="136" t="s">
        <v>1511</v>
      </c>
      <c r="F430" s="192">
        <v>36207429</v>
      </c>
      <c r="G430" s="192">
        <v>36207429</v>
      </c>
      <c r="H430" s="143" t="str">
        <f t="shared" ref="H430:H495" si="7">CONCATENATE(C430,,D430,E430)</f>
        <v>07030530040000600</v>
      </c>
    </row>
    <row r="431" spans="1:8" x14ac:dyDescent="0.2">
      <c r="A431" s="190" t="s">
        <v>1340</v>
      </c>
      <c r="B431" s="136" t="s">
        <v>246</v>
      </c>
      <c r="C431" s="136" t="s">
        <v>1148</v>
      </c>
      <c r="D431" s="136" t="s">
        <v>760</v>
      </c>
      <c r="E431" s="136" t="s">
        <v>1341</v>
      </c>
      <c r="F431" s="192">
        <v>36207429</v>
      </c>
      <c r="G431" s="192">
        <v>36207429</v>
      </c>
      <c r="H431" s="143" t="str">
        <f t="shared" si="7"/>
        <v>07030530040000610</v>
      </c>
    </row>
    <row r="432" spans="1:8" ht="76.5" x14ac:dyDescent="0.2">
      <c r="A432" s="190" t="s">
        <v>387</v>
      </c>
      <c r="B432" s="136" t="s">
        <v>246</v>
      </c>
      <c r="C432" s="136" t="s">
        <v>1148</v>
      </c>
      <c r="D432" s="136" t="s">
        <v>760</v>
      </c>
      <c r="E432" s="136" t="s">
        <v>388</v>
      </c>
      <c r="F432" s="192">
        <v>36207429</v>
      </c>
      <c r="G432" s="192">
        <v>36207429</v>
      </c>
      <c r="H432" s="143" t="str">
        <f t="shared" si="7"/>
        <v>07030530040000611</v>
      </c>
    </row>
    <row r="433" spans="1:8" ht="165.75" x14ac:dyDescent="0.2">
      <c r="A433" s="190" t="s">
        <v>552</v>
      </c>
      <c r="B433" s="136" t="s">
        <v>246</v>
      </c>
      <c r="C433" s="136" t="s">
        <v>1148</v>
      </c>
      <c r="D433" s="136" t="s">
        <v>761</v>
      </c>
      <c r="E433" s="136" t="s">
        <v>1314</v>
      </c>
      <c r="F433" s="192">
        <v>6052400</v>
      </c>
      <c r="G433" s="192">
        <v>6052400</v>
      </c>
      <c r="H433" s="143" t="str">
        <f t="shared" si="7"/>
        <v>07030530041000</v>
      </c>
    </row>
    <row r="434" spans="1:8" ht="38.25" x14ac:dyDescent="0.2">
      <c r="A434" s="190" t="s">
        <v>1510</v>
      </c>
      <c r="B434" s="136" t="s">
        <v>246</v>
      </c>
      <c r="C434" s="136" t="s">
        <v>1148</v>
      </c>
      <c r="D434" s="136" t="s">
        <v>761</v>
      </c>
      <c r="E434" s="136" t="s">
        <v>1511</v>
      </c>
      <c r="F434" s="192">
        <v>6052400</v>
      </c>
      <c r="G434" s="192">
        <v>6052400</v>
      </c>
      <c r="H434" s="143" t="str">
        <f t="shared" si="7"/>
        <v>07030530041000600</v>
      </c>
    </row>
    <row r="435" spans="1:8" x14ac:dyDescent="0.2">
      <c r="A435" s="190" t="s">
        <v>1340</v>
      </c>
      <c r="B435" s="136" t="s">
        <v>246</v>
      </c>
      <c r="C435" s="136" t="s">
        <v>1148</v>
      </c>
      <c r="D435" s="136" t="s">
        <v>761</v>
      </c>
      <c r="E435" s="136" t="s">
        <v>1341</v>
      </c>
      <c r="F435" s="192">
        <v>6052400</v>
      </c>
      <c r="G435" s="192">
        <v>6052400</v>
      </c>
      <c r="H435" s="143" t="str">
        <f t="shared" si="7"/>
        <v>07030530041000610</v>
      </c>
    </row>
    <row r="436" spans="1:8" ht="76.5" x14ac:dyDescent="0.2">
      <c r="A436" s="190" t="s">
        <v>387</v>
      </c>
      <c r="B436" s="173" t="s">
        <v>246</v>
      </c>
      <c r="C436" s="173" t="s">
        <v>1148</v>
      </c>
      <c r="D436" s="173" t="s">
        <v>761</v>
      </c>
      <c r="E436" s="173" t="s">
        <v>388</v>
      </c>
      <c r="F436" s="192">
        <v>6052400</v>
      </c>
      <c r="G436" s="192">
        <v>6052400</v>
      </c>
      <c r="H436" s="143" t="str">
        <f t="shared" si="7"/>
        <v>07030530041000611</v>
      </c>
    </row>
    <row r="437" spans="1:8" ht="140.25" x14ac:dyDescent="0.2">
      <c r="A437" s="190" t="s">
        <v>613</v>
      </c>
      <c r="B437" s="173" t="s">
        <v>246</v>
      </c>
      <c r="C437" s="173" t="s">
        <v>1148</v>
      </c>
      <c r="D437" s="173" t="s">
        <v>762</v>
      </c>
      <c r="E437" s="173" t="s">
        <v>1314</v>
      </c>
      <c r="F437" s="195">
        <v>217112</v>
      </c>
      <c r="G437" s="195">
        <v>217112</v>
      </c>
      <c r="H437" s="143" t="str">
        <f t="shared" si="7"/>
        <v>07030530045000</v>
      </c>
    </row>
    <row r="438" spans="1:8" ht="38.25" x14ac:dyDescent="0.2">
      <c r="A438" s="190" t="s">
        <v>1510</v>
      </c>
      <c r="B438" s="173" t="s">
        <v>246</v>
      </c>
      <c r="C438" s="173" t="s">
        <v>1148</v>
      </c>
      <c r="D438" s="173" t="s">
        <v>762</v>
      </c>
      <c r="E438" s="173" t="s">
        <v>1511</v>
      </c>
      <c r="F438" s="195">
        <v>217112</v>
      </c>
      <c r="G438" s="195">
        <v>217112</v>
      </c>
      <c r="H438" s="143"/>
    </row>
    <row r="439" spans="1:8" x14ac:dyDescent="0.2">
      <c r="A439" s="52" t="s">
        <v>1340</v>
      </c>
      <c r="B439" s="240" t="s">
        <v>246</v>
      </c>
      <c r="C439" s="240" t="s">
        <v>1148</v>
      </c>
      <c r="D439" s="182" t="s">
        <v>762</v>
      </c>
      <c r="E439" s="241" t="s">
        <v>1341</v>
      </c>
      <c r="F439" s="255">
        <v>217112</v>
      </c>
      <c r="G439" s="195">
        <v>217112</v>
      </c>
      <c r="H439" s="143" t="str">
        <f>CONCATENATE(C439,,D439,E439)</f>
        <v>07030530045000610</v>
      </c>
    </row>
    <row r="440" spans="1:8" ht="76.5" x14ac:dyDescent="0.2">
      <c r="A440" s="7" t="s">
        <v>387</v>
      </c>
      <c r="B440" s="240" t="s">
        <v>246</v>
      </c>
      <c r="C440" s="240" t="s">
        <v>1148</v>
      </c>
      <c r="D440" s="182" t="s">
        <v>762</v>
      </c>
      <c r="E440" s="241" t="s">
        <v>388</v>
      </c>
      <c r="F440" s="255">
        <v>217112</v>
      </c>
      <c r="G440" s="195">
        <v>217112</v>
      </c>
      <c r="H440" s="143" t="str">
        <f>CONCATENATE(C440,,D440,E440)</f>
        <v>07030530045000611</v>
      </c>
    </row>
    <row r="441" spans="1:8" ht="127.5" x14ac:dyDescent="0.2">
      <c r="A441" s="52" t="s">
        <v>553</v>
      </c>
      <c r="B441" s="240" t="s">
        <v>246</v>
      </c>
      <c r="C441" s="240" t="s">
        <v>1148</v>
      </c>
      <c r="D441" s="182" t="s">
        <v>763</v>
      </c>
      <c r="E441" s="241" t="s">
        <v>1314</v>
      </c>
      <c r="F441" s="255">
        <v>605000</v>
      </c>
      <c r="G441" s="195">
        <v>605000</v>
      </c>
      <c r="H441" s="143" t="str">
        <f>CONCATENATE(C441,,D441,E441)</f>
        <v>07030530047000</v>
      </c>
    </row>
    <row r="442" spans="1:8" ht="38.25" x14ac:dyDescent="0.2">
      <c r="A442" s="190" t="s">
        <v>1510</v>
      </c>
      <c r="B442" s="173" t="s">
        <v>246</v>
      </c>
      <c r="C442" s="173" t="s">
        <v>1148</v>
      </c>
      <c r="D442" s="173" t="s">
        <v>763</v>
      </c>
      <c r="E442" s="173" t="s">
        <v>1511</v>
      </c>
      <c r="F442" s="255">
        <v>605000</v>
      </c>
      <c r="G442" s="195">
        <v>605000</v>
      </c>
      <c r="H442" s="143" t="str">
        <f t="shared" si="7"/>
        <v>07030530047000600</v>
      </c>
    </row>
    <row r="443" spans="1:8" x14ac:dyDescent="0.2">
      <c r="A443" s="190" t="s">
        <v>1340</v>
      </c>
      <c r="B443" s="173" t="s">
        <v>246</v>
      </c>
      <c r="C443" s="173" t="s">
        <v>1148</v>
      </c>
      <c r="D443" s="173" t="s">
        <v>763</v>
      </c>
      <c r="E443" s="173" t="s">
        <v>1341</v>
      </c>
      <c r="F443" s="255">
        <v>605000</v>
      </c>
      <c r="G443" s="195">
        <v>605000</v>
      </c>
      <c r="H443" s="143" t="str">
        <f t="shared" si="7"/>
        <v>07030530047000610</v>
      </c>
    </row>
    <row r="444" spans="1:8" ht="25.5" x14ac:dyDescent="0.2">
      <c r="A444" s="190" t="s">
        <v>406</v>
      </c>
      <c r="B444" s="173" t="s">
        <v>246</v>
      </c>
      <c r="C444" s="173" t="s">
        <v>1148</v>
      </c>
      <c r="D444" s="173" t="s">
        <v>763</v>
      </c>
      <c r="E444" s="173" t="s">
        <v>407</v>
      </c>
      <c r="F444" s="255">
        <v>605000</v>
      </c>
      <c r="G444" s="195">
        <v>605000</v>
      </c>
      <c r="H444" s="143" t="str">
        <f t="shared" si="7"/>
        <v>07030530047000612</v>
      </c>
    </row>
    <row r="445" spans="1:8" ht="127.5" x14ac:dyDescent="0.2">
      <c r="A445" s="190" t="s">
        <v>614</v>
      </c>
      <c r="B445" s="173" t="s">
        <v>246</v>
      </c>
      <c r="C445" s="173" t="s">
        <v>1148</v>
      </c>
      <c r="D445" s="173" t="s">
        <v>764</v>
      </c>
      <c r="E445" s="173" t="s">
        <v>1314</v>
      </c>
      <c r="F445" s="195">
        <v>3017238</v>
      </c>
      <c r="G445" s="195">
        <v>3017238</v>
      </c>
      <c r="H445" s="143" t="str">
        <f t="shared" si="7"/>
        <v>0703053004Г000</v>
      </c>
    </row>
    <row r="446" spans="1:8" ht="38.25" x14ac:dyDescent="0.2">
      <c r="A446" s="190" t="s">
        <v>1510</v>
      </c>
      <c r="B446" s="173" t="s">
        <v>246</v>
      </c>
      <c r="C446" s="173" t="s">
        <v>1148</v>
      </c>
      <c r="D446" s="173" t="s">
        <v>764</v>
      </c>
      <c r="E446" s="173" t="s">
        <v>1511</v>
      </c>
      <c r="F446" s="195">
        <v>3017238</v>
      </c>
      <c r="G446" s="195">
        <v>3017238</v>
      </c>
      <c r="H446" s="143" t="str">
        <f t="shared" si="7"/>
        <v>0703053004Г000600</v>
      </c>
    </row>
    <row r="447" spans="1:8" x14ac:dyDescent="0.2">
      <c r="A447" s="190" t="s">
        <v>1340</v>
      </c>
      <c r="B447" s="173" t="s">
        <v>246</v>
      </c>
      <c r="C447" s="173" t="s">
        <v>1148</v>
      </c>
      <c r="D447" s="173" t="s">
        <v>764</v>
      </c>
      <c r="E447" s="173" t="s">
        <v>1341</v>
      </c>
      <c r="F447" s="195">
        <v>3017238</v>
      </c>
      <c r="G447" s="195">
        <v>3017238</v>
      </c>
      <c r="H447" s="143" t="str">
        <f t="shared" si="7"/>
        <v>0703053004Г000610</v>
      </c>
    </row>
    <row r="448" spans="1:8" ht="72.75" customHeight="1" x14ac:dyDescent="0.2">
      <c r="A448" s="200" t="s">
        <v>387</v>
      </c>
      <c r="B448" s="173" t="s">
        <v>246</v>
      </c>
      <c r="C448" s="173" t="s">
        <v>1148</v>
      </c>
      <c r="D448" s="173" t="s">
        <v>764</v>
      </c>
      <c r="E448" s="173" t="s">
        <v>388</v>
      </c>
      <c r="F448" s="195">
        <v>3017238</v>
      </c>
      <c r="G448" s="195">
        <v>3017238</v>
      </c>
      <c r="H448" s="143" t="str">
        <f t="shared" si="7"/>
        <v>0703053004Г000611</v>
      </c>
    </row>
    <row r="449" spans="1:8" ht="89.25" x14ac:dyDescent="0.2">
      <c r="A449" s="190" t="s">
        <v>1910</v>
      </c>
      <c r="B449" s="173" t="s">
        <v>246</v>
      </c>
      <c r="C449" s="173" t="s">
        <v>1148</v>
      </c>
      <c r="D449" s="173" t="s">
        <v>1911</v>
      </c>
      <c r="E449" s="173" t="s">
        <v>1314</v>
      </c>
      <c r="F449" s="195">
        <v>49000</v>
      </c>
      <c r="G449" s="195">
        <v>49000</v>
      </c>
      <c r="H449" s="143" t="str">
        <f t="shared" si="7"/>
        <v>0703053004М000</v>
      </c>
    </row>
    <row r="450" spans="1:8" ht="38.25" x14ac:dyDescent="0.2">
      <c r="A450" s="190" t="s">
        <v>1510</v>
      </c>
      <c r="B450" s="173" t="s">
        <v>246</v>
      </c>
      <c r="C450" s="173" t="s">
        <v>1148</v>
      </c>
      <c r="D450" s="173" t="s">
        <v>1911</v>
      </c>
      <c r="E450" s="173" t="s">
        <v>1511</v>
      </c>
      <c r="F450" s="195">
        <v>49000</v>
      </c>
      <c r="G450" s="195">
        <v>49000</v>
      </c>
      <c r="H450" s="143" t="str">
        <f t="shared" si="7"/>
        <v>0703053004М000600</v>
      </c>
    </row>
    <row r="451" spans="1:8" x14ac:dyDescent="0.2">
      <c r="A451" s="190" t="s">
        <v>1340</v>
      </c>
      <c r="B451" s="173" t="s">
        <v>246</v>
      </c>
      <c r="C451" s="173" t="s">
        <v>1148</v>
      </c>
      <c r="D451" s="173" t="s">
        <v>1911</v>
      </c>
      <c r="E451" s="173" t="s">
        <v>1341</v>
      </c>
      <c r="F451" s="195">
        <v>49000</v>
      </c>
      <c r="G451" s="195">
        <v>49000</v>
      </c>
      <c r="H451" s="143" t="str">
        <f t="shared" si="7"/>
        <v>0703053004М000610</v>
      </c>
    </row>
    <row r="452" spans="1:8" ht="76.5" x14ac:dyDescent="0.2">
      <c r="A452" s="190" t="s">
        <v>387</v>
      </c>
      <c r="B452" s="173" t="s">
        <v>246</v>
      </c>
      <c r="C452" s="173" t="s">
        <v>1148</v>
      </c>
      <c r="D452" s="173" t="s">
        <v>1911</v>
      </c>
      <c r="E452" s="173" t="s">
        <v>388</v>
      </c>
      <c r="F452" s="195">
        <v>49000</v>
      </c>
      <c r="G452" s="195">
        <v>49000</v>
      </c>
      <c r="H452" s="143" t="str">
        <f t="shared" si="7"/>
        <v>0703053004М000611</v>
      </c>
    </row>
    <row r="453" spans="1:8" ht="114.75" x14ac:dyDescent="0.2">
      <c r="A453" s="190" t="s">
        <v>1016</v>
      </c>
      <c r="B453" s="173" t="s">
        <v>246</v>
      </c>
      <c r="C453" s="173" t="s">
        <v>1148</v>
      </c>
      <c r="D453" s="173" t="s">
        <v>1017</v>
      </c>
      <c r="E453" s="173" t="s">
        <v>1314</v>
      </c>
      <c r="F453" s="195">
        <v>381000</v>
      </c>
      <c r="G453" s="195">
        <v>381000</v>
      </c>
      <c r="H453" s="143" t="str">
        <f t="shared" si="7"/>
        <v>0703053004Э000</v>
      </c>
    </row>
    <row r="454" spans="1:8" ht="38.25" x14ac:dyDescent="0.2">
      <c r="A454" s="190" t="s">
        <v>1510</v>
      </c>
      <c r="B454" s="173" t="s">
        <v>246</v>
      </c>
      <c r="C454" s="173" t="s">
        <v>1148</v>
      </c>
      <c r="D454" s="173" t="s">
        <v>1017</v>
      </c>
      <c r="E454" s="173" t="s">
        <v>1511</v>
      </c>
      <c r="F454" s="195">
        <v>381000</v>
      </c>
      <c r="G454" s="195">
        <v>381000</v>
      </c>
      <c r="H454" s="143" t="str">
        <f t="shared" si="7"/>
        <v>0703053004Э000600</v>
      </c>
    </row>
    <row r="455" spans="1:8" x14ac:dyDescent="0.2">
      <c r="A455" s="190" t="s">
        <v>1340</v>
      </c>
      <c r="B455" s="173" t="s">
        <v>246</v>
      </c>
      <c r="C455" s="173" t="s">
        <v>1148</v>
      </c>
      <c r="D455" s="173" t="s">
        <v>1017</v>
      </c>
      <c r="E455" s="173" t="s">
        <v>1341</v>
      </c>
      <c r="F455" s="195">
        <v>381000</v>
      </c>
      <c r="G455" s="195">
        <v>381000</v>
      </c>
      <c r="H455" s="143" t="str">
        <f t="shared" si="7"/>
        <v>0703053004Э000610</v>
      </c>
    </row>
    <row r="456" spans="1:8" ht="185.25" customHeight="1" x14ac:dyDescent="0.2">
      <c r="A456" s="200" t="s">
        <v>387</v>
      </c>
      <c r="B456" s="173" t="s">
        <v>246</v>
      </c>
      <c r="C456" s="173" t="s">
        <v>1148</v>
      </c>
      <c r="D456" s="173" t="s">
        <v>1017</v>
      </c>
      <c r="E456" s="173" t="s">
        <v>388</v>
      </c>
      <c r="F456" s="195">
        <v>381000</v>
      </c>
      <c r="G456" s="195">
        <v>381000</v>
      </c>
      <c r="H456" s="143" t="str">
        <f t="shared" si="7"/>
        <v>0703053004Э000611</v>
      </c>
    </row>
    <row r="457" spans="1:8" x14ac:dyDescent="0.2">
      <c r="A457" s="190" t="s">
        <v>1145</v>
      </c>
      <c r="B457" s="173" t="s">
        <v>246</v>
      </c>
      <c r="C457" s="173" t="s">
        <v>405</v>
      </c>
      <c r="D457" s="173" t="s">
        <v>1314</v>
      </c>
      <c r="E457" s="173" t="s">
        <v>1314</v>
      </c>
      <c r="F457" s="195">
        <v>10617533</v>
      </c>
      <c r="G457" s="195">
        <v>10617533</v>
      </c>
      <c r="H457" s="143" t="str">
        <f t="shared" si="7"/>
        <v>0707</v>
      </c>
    </row>
    <row r="458" spans="1:8" ht="186.75" customHeight="1" x14ac:dyDescent="0.2">
      <c r="A458" s="200" t="s">
        <v>507</v>
      </c>
      <c r="B458" s="173" t="s">
        <v>246</v>
      </c>
      <c r="C458" s="173" t="s">
        <v>405</v>
      </c>
      <c r="D458" s="173" t="s">
        <v>1045</v>
      </c>
      <c r="E458" s="173" t="s">
        <v>1314</v>
      </c>
      <c r="F458" s="195">
        <v>10617533</v>
      </c>
      <c r="G458" s="195">
        <v>10617533</v>
      </c>
      <c r="H458" s="143" t="str">
        <f t="shared" si="7"/>
        <v>07070600000000</v>
      </c>
    </row>
    <row r="459" spans="1:8" ht="38.25" x14ac:dyDescent="0.2">
      <c r="A459" s="190" t="s">
        <v>508</v>
      </c>
      <c r="B459" s="173" t="s">
        <v>246</v>
      </c>
      <c r="C459" s="173" t="s">
        <v>405</v>
      </c>
      <c r="D459" s="173" t="s">
        <v>1046</v>
      </c>
      <c r="E459" s="173" t="s">
        <v>1314</v>
      </c>
      <c r="F459" s="195">
        <v>538350</v>
      </c>
      <c r="G459" s="195">
        <v>538350</v>
      </c>
      <c r="H459" s="143" t="str">
        <f t="shared" si="7"/>
        <v>07070610000000</v>
      </c>
    </row>
    <row r="460" spans="1:8" ht="63.75" x14ac:dyDescent="0.2">
      <c r="A460" s="190" t="s">
        <v>1014</v>
      </c>
      <c r="B460" s="173" t="s">
        <v>246</v>
      </c>
      <c r="C460" s="173" t="s">
        <v>405</v>
      </c>
      <c r="D460" s="173" t="s">
        <v>1015</v>
      </c>
      <c r="E460" s="173" t="s">
        <v>1314</v>
      </c>
      <c r="F460" s="195">
        <v>50000</v>
      </c>
      <c r="G460" s="195">
        <v>50000</v>
      </c>
      <c r="H460" s="143" t="str">
        <f t="shared" si="7"/>
        <v>07070610080000</v>
      </c>
    </row>
    <row r="461" spans="1:8" ht="38.25" x14ac:dyDescent="0.2">
      <c r="A461" s="190" t="s">
        <v>1510</v>
      </c>
      <c r="B461" s="173" t="s">
        <v>246</v>
      </c>
      <c r="C461" s="173" t="s">
        <v>405</v>
      </c>
      <c r="D461" s="173" t="s">
        <v>1015</v>
      </c>
      <c r="E461" s="173" t="s">
        <v>1511</v>
      </c>
      <c r="F461" s="195">
        <v>50000</v>
      </c>
      <c r="G461" s="195">
        <v>50000</v>
      </c>
      <c r="H461" s="143" t="str">
        <f t="shared" si="7"/>
        <v>07070610080000600</v>
      </c>
    </row>
    <row r="462" spans="1:8" x14ac:dyDescent="0.2">
      <c r="A462" s="190" t="s">
        <v>1340</v>
      </c>
      <c r="B462" s="173" t="s">
        <v>246</v>
      </c>
      <c r="C462" s="173" t="s">
        <v>405</v>
      </c>
      <c r="D462" s="173" t="s">
        <v>1015</v>
      </c>
      <c r="E462" s="173" t="s">
        <v>1341</v>
      </c>
      <c r="F462" s="195">
        <v>50000</v>
      </c>
      <c r="G462" s="195">
        <v>50000</v>
      </c>
      <c r="H462" s="143" t="str">
        <f t="shared" si="7"/>
        <v>07070610080000610</v>
      </c>
    </row>
    <row r="463" spans="1:8" ht="25.5" x14ac:dyDescent="0.2">
      <c r="A463" s="190" t="s">
        <v>406</v>
      </c>
      <c r="B463" s="256" t="s">
        <v>246</v>
      </c>
      <c r="C463" s="256" t="s">
        <v>405</v>
      </c>
      <c r="D463" s="182" t="s">
        <v>1015</v>
      </c>
      <c r="E463" s="256" t="s">
        <v>407</v>
      </c>
      <c r="F463" s="195">
        <v>50000</v>
      </c>
      <c r="G463" s="195">
        <v>50000</v>
      </c>
      <c r="H463" s="143" t="str">
        <f t="shared" si="7"/>
        <v>07070610080000612</v>
      </c>
    </row>
    <row r="464" spans="1:8" ht="89.25" x14ac:dyDescent="0.2">
      <c r="A464" s="190" t="s">
        <v>1681</v>
      </c>
      <c r="B464" s="256" t="s">
        <v>246</v>
      </c>
      <c r="C464" s="256" t="s">
        <v>405</v>
      </c>
      <c r="D464" s="182" t="s">
        <v>1682</v>
      </c>
      <c r="E464" s="256" t="s">
        <v>1314</v>
      </c>
      <c r="F464" s="195">
        <v>282030</v>
      </c>
      <c r="G464" s="195">
        <v>282030</v>
      </c>
      <c r="H464" s="143" t="str">
        <f t="shared" si="7"/>
        <v>07070610080010</v>
      </c>
    </row>
    <row r="465" spans="1:8" ht="38.25" x14ac:dyDescent="0.2">
      <c r="A465" s="190" t="s">
        <v>1510</v>
      </c>
      <c r="B465" s="256" t="s">
        <v>246</v>
      </c>
      <c r="C465" s="256" t="s">
        <v>405</v>
      </c>
      <c r="D465" s="182" t="s">
        <v>1682</v>
      </c>
      <c r="E465" s="256" t="s">
        <v>1511</v>
      </c>
      <c r="F465" s="195">
        <v>282030</v>
      </c>
      <c r="G465" s="195">
        <v>282030</v>
      </c>
      <c r="H465" s="143" t="str">
        <f t="shared" si="7"/>
        <v>07070610080010600</v>
      </c>
    </row>
    <row r="466" spans="1:8" x14ac:dyDescent="0.2">
      <c r="A466" s="190" t="s">
        <v>1340</v>
      </c>
      <c r="B466" s="256" t="s">
        <v>246</v>
      </c>
      <c r="C466" s="256" t="s">
        <v>405</v>
      </c>
      <c r="D466" s="182" t="s">
        <v>1682</v>
      </c>
      <c r="E466" s="256" t="s">
        <v>1341</v>
      </c>
      <c r="F466" s="195">
        <v>282030</v>
      </c>
      <c r="G466" s="195">
        <v>282030</v>
      </c>
      <c r="H466" s="143" t="str">
        <f t="shared" si="7"/>
        <v>07070610080010610</v>
      </c>
    </row>
    <row r="467" spans="1:8" ht="25.5" x14ac:dyDescent="0.2">
      <c r="A467" s="190" t="s">
        <v>406</v>
      </c>
      <c r="B467" s="256" t="s">
        <v>246</v>
      </c>
      <c r="C467" s="256" t="s">
        <v>405</v>
      </c>
      <c r="D467" s="182" t="s">
        <v>1682</v>
      </c>
      <c r="E467" s="256" t="s">
        <v>407</v>
      </c>
      <c r="F467" s="195">
        <v>282030</v>
      </c>
      <c r="G467" s="195">
        <v>282030</v>
      </c>
      <c r="H467" s="143" t="str">
        <f t="shared" si="7"/>
        <v>07070610080010612</v>
      </c>
    </row>
    <row r="468" spans="1:8" ht="76.5" x14ac:dyDescent="0.2">
      <c r="A468" s="190" t="s">
        <v>1748</v>
      </c>
      <c r="B468" s="256" t="s">
        <v>246</v>
      </c>
      <c r="C468" s="256" t="s">
        <v>405</v>
      </c>
      <c r="D468" s="182" t="s">
        <v>739</v>
      </c>
      <c r="E468" s="256" t="s">
        <v>1314</v>
      </c>
      <c r="F468" s="195">
        <v>206320</v>
      </c>
      <c r="G468" s="195">
        <v>206320</v>
      </c>
      <c r="H468" s="143" t="str">
        <f t="shared" si="7"/>
        <v>070706100S4560</v>
      </c>
    </row>
    <row r="469" spans="1:8" ht="38.25" x14ac:dyDescent="0.2">
      <c r="A469" s="190" t="s">
        <v>1510</v>
      </c>
      <c r="B469" s="256" t="s">
        <v>246</v>
      </c>
      <c r="C469" s="256" t="s">
        <v>405</v>
      </c>
      <c r="D469" s="182" t="s">
        <v>739</v>
      </c>
      <c r="E469" s="256" t="s">
        <v>1511</v>
      </c>
      <c r="F469" s="195">
        <v>206320</v>
      </c>
      <c r="G469" s="195">
        <v>206320</v>
      </c>
      <c r="H469" s="143" t="str">
        <f t="shared" si="7"/>
        <v>070706100S4560600</v>
      </c>
    </row>
    <row r="470" spans="1:8" x14ac:dyDescent="0.2">
      <c r="A470" s="190" t="s">
        <v>1340</v>
      </c>
      <c r="B470" s="256" t="s">
        <v>246</v>
      </c>
      <c r="C470" s="256" t="s">
        <v>405</v>
      </c>
      <c r="D470" s="182" t="s">
        <v>739</v>
      </c>
      <c r="E470" s="256" t="s">
        <v>1341</v>
      </c>
      <c r="F470" s="195">
        <v>206320</v>
      </c>
      <c r="G470" s="195">
        <v>206320</v>
      </c>
      <c r="H470" s="143" t="str">
        <f t="shared" si="7"/>
        <v>070706100S4560610</v>
      </c>
    </row>
    <row r="471" spans="1:8" ht="25.5" x14ac:dyDescent="0.2">
      <c r="A471" s="190" t="s">
        <v>406</v>
      </c>
      <c r="B471" s="256" t="s">
        <v>246</v>
      </c>
      <c r="C471" s="256" t="s">
        <v>405</v>
      </c>
      <c r="D471" s="182" t="s">
        <v>739</v>
      </c>
      <c r="E471" s="256" t="s">
        <v>407</v>
      </c>
      <c r="F471" s="195">
        <v>206320</v>
      </c>
      <c r="G471" s="195">
        <v>206320</v>
      </c>
      <c r="H471" s="143" t="str">
        <f t="shared" si="7"/>
        <v>070706100S4560612</v>
      </c>
    </row>
    <row r="472" spans="1:8" ht="38.25" x14ac:dyDescent="0.2">
      <c r="A472" s="190" t="s">
        <v>510</v>
      </c>
      <c r="B472" s="256" t="s">
        <v>246</v>
      </c>
      <c r="C472" s="256" t="s">
        <v>405</v>
      </c>
      <c r="D472" s="182" t="s">
        <v>1153</v>
      </c>
      <c r="E472" s="256" t="s">
        <v>1314</v>
      </c>
      <c r="F472" s="195">
        <v>170000</v>
      </c>
      <c r="G472" s="195">
        <v>170000</v>
      </c>
      <c r="H472" s="143" t="str">
        <f t="shared" si="7"/>
        <v>07070620000000</v>
      </c>
    </row>
    <row r="473" spans="1:8" ht="63.75" x14ac:dyDescent="0.2">
      <c r="A473" s="190" t="s">
        <v>409</v>
      </c>
      <c r="B473" s="256" t="s">
        <v>246</v>
      </c>
      <c r="C473" s="182" t="s">
        <v>405</v>
      </c>
      <c r="D473" s="256" t="s">
        <v>740</v>
      </c>
      <c r="E473" s="256" t="s">
        <v>1314</v>
      </c>
      <c r="F473" s="195">
        <v>150000</v>
      </c>
      <c r="G473" s="195">
        <v>150000</v>
      </c>
      <c r="H473" s="143" t="str">
        <f t="shared" si="7"/>
        <v>07070620080000</v>
      </c>
    </row>
    <row r="474" spans="1:8" ht="38.25" x14ac:dyDescent="0.2">
      <c r="A474" s="190" t="s">
        <v>1510</v>
      </c>
      <c r="B474" s="256" t="s">
        <v>246</v>
      </c>
      <c r="C474" s="256" t="s">
        <v>405</v>
      </c>
      <c r="D474" s="256" t="s">
        <v>740</v>
      </c>
      <c r="E474" s="256" t="s">
        <v>1511</v>
      </c>
      <c r="F474" s="195">
        <v>150000</v>
      </c>
      <c r="G474" s="195">
        <v>150000</v>
      </c>
      <c r="H474" s="143" t="str">
        <f t="shared" si="7"/>
        <v>07070620080000600</v>
      </c>
    </row>
    <row r="475" spans="1:8" x14ac:dyDescent="0.2">
      <c r="A475" s="190" t="s">
        <v>1340</v>
      </c>
      <c r="B475" s="256" t="s">
        <v>246</v>
      </c>
      <c r="C475" s="256" t="s">
        <v>405</v>
      </c>
      <c r="D475" s="256" t="s">
        <v>740</v>
      </c>
      <c r="E475" s="256" t="s">
        <v>1341</v>
      </c>
      <c r="F475" s="195">
        <v>150000</v>
      </c>
      <c r="G475" s="195">
        <v>150000</v>
      </c>
      <c r="H475" s="143" t="str">
        <f t="shared" si="7"/>
        <v>07070620080000610</v>
      </c>
    </row>
    <row r="476" spans="1:8" ht="25.5" x14ac:dyDescent="0.2">
      <c r="A476" s="190" t="s">
        <v>406</v>
      </c>
      <c r="B476" s="256" t="s">
        <v>246</v>
      </c>
      <c r="C476" s="256" t="s">
        <v>405</v>
      </c>
      <c r="D476" s="256" t="s">
        <v>740</v>
      </c>
      <c r="E476" s="256" t="s">
        <v>407</v>
      </c>
      <c r="F476" s="195">
        <v>150000</v>
      </c>
      <c r="G476" s="195">
        <v>150000</v>
      </c>
      <c r="H476" s="143" t="str">
        <f t="shared" si="7"/>
        <v>07070620080000612</v>
      </c>
    </row>
    <row r="477" spans="1:8" ht="102" x14ac:dyDescent="0.2">
      <c r="A477" s="190" t="s">
        <v>1750</v>
      </c>
      <c r="B477" s="256" t="s">
        <v>246</v>
      </c>
      <c r="C477" s="256" t="s">
        <v>405</v>
      </c>
      <c r="D477" s="256" t="s">
        <v>1733</v>
      </c>
      <c r="E477" s="256" t="s">
        <v>1314</v>
      </c>
      <c r="F477" s="195">
        <v>20000</v>
      </c>
      <c r="G477" s="195">
        <v>20000</v>
      </c>
      <c r="H477" s="143" t="str">
        <f t="shared" si="7"/>
        <v>070706200S4540</v>
      </c>
    </row>
    <row r="478" spans="1:8" ht="38.25" x14ac:dyDescent="0.2">
      <c r="A478" s="190" t="s">
        <v>1510</v>
      </c>
      <c r="B478" s="256" t="s">
        <v>246</v>
      </c>
      <c r="C478" s="256" t="s">
        <v>405</v>
      </c>
      <c r="D478" s="256" t="s">
        <v>1733</v>
      </c>
      <c r="E478" s="256" t="s">
        <v>1511</v>
      </c>
      <c r="F478" s="195">
        <v>20000</v>
      </c>
      <c r="G478" s="195">
        <v>20000</v>
      </c>
      <c r="H478" s="143" t="str">
        <f t="shared" si="7"/>
        <v>070706200S4540600</v>
      </c>
    </row>
    <row r="479" spans="1:8" x14ac:dyDescent="0.2">
      <c r="A479" s="190" t="s">
        <v>1340</v>
      </c>
      <c r="B479" s="256" t="s">
        <v>246</v>
      </c>
      <c r="C479" s="256" t="s">
        <v>405</v>
      </c>
      <c r="D479" s="256" t="s">
        <v>1733</v>
      </c>
      <c r="E479" s="256" t="s">
        <v>1341</v>
      </c>
      <c r="F479" s="195">
        <v>20000</v>
      </c>
      <c r="G479" s="195">
        <v>20000</v>
      </c>
      <c r="H479" s="143" t="str">
        <f t="shared" si="7"/>
        <v>070706200S4540610</v>
      </c>
    </row>
    <row r="480" spans="1:8" ht="25.5" x14ac:dyDescent="0.2">
      <c r="A480" s="190" t="s">
        <v>406</v>
      </c>
      <c r="B480" s="256" t="s">
        <v>246</v>
      </c>
      <c r="C480" s="256" t="s">
        <v>405</v>
      </c>
      <c r="D480" s="256" t="s">
        <v>1733</v>
      </c>
      <c r="E480" s="256" t="s">
        <v>407</v>
      </c>
      <c r="F480" s="195">
        <v>20000</v>
      </c>
      <c r="G480" s="195">
        <v>20000</v>
      </c>
      <c r="H480" s="143" t="str">
        <f t="shared" si="7"/>
        <v>070706200S4540612</v>
      </c>
    </row>
    <row r="481" spans="1:8" ht="38.25" x14ac:dyDescent="0.2">
      <c r="A481" s="190" t="s">
        <v>488</v>
      </c>
      <c r="B481" s="256" t="s">
        <v>246</v>
      </c>
      <c r="C481" s="256" t="s">
        <v>405</v>
      </c>
      <c r="D481" s="256" t="s">
        <v>1048</v>
      </c>
      <c r="E481" s="256" t="s">
        <v>1314</v>
      </c>
      <c r="F481" s="195">
        <v>9709183</v>
      </c>
      <c r="G481" s="195">
        <v>9709183</v>
      </c>
      <c r="H481" s="143" t="str">
        <f t="shared" si="7"/>
        <v>07070640000000</v>
      </c>
    </row>
    <row r="482" spans="1:8" ht="127.5" x14ac:dyDescent="0.2">
      <c r="A482" s="190" t="s">
        <v>411</v>
      </c>
      <c r="B482" s="256" t="s">
        <v>246</v>
      </c>
      <c r="C482" s="256" t="s">
        <v>405</v>
      </c>
      <c r="D482" s="256" t="s">
        <v>742</v>
      </c>
      <c r="E482" s="256" t="s">
        <v>1314</v>
      </c>
      <c r="F482" s="195">
        <v>6655583</v>
      </c>
      <c r="G482" s="195">
        <v>6655583</v>
      </c>
      <c r="H482" s="143" t="str">
        <f t="shared" si="7"/>
        <v>07070640040000</v>
      </c>
    </row>
    <row r="483" spans="1:8" ht="38.25" x14ac:dyDescent="0.2">
      <c r="A483" s="190" t="s">
        <v>1510</v>
      </c>
      <c r="B483" s="256" t="s">
        <v>246</v>
      </c>
      <c r="C483" s="256" t="s">
        <v>405</v>
      </c>
      <c r="D483" s="256" t="s">
        <v>742</v>
      </c>
      <c r="E483" s="256" t="s">
        <v>1511</v>
      </c>
      <c r="F483" s="195">
        <v>6655583</v>
      </c>
      <c r="G483" s="195">
        <v>6655583</v>
      </c>
      <c r="H483" s="143" t="str">
        <f t="shared" si="7"/>
        <v>07070640040000600</v>
      </c>
    </row>
    <row r="484" spans="1:8" x14ac:dyDescent="0.2">
      <c r="A484" s="190" t="s">
        <v>1340</v>
      </c>
      <c r="B484" s="256" t="s">
        <v>246</v>
      </c>
      <c r="C484" s="256" t="s">
        <v>405</v>
      </c>
      <c r="D484" s="256" t="s">
        <v>742</v>
      </c>
      <c r="E484" s="256" t="s">
        <v>1341</v>
      </c>
      <c r="F484" s="195">
        <v>6655583</v>
      </c>
      <c r="G484" s="195">
        <v>6655583</v>
      </c>
      <c r="H484" s="143" t="str">
        <f t="shared" si="7"/>
        <v>07070640040000610</v>
      </c>
    </row>
    <row r="485" spans="1:8" ht="76.5" x14ac:dyDescent="0.2">
      <c r="A485" s="190" t="s">
        <v>387</v>
      </c>
      <c r="B485" s="256" t="s">
        <v>246</v>
      </c>
      <c r="C485" s="256" t="s">
        <v>405</v>
      </c>
      <c r="D485" s="256" t="s">
        <v>742</v>
      </c>
      <c r="E485" s="256" t="s">
        <v>388</v>
      </c>
      <c r="F485" s="195">
        <v>6655583</v>
      </c>
      <c r="G485" s="195">
        <v>6655583</v>
      </c>
      <c r="H485" s="143" t="str">
        <f t="shared" si="7"/>
        <v>07070640040000611</v>
      </c>
    </row>
    <row r="486" spans="1:8" ht="165.75" x14ac:dyDescent="0.2">
      <c r="A486" s="190" t="s">
        <v>412</v>
      </c>
      <c r="B486" s="256" t="s">
        <v>246</v>
      </c>
      <c r="C486" s="256" t="s">
        <v>405</v>
      </c>
      <c r="D486" s="256" t="s">
        <v>743</v>
      </c>
      <c r="E486" s="256" t="s">
        <v>1314</v>
      </c>
      <c r="F486" s="195">
        <v>1000000</v>
      </c>
      <c r="G486" s="195">
        <v>1000000</v>
      </c>
      <c r="H486" s="143" t="str">
        <f t="shared" si="7"/>
        <v>07070640041000</v>
      </c>
    </row>
    <row r="487" spans="1:8" ht="38.25" x14ac:dyDescent="0.2">
      <c r="A487" s="190" t="s">
        <v>1510</v>
      </c>
      <c r="B487" s="256" t="s">
        <v>246</v>
      </c>
      <c r="C487" s="182" t="s">
        <v>405</v>
      </c>
      <c r="D487" s="256" t="s">
        <v>743</v>
      </c>
      <c r="E487" s="256" t="s">
        <v>1511</v>
      </c>
      <c r="F487" s="195">
        <v>1000000</v>
      </c>
      <c r="G487" s="195">
        <v>1000000</v>
      </c>
      <c r="H487" s="143" t="str">
        <f t="shared" si="7"/>
        <v>07070640041000600</v>
      </c>
    </row>
    <row r="488" spans="1:8" x14ac:dyDescent="0.2">
      <c r="A488" s="190" t="s">
        <v>1340</v>
      </c>
      <c r="B488" s="256" t="s">
        <v>246</v>
      </c>
      <c r="C488" s="256" t="s">
        <v>405</v>
      </c>
      <c r="D488" s="256" t="s">
        <v>743</v>
      </c>
      <c r="E488" s="256" t="s">
        <v>1341</v>
      </c>
      <c r="F488" s="195">
        <v>1000000</v>
      </c>
      <c r="G488" s="195">
        <v>1000000</v>
      </c>
      <c r="H488" s="143" t="str">
        <f t="shared" si="7"/>
        <v>07070640041000610</v>
      </c>
    </row>
    <row r="489" spans="1:8" ht="76.5" x14ac:dyDescent="0.2">
      <c r="A489" s="190" t="s">
        <v>387</v>
      </c>
      <c r="B489" s="256" t="s">
        <v>246</v>
      </c>
      <c r="C489" s="256" t="s">
        <v>405</v>
      </c>
      <c r="D489" s="256" t="s">
        <v>743</v>
      </c>
      <c r="E489" s="256" t="s">
        <v>388</v>
      </c>
      <c r="F489" s="195">
        <v>1000000</v>
      </c>
      <c r="G489" s="195">
        <v>1000000</v>
      </c>
      <c r="H489" s="143" t="str">
        <f t="shared" si="7"/>
        <v>07070640041000611</v>
      </c>
    </row>
    <row r="490" spans="1:8" ht="127.5" x14ac:dyDescent="0.2">
      <c r="A490" s="190" t="s">
        <v>964</v>
      </c>
      <c r="B490" s="256" t="s">
        <v>246</v>
      </c>
      <c r="C490" s="256" t="s">
        <v>405</v>
      </c>
      <c r="D490" s="256" t="s">
        <v>963</v>
      </c>
      <c r="E490" s="256" t="s">
        <v>1314</v>
      </c>
      <c r="F490" s="195">
        <v>30000</v>
      </c>
      <c r="G490" s="195">
        <v>30000</v>
      </c>
      <c r="H490" s="143" t="str">
        <f t="shared" si="7"/>
        <v>07070640047000</v>
      </c>
    </row>
    <row r="491" spans="1:8" ht="38.25" x14ac:dyDescent="0.2">
      <c r="A491" s="190" t="s">
        <v>1510</v>
      </c>
      <c r="B491" s="256" t="s">
        <v>246</v>
      </c>
      <c r="C491" s="256" t="s">
        <v>405</v>
      </c>
      <c r="D491" s="256" t="s">
        <v>963</v>
      </c>
      <c r="E491" s="256" t="s">
        <v>1511</v>
      </c>
      <c r="F491" s="195">
        <v>30000</v>
      </c>
      <c r="G491" s="195">
        <v>30000</v>
      </c>
      <c r="H491" s="143" t="str">
        <f t="shared" si="7"/>
        <v>07070640047000600</v>
      </c>
    </row>
    <row r="492" spans="1:8" x14ac:dyDescent="0.2">
      <c r="A492" s="190" t="s">
        <v>1340</v>
      </c>
      <c r="B492" s="256" t="s">
        <v>246</v>
      </c>
      <c r="C492" s="256" t="s">
        <v>405</v>
      </c>
      <c r="D492" s="256" t="s">
        <v>963</v>
      </c>
      <c r="E492" s="256" t="s">
        <v>1341</v>
      </c>
      <c r="F492" s="195">
        <v>30000</v>
      </c>
      <c r="G492" s="195">
        <v>30000</v>
      </c>
      <c r="H492" s="143" t="str">
        <f t="shared" si="7"/>
        <v>07070640047000610</v>
      </c>
    </row>
    <row r="493" spans="1:8" ht="25.5" x14ac:dyDescent="0.2">
      <c r="A493" s="190" t="s">
        <v>406</v>
      </c>
      <c r="B493" s="256" t="s">
        <v>246</v>
      </c>
      <c r="C493" s="256" t="s">
        <v>405</v>
      </c>
      <c r="D493" s="256" t="s">
        <v>963</v>
      </c>
      <c r="E493" s="256" t="s">
        <v>407</v>
      </c>
      <c r="F493" s="195">
        <v>30000</v>
      </c>
      <c r="G493" s="195">
        <v>30000</v>
      </c>
      <c r="H493" s="143" t="str">
        <f t="shared" si="7"/>
        <v>07070640047000612</v>
      </c>
    </row>
    <row r="494" spans="1:8" ht="102" x14ac:dyDescent="0.2">
      <c r="A494" s="190" t="s">
        <v>1362</v>
      </c>
      <c r="B494" s="256" t="s">
        <v>246</v>
      </c>
      <c r="C494" s="256" t="s">
        <v>405</v>
      </c>
      <c r="D494" s="256" t="s">
        <v>1363</v>
      </c>
      <c r="E494" s="256" t="s">
        <v>1314</v>
      </c>
      <c r="F494" s="195">
        <v>700000</v>
      </c>
      <c r="G494" s="195">
        <v>700000</v>
      </c>
      <c r="H494" s="143" t="str">
        <f t="shared" si="7"/>
        <v>0707064004Г000</v>
      </c>
    </row>
    <row r="495" spans="1:8" ht="38.25" x14ac:dyDescent="0.2">
      <c r="A495" s="190" t="s">
        <v>1510</v>
      </c>
      <c r="B495" s="256" t="s">
        <v>246</v>
      </c>
      <c r="C495" s="256" t="s">
        <v>405</v>
      </c>
      <c r="D495" s="256" t="s">
        <v>1363</v>
      </c>
      <c r="E495" s="256" t="s">
        <v>1511</v>
      </c>
      <c r="F495" s="195">
        <v>700000</v>
      </c>
      <c r="G495" s="195">
        <v>700000</v>
      </c>
      <c r="H495" s="143" t="str">
        <f t="shared" si="7"/>
        <v>0707064004Г000600</v>
      </c>
    </row>
    <row r="496" spans="1:8" x14ac:dyDescent="0.2">
      <c r="A496" s="190" t="s">
        <v>1340</v>
      </c>
      <c r="B496" s="256" t="s">
        <v>246</v>
      </c>
      <c r="C496" s="256" t="s">
        <v>405</v>
      </c>
      <c r="D496" s="256" t="s">
        <v>1363</v>
      </c>
      <c r="E496" s="256" t="s">
        <v>1341</v>
      </c>
      <c r="F496" s="195">
        <v>700000</v>
      </c>
      <c r="G496" s="195">
        <v>700000</v>
      </c>
      <c r="H496" s="143" t="str">
        <f t="shared" ref="H496:H554" si="8">CONCATENATE(C496,,D496,E496)</f>
        <v>0707064004Г000610</v>
      </c>
    </row>
    <row r="497" spans="1:8" ht="76.5" x14ac:dyDescent="0.2">
      <c r="A497" s="190" t="s">
        <v>387</v>
      </c>
      <c r="B497" s="256" t="s">
        <v>246</v>
      </c>
      <c r="C497" s="256" t="s">
        <v>405</v>
      </c>
      <c r="D497" s="256" t="s">
        <v>1363</v>
      </c>
      <c r="E497" s="256" t="s">
        <v>388</v>
      </c>
      <c r="F497" s="195">
        <v>700000</v>
      </c>
      <c r="G497" s="195">
        <v>700000</v>
      </c>
      <c r="H497" s="143" t="str">
        <f t="shared" si="8"/>
        <v>0707064004Г000611</v>
      </c>
    </row>
    <row r="498" spans="1:8" ht="114.75" x14ac:dyDescent="0.2">
      <c r="A498" s="190" t="s">
        <v>1912</v>
      </c>
      <c r="B498" s="256" t="s">
        <v>246</v>
      </c>
      <c r="C498" s="256" t="s">
        <v>405</v>
      </c>
      <c r="D498" s="256" t="s">
        <v>1913</v>
      </c>
      <c r="E498" s="256" t="s">
        <v>1314</v>
      </c>
      <c r="F498" s="195">
        <v>42000</v>
      </c>
      <c r="G498" s="195">
        <v>42000</v>
      </c>
      <c r="H498" s="143" t="str">
        <f t="shared" si="8"/>
        <v>0707064004М000</v>
      </c>
    </row>
    <row r="499" spans="1:8" ht="38.25" x14ac:dyDescent="0.2">
      <c r="A499" s="190" t="s">
        <v>1510</v>
      </c>
      <c r="B499" s="256" t="s">
        <v>246</v>
      </c>
      <c r="C499" s="256" t="s">
        <v>405</v>
      </c>
      <c r="D499" s="256" t="s">
        <v>1913</v>
      </c>
      <c r="E499" s="256" t="s">
        <v>1511</v>
      </c>
      <c r="F499" s="195">
        <v>42000</v>
      </c>
      <c r="G499" s="195">
        <v>42000</v>
      </c>
      <c r="H499" s="143" t="str">
        <f t="shared" si="8"/>
        <v>0707064004М000600</v>
      </c>
    </row>
    <row r="500" spans="1:8" x14ac:dyDescent="0.2">
      <c r="A500" s="190" t="s">
        <v>1340</v>
      </c>
      <c r="B500" s="256" t="s">
        <v>246</v>
      </c>
      <c r="C500" s="256" t="s">
        <v>405</v>
      </c>
      <c r="D500" s="256" t="s">
        <v>1913</v>
      </c>
      <c r="E500" s="256" t="s">
        <v>1341</v>
      </c>
      <c r="F500" s="195">
        <v>42000</v>
      </c>
      <c r="G500" s="195">
        <v>42000</v>
      </c>
      <c r="H500" s="143" t="str">
        <f t="shared" si="8"/>
        <v>0707064004М000610</v>
      </c>
    </row>
    <row r="501" spans="1:8" ht="76.5" x14ac:dyDescent="0.2">
      <c r="A501" s="190" t="s">
        <v>387</v>
      </c>
      <c r="B501" s="256" t="s">
        <v>246</v>
      </c>
      <c r="C501" s="256" t="s">
        <v>405</v>
      </c>
      <c r="D501" s="256" t="s">
        <v>1913</v>
      </c>
      <c r="E501" s="256" t="s">
        <v>388</v>
      </c>
      <c r="F501" s="195">
        <v>42000</v>
      </c>
      <c r="G501" s="195">
        <v>42000</v>
      </c>
      <c r="H501" s="143" t="str">
        <f t="shared" si="8"/>
        <v>0707064004М000611</v>
      </c>
    </row>
    <row r="502" spans="1:8" ht="89.25" x14ac:dyDescent="0.2">
      <c r="A502" s="190" t="s">
        <v>1364</v>
      </c>
      <c r="B502" s="256" t="s">
        <v>246</v>
      </c>
      <c r="C502" s="256" t="s">
        <v>405</v>
      </c>
      <c r="D502" s="256" t="s">
        <v>1365</v>
      </c>
      <c r="E502" s="256" t="s">
        <v>1314</v>
      </c>
      <c r="F502" s="195">
        <v>250000</v>
      </c>
      <c r="G502" s="195">
        <v>250000</v>
      </c>
      <c r="H502" s="143" t="str">
        <f t="shared" si="8"/>
        <v>0707064004Э000</v>
      </c>
    </row>
    <row r="503" spans="1:8" ht="38.25" x14ac:dyDescent="0.2">
      <c r="A503" s="190" t="s">
        <v>1510</v>
      </c>
      <c r="B503" s="256" t="s">
        <v>246</v>
      </c>
      <c r="C503" s="256" t="s">
        <v>405</v>
      </c>
      <c r="D503" s="256" t="s">
        <v>1365</v>
      </c>
      <c r="E503" s="256" t="s">
        <v>1511</v>
      </c>
      <c r="F503" s="195">
        <v>250000</v>
      </c>
      <c r="G503" s="195">
        <v>250000</v>
      </c>
      <c r="H503" s="143" t="str">
        <f t="shared" si="8"/>
        <v>0707064004Э000600</v>
      </c>
    </row>
    <row r="504" spans="1:8" x14ac:dyDescent="0.2">
      <c r="A504" s="190" t="s">
        <v>1340</v>
      </c>
      <c r="B504" s="256" t="s">
        <v>246</v>
      </c>
      <c r="C504" s="256" t="s">
        <v>405</v>
      </c>
      <c r="D504" s="256" t="s">
        <v>1365</v>
      </c>
      <c r="E504" s="256" t="s">
        <v>1341</v>
      </c>
      <c r="F504" s="195">
        <v>250000</v>
      </c>
      <c r="G504" s="195">
        <v>250000</v>
      </c>
      <c r="H504" s="143" t="str">
        <f t="shared" si="8"/>
        <v>0707064004Э000610</v>
      </c>
    </row>
    <row r="505" spans="1:8" ht="76.5" x14ac:dyDescent="0.2">
      <c r="A505" s="190" t="s">
        <v>387</v>
      </c>
      <c r="B505" s="256" t="s">
        <v>246</v>
      </c>
      <c r="C505" s="256" t="s">
        <v>405</v>
      </c>
      <c r="D505" s="256" t="s">
        <v>1365</v>
      </c>
      <c r="E505" s="256" t="s">
        <v>388</v>
      </c>
      <c r="F505" s="195">
        <v>250000</v>
      </c>
      <c r="G505" s="195">
        <v>250000</v>
      </c>
      <c r="H505" s="143" t="str">
        <f t="shared" si="8"/>
        <v>0707064004Э000611</v>
      </c>
    </row>
    <row r="506" spans="1:8" ht="76.5" x14ac:dyDescent="0.2">
      <c r="A506" s="190" t="s">
        <v>410</v>
      </c>
      <c r="B506" s="256" t="s">
        <v>246</v>
      </c>
      <c r="C506" s="182" t="s">
        <v>405</v>
      </c>
      <c r="D506" s="256" t="s">
        <v>1539</v>
      </c>
      <c r="E506" s="256" t="s">
        <v>1314</v>
      </c>
      <c r="F506" s="195">
        <v>1031600</v>
      </c>
      <c r="G506" s="195">
        <v>1031600</v>
      </c>
      <c r="H506" s="143" t="str">
        <f t="shared" si="8"/>
        <v>070706400S4560</v>
      </c>
    </row>
    <row r="507" spans="1:8" ht="38.25" x14ac:dyDescent="0.2">
      <c r="A507" s="190" t="s">
        <v>1510</v>
      </c>
      <c r="B507" s="256" t="s">
        <v>246</v>
      </c>
      <c r="C507" s="256" t="s">
        <v>405</v>
      </c>
      <c r="D507" s="256" t="s">
        <v>1539</v>
      </c>
      <c r="E507" s="256" t="s">
        <v>1511</v>
      </c>
      <c r="F507" s="195">
        <v>1031600</v>
      </c>
      <c r="G507" s="195">
        <v>1031600</v>
      </c>
      <c r="H507" s="143" t="str">
        <f t="shared" si="8"/>
        <v>070706400S4560600</v>
      </c>
    </row>
    <row r="508" spans="1:8" x14ac:dyDescent="0.2">
      <c r="A508" s="190" t="s">
        <v>1340</v>
      </c>
      <c r="B508" s="256" t="s">
        <v>246</v>
      </c>
      <c r="C508" s="256" t="s">
        <v>405</v>
      </c>
      <c r="D508" s="256" t="s">
        <v>1539</v>
      </c>
      <c r="E508" s="256" t="s">
        <v>1341</v>
      </c>
      <c r="F508" s="195">
        <v>1031600</v>
      </c>
      <c r="G508" s="195">
        <v>1031600</v>
      </c>
      <c r="H508" s="143" t="str">
        <f t="shared" si="8"/>
        <v>070706400S4560610</v>
      </c>
    </row>
    <row r="509" spans="1:8" ht="25.5" x14ac:dyDescent="0.2">
      <c r="A509" s="190" t="s">
        <v>406</v>
      </c>
      <c r="B509" s="256" t="s">
        <v>246</v>
      </c>
      <c r="C509" s="256" t="s">
        <v>405</v>
      </c>
      <c r="D509" s="256" t="s">
        <v>1539</v>
      </c>
      <c r="E509" s="256" t="s">
        <v>407</v>
      </c>
      <c r="F509" s="195">
        <v>1031600</v>
      </c>
      <c r="G509" s="195">
        <v>1031600</v>
      </c>
      <c r="H509" s="143" t="str">
        <f t="shared" si="8"/>
        <v>070706400S4560612</v>
      </c>
    </row>
    <row r="510" spans="1:8" ht="38.25" x14ac:dyDescent="0.2">
      <c r="A510" s="190" t="s">
        <v>2060</v>
      </c>
      <c r="B510" s="256" t="s">
        <v>246</v>
      </c>
      <c r="C510" s="256" t="s">
        <v>405</v>
      </c>
      <c r="D510" s="256" t="s">
        <v>2061</v>
      </c>
      <c r="E510" s="256" t="s">
        <v>1314</v>
      </c>
      <c r="F510" s="195">
        <v>200000</v>
      </c>
      <c r="G510" s="195">
        <v>200000</v>
      </c>
      <c r="H510" s="143" t="str">
        <f t="shared" si="8"/>
        <v>07070650000000</v>
      </c>
    </row>
    <row r="511" spans="1:8" ht="102" x14ac:dyDescent="0.2">
      <c r="A511" s="190" t="s">
        <v>2062</v>
      </c>
      <c r="B511" s="256" t="s">
        <v>246</v>
      </c>
      <c r="C511" s="256" t="s">
        <v>405</v>
      </c>
      <c r="D511" s="256" t="s">
        <v>2063</v>
      </c>
      <c r="E511" s="256" t="s">
        <v>1314</v>
      </c>
      <c r="F511" s="195">
        <v>150000</v>
      </c>
      <c r="G511" s="195">
        <v>150000</v>
      </c>
      <c r="H511" s="143" t="str">
        <f t="shared" si="8"/>
        <v>07070650080010</v>
      </c>
    </row>
    <row r="512" spans="1:8" ht="38.25" x14ac:dyDescent="0.2">
      <c r="A512" s="190" t="s">
        <v>1510</v>
      </c>
      <c r="B512" s="256" t="s">
        <v>246</v>
      </c>
      <c r="C512" s="256" t="s">
        <v>405</v>
      </c>
      <c r="D512" s="256" t="s">
        <v>2063</v>
      </c>
      <c r="E512" s="256" t="s">
        <v>1511</v>
      </c>
      <c r="F512" s="195">
        <v>150000</v>
      </c>
      <c r="G512" s="195">
        <v>150000</v>
      </c>
      <c r="H512" s="143" t="str">
        <f t="shared" si="8"/>
        <v>07070650080010600</v>
      </c>
    </row>
    <row r="513" spans="1:8" x14ac:dyDescent="0.2">
      <c r="A513" s="190" t="s">
        <v>1340</v>
      </c>
      <c r="B513" s="256" t="s">
        <v>246</v>
      </c>
      <c r="C513" s="256" t="s">
        <v>405</v>
      </c>
      <c r="D513" s="256" t="s">
        <v>2063</v>
      </c>
      <c r="E513" s="256" t="s">
        <v>1341</v>
      </c>
      <c r="F513" s="195">
        <v>150000</v>
      </c>
      <c r="G513" s="195">
        <v>150000</v>
      </c>
      <c r="H513" s="143" t="str">
        <f t="shared" si="8"/>
        <v>07070650080010610</v>
      </c>
    </row>
    <row r="514" spans="1:8" ht="25.5" x14ac:dyDescent="0.2">
      <c r="A514" s="190" t="s">
        <v>406</v>
      </c>
      <c r="B514" s="256" t="s">
        <v>246</v>
      </c>
      <c r="C514" s="256" t="s">
        <v>405</v>
      </c>
      <c r="D514" s="256" t="s">
        <v>2063</v>
      </c>
      <c r="E514" s="256" t="s">
        <v>407</v>
      </c>
      <c r="F514" s="195">
        <v>150000</v>
      </c>
      <c r="G514" s="195">
        <v>150000</v>
      </c>
      <c r="H514" s="143" t="str">
        <f t="shared" si="8"/>
        <v>07070650080010612</v>
      </c>
    </row>
    <row r="515" spans="1:8" ht="89.25" x14ac:dyDescent="0.2">
      <c r="A515" s="190" t="s">
        <v>2064</v>
      </c>
      <c r="B515" s="256" t="s">
        <v>246</v>
      </c>
      <c r="C515" s="256" t="s">
        <v>405</v>
      </c>
      <c r="D515" s="256" t="s">
        <v>2065</v>
      </c>
      <c r="E515" s="256" t="s">
        <v>1314</v>
      </c>
      <c r="F515" s="195">
        <v>50000</v>
      </c>
      <c r="G515" s="195">
        <v>50000</v>
      </c>
      <c r="H515" s="143" t="str">
        <f t="shared" si="8"/>
        <v>07070650080020</v>
      </c>
    </row>
    <row r="516" spans="1:8" ht="38.25" x14ac:dyDescent="0.2">
      <c r="A516" s="190" t="s">
        <v>1510</v>
      </c>
      <c r="B516" s="256" t="s">
        <v>246</v>
      </c>
      <c r="C516" s="256" t="s">
        <v>405</v>
      </c>
      <c r="D516" s="256" t="s">
        <v>2065</v>
      </c>
      <c r="E516" s="256" t="s">
        <v>1511</v>
      </c>
      <c r="F516" s="195">
        <v>50000</v>
      </c>
      <c r="G516" s="195">
        <v>50000</v>
      </c>
      <c r="H516" s="143" t="str">
        <f t="shared" si="8"/>
        <v>07070650080020600</v>
      </c>
    </row>
    <row r="517" spans="1:8" x14ac:dyDescent="0.2">
      <c r="A517" s="190" t="s">
        <v>1340</v>
      </c>
      <c r="B517" s="256" t="s">
        <v>246</v>
      </c>
      <c r="C517" s="256" t="s">
        <v>405</v>
      </c>
      <c r="D517" s="256" t="s">
        <v>2065</v>
      </c>
      <c r="E517" s="256" t="s">
        <v>1341</v>
      </c>
      <c r="F517" s="195">
        <v>50000</v>
      </c>
      <c r="G517" s="195">
        <v>50000</v>
      </c>
      <c r="H517" s="143" t="str">
        <f t="shared" si="8"/>
        <v>07070650080020610</v>
      </c>
    </row>
    <row r="518" spans="1:8" ht="25.5" x14ac:dyDescent="0.2">
      <c r="A518" s="190" t="s">
        <v>406</v>
      </c>
      <c r="B518" s="256" t="s">
        <v>246</v>
      </c>
      <c r="C518" s="256" t="s">
        <v>405</v>
      </c>
      <c r="D518" s="256" t="s">
        <v>2065</v>
      </c>
      <c r="E518" s="256" t="s">
        <v>407</v>
      </c>
      <c r="F518" s="195">
        <v>50000</v>
      </c>
      <c r="G518" s="195">
        <v>50000</v>
      </c>
      <c r="H518" s="143" t="str">
        <f t="shared" si="8"/>
        <v>07070650080020612</v>
      </c>
    </row>
    <row r="519" spans="1:8" x14ac:dyDescent="0.2">
      <c r="A519" s="190" t="s">
        <v>266</v>
      </c>
      <c r="B519" s="256" t="s">
        <v>246</v>
      </c>
      <c r="C519" s="256" t="s">
        <v>1226</v>
      </c>
      <c r="D519" s="256" t="s">
        <v>1314</v>
      </c>
      <c r="E519" s="256" t="s">
        <v>1314</v>
      </c>
      <c r="F519" s="195">
        <v>213697616</v>
      </c>
      <c r="G519" s="195">
        <v>213697616</v>
      </c>
      <c r="H519" s="143" t="str">
        <f t="shared" si="8"/>
        <v>0800</v>
      </c>
    </row>
    <row r="520" spans="1:8" x14ac:dyDescent="0.2">
      <c r="A520" s="190" t="s">
        <v>222</v>
      </c>
      <c r="B520" s="256" t="s">
        <v>246</v>
      </c>
      <c r="C520" s="256" t="s">
        <v>432</v>
      </c>
      <c r="D520" s="256" t="s">
        <v>1314</v>
      </c>
      <c r="E520" s="256" t="s">
        <v>1314</v>
      </c>
      <c r="F520" s="195">
        <v>134721367</v>
      </c>
      <c r="G520" s="195">
        <v>134721367</v>
      </c>
      <c r="H520" s="143" t="str">
        <f t="shared" si="8"/>
        <v>0801</v>
      </c>
    </row>
    <row r="521" spans="1:8" ht="25.5" x14ac:dyDescent="0.2">
      <c r="A521" s="190" t="s">
        <v>502</v>
      </c>
      <c r="B521" s="256" t="s">
        <v>246</v>
      </c>
      <c r="C521" s="256" t="s">
        <v>432</v>
      </c>
      <c r="D521" s="256" t="s">
        <v>1041</v>
      </c>
      <c r="E521" s="256" t="s">
        <v>1314</v>
      </c>
      <c r="F521" s="195">
        <v>134621367</v>
      </c>
      <c r="G521" s="195">
        <v>134621367</v>
      </c>
      <c r="H521" s="143" t="str">
        <f t="shared" si="8"/>
        <v>08010500000000</v>
      </c>
    </row>
    <row r="522" spans="1:8" x14ac:dyDescent="0.2">
      <c r="A522" s="190" t="s">
        <v>503</v>
      </c>
      <c r="B522" s="256" t="s">
        <v>246</v>
      </c>
      <c r="C522" s="256" t="s">
        <v>432</v>
      </c>
      <c r="D522" s="256" t="s">
        <v>1042</v>
      </c>
      <c r="E522" s="256" t="s">
        <v>1314</v>
      </c>
      <c r="F522" s="195">
        <v>41303567</v>
      </c>
      <c r="G522" s="195">
        <v>41303567</v>
      </c>
      <c r="H522" s="143" t="str">
        <f t="shared" si="8"/>
        <v>08010510000000</v>
      </c>
    </row>
    <row r="523" spans="1:8" ht="114.75" x14ac:dyDescent="0.2">
      <c r="A523" s="190" t="s">
        <v>437</v>
      </c>
      <c r="B523" s="256" t="s">
        <v>246</v>
      </c>
      <c r="C523" s="256" t="s">
        <v>432</v>
      </c>
      <c r="D523" s="256" t="s">
        <v>765</v>
      </c>
      <c r="E523" s="256" t="s">
        <v>1314</v>
      </c>
      <c r="F523" s="195">
        <v>36145763</v>
      </c>
      <c r="G523" s="195">
        <v>36145763</v>
      </c>
      <c r="H523" s="143" t="str">
        <f t="shared" si="8"/>
        <v>08010510040000</v>
      </c>
    </row>
    <row r="524" spans="1:8" ht="38.25" x14ac:dyDescent="0.2">
      <c r="A524" s="190" t="s">
        <v>1510</v>
      </c>
      <c r="B524" s="256" t="s">
        <v>246</v>
      </c>
      <c r="C524" s="256" t="s">
        <v>432</v>
      </c>
      <c r="D524" s="256" t="s">
        <v>765</v>
      </c>
      <c r="E524" s="256" t="s">
        <v>1511</v>
      </c>
      <c r="F524" s="195">
        <v>36145763</v>
      </c>
      <c r="G524" s="195">
        <v>36145763</v>
      </c>
      <c r="H524" s="143" t="str">
        <f t="shared" si="8"/>
        <v>08010510040000600</v>
      </c>
    </row>
    <row r="525" spans="1:8" x14ac:dyDescent="0.2">
      <c r="A525" s="190" t="s">
        <v>1340</v>
      </c>
      <c r="B525" s="256" t="s">
        <v>246</v>
      </c>
      <c r="C525" s="256" t="s">
        <v>432</v>
      </c>
      <c r="D525" s="256" t="s">
        <v>765</v>
      </c>
      <c r="E525" s="256" t="s">
        <v>1341</v>
      </c>
      <c r="F525" s="195">
        <v>36145763</v>
      </c>
      <c r="G525" s="195">
        <v>36145763</v>
      </c>
      <c r="H525" s="143" t="str">
        <f t="shared" si="8"/>
        <v>08010510040000610</v>
      </c>
    </row>
    <row r="526" spans="1:8" ht="76.5" x14ac:dyDescent="0.2">
      <c r="A526" s="190" t="s">
        <v>387</v>
      </c>
      <c r="B526" s="256" t="s">
        <v>246</v>
      </c>
      <c r="C526" s="256" t="s">
        <v>432</v>
      </c>
      <c r="D526" s="256" t="s">
        <v>765</v>
      </c>
      <c r="E526" s="256" t="s">
        <v>388</v>
      </c>
      <c r="F526" s="195">
        <v>36145763</v>
      </c>
      <c r="G526" s="195">
        <v>36145763</v>
      </c>
      <c r="H526" s="143" t="str">
        <f t="shared" si="8"/>
        <v>08010510040000611</v>
      </c>
    </row>
    <row r="527" spans="1:8" ht="153" x14ac:dyDescent="0.2">
      <c r="A527" s="190" t="s">
        <v>438</v>
      </c>
      <c r="B527" s="256" t="s">
        <v>246</v>
      </c>
      <c r="C527" s="256" t="s">
        <v>432</v>
      </c>
      <c r="D527" s="256" t="s">
        <v>766</v>
      </c>
      <c r="E527" s="256" t="s">
        <v>1314</v>
      </c>
      <c r="F527" s="195">
        <v>50000</v>
      </c>
      <c r="G527" s="195">
        <v>50000</v>
      </c>
      <c r="H527" s="143" t="str">
        <f t="shared" si="8"/>
        <v>08010510041000</v>
      </c>
    </row>
    <row r="528" spans="1:8" ht="38.25" x14ac:dyDescent="0.2">
      <c r="A528" s="190" t="s">
        <v>1510</v>
      </c>
      <c r="B528" s="256" t="s">
        <v>246</v>
      </c>
      <c r="C528" s="256" t="s">
        <v>432</v>
      </c>
      <c r="D528" s="256" t="s">
        <v>766</v>
      </c>
      <c r="E528" s="256" t="s">
        <v>1511</v>
      </c>
      <c r="F528" s="195">
        <v>50000</v>
      </c>
      <c r="G528" s="195">
        <v>50000</v>
      </c>
      <c r="H528" s="143" t="str">
        <f t="shared" si="8"/>
        <v>08010510041000600</v>
      </c>
    </row>
    <row r="529" spans="1:8" x14ac:dyDescent="0.2">
      <c r="A529" s="190" t="s">
        <v>1340</v>
      </c>
      <c r="B529" s="256" t="s">
        <v>246</v>
      </c>
      <c r="C529" s="256" t="s">
        <v>432</v>
      </c>
      <c r="D529" s="256" t="s">
        <v>766</v>
      </c>
      <c r="E529" s="256" t="s">
        <v>1341</v>
      </c>
      <c r="F529" s="195">
        <v>50000</v>
      </c>
      <c r="G529" s="195">
        <v>50000</v>
      </c>
      <c r="H529" s="143" t="str">
        <f t="shared" si="8"/>
        <v>08010510041000610</v>
      </c>
    </row>
    <row r="530" spans="1:8" ht="76.5" x14ac:dyDescent="0.2">
      <c r="A530" s="190" t="s">
        <v>387</v>
      </c>
      <c r="B530" s="256" t="s">
        <v>246</v>
      </c>
      <c r="C530" s="256" t="s">
        <v>432</v>
      </c>
      <c r="D530" s="256" t="s">
        <v>766</v>
      </c>
      <c r="E530" s="256" t="s">
        <v>388</v>
      </c>
      <c r="F530" s="195">
        <v>50000</v>
      </c>
      <c r="G530" s="195">
        <v>50000</v>
      </c>
      <c r="H530" s="143" t="str">
        <f t="shared" si="8"/>
        <v>08010510041000611</v>
      </c>
    </row>
    <row r="531" spans="1:8" ht="114.75" x14ac:dyDescent="0.2">
      <c r="A531" s="190" t="s">
        <v>555</v>
      </c>
      <c r="B531" s="256" t="s">
        <v>246</v>
      </c>
      <c r="C531" s="256" t="s">
        <v>432</v>
      </c>
      <c r="D531" s="256" t="s">
        <v>767</v>
      </c>
      <c r="E531" s="256" t="s">
        <v>1314</v>
      </c>
      <c r="F531" s="195">
        <v>350000</v>
      </c>
      <c r="G531" s="195">
        <v>350000</v>
      </c>
      <c r="H531" s="143" t="str">
        <f t="shared" si="8"/>
        <v>08010510047000</v>
      </c>
    </row>
    <row r="532" spans="1:8" ht="38.25" x14ac:dyDescent="0.2">
      <c r="A532" s="190" t="s">
        <v>1510</v>
      </c>
      <c r="B532" s="256" t="s">
        <v>246</v>
      </c>
      <c r="C532" s="256" t="s">
        <v>432</v>
      </c>
      <c r="D532" s="256" t="s">
        <v>767</v>
      </c>
      <c r="E532" s="256" t="s">
        <v>1511</v>
      </c>
      <c r="F532" s="195">
        <v>350000</v>
      </c>
      <c r="G532" s="195">
        <v>350000</v>
      </c>
      <c r="H532" s="143" t="str">
        <f t="shared" si="8"/>
        <v>08010510047000600</v>
      </c>
    </row>
    <row r="533" spans="1:8" x14ac:dyDescent="0.2">
      <c r="A533" s="190" t="s">
        <v>1340</v>
      </c>
      <c r="B533" s="256" t="s">
        <v>246</v>
      </c>
      <c r="C533" s="256" t="s">
        <v>432</v>
      </c>
      <c r="D533" s="256" t="s">
        <v>767</v>
      </c>
      <c r="E533" s="256" t="s">
        <v>1341</v>
      </c>
      <c r="F533" s="195">
        <v>350000</v>
      </c>
      <c r="G533" s="195">
        <v>350000</v>
      </c>
      <c r="H533" s="143" t="str">
        <f t="shared" si="8"/>
        <v>08010510047000610</v>
      </c>
    </row>
    <row r="534" spans="1:8" ht="25.5" x14ac:dyDescent="0.2">
      <c r="A534" s="190" t="s">
        <v>406</v>
      </c>
      <c r="B534" s="256" t="s">
        <v>246</v>
      </c>
      <c r="C534" s="256" t="s">
        <v>432</v>
      </c>
      <c r="D534" s="256" t="s">
        <v>767</v>
      </c>
      <c r="E534" s="256" t="s">
        <v>407</v>
      </c>
      <c r="F534" s="195">
        <v>350000</v>
      </c>
      <c r="G534" s="195">
        <v>350000</v>
      </c>
      <c r="H534" s="143" t="str">
        <f t="shared" si="8"/>
        <v>08010510047000612</v>
      </c>
    </row>
    <row r="535" spans="1:8" ht="114.75" x14ac:dyDescent="0.2">
      <c r="A535" s="190" t="s">
        <v>615</v>
      </c>
      <c r="B535" s="256" t="s">
        <v>246</v>
      </c>
      <c r="C535" s="256" t="s">
        <v>432</v>
      </c>
      <c r="D535" s="256" t="s">
        <v>768</v>
      </c>
      <c r="E535" s="256" t="s">
        <v>1314</v>
      </c>
      <c r="F535" s="195">
        <v>2623454</v>
      </c>
      <c r="G535" s="195">
        <v>2623454</v>
      </c>
      <c r="H535" s="143" t="str">
        <f t="shared" si="8"/>
        <v>0801051004Г000</v>
      </c>
    </row>
    <row r="536" spans="1:8" ht="38.25" x14ac:dyDescent="0.2">
      <c r="A536" s="190" t="s">
        <v>1510</v>
      </c>
      <c r="B536" s="256" t="s">
        <v>246</v>
      </c>
      <c r="C536" s="256" t="s">
        <v>432</v>
      </c>
      <c r="D536" s="256" t="s">
        <v>768</v>
      </c>
      <c r="E536" s="256" t="s">
        <v>1511</v>
      </c>
      <c r="F536" s="195">
        <v>2623454</v>
      </c>
      <c r="G536" s="195">
        <v>2623454</v>
      </c>
      <c r="H536" s="143" t="str">
        <f t="shared" si="8"/>
        <v>0801051004Г000600</v>
      </c>
    </row>
    <row r="537" spans="1:8" x14ac:dyDescent="0.2">
      <c r="A537" s="190" t="s">
        <v>1340</v>
      </c>
      <c r="B537" s="256" t="s">
        <v>246</v>
      </c>
      <c r="C537" s="182" t="s">
        <v>432</v>
      </c>
      <c r="D537" s="256" t="s">
        <v>768</v>
      </c>
      <c r="E537" s="256" t="s">
        <v>1341</v>
      </c>
      <c r="F537" s="195">
        <v>2623454</v>
      </c>
      <c r="G537" s="195">
        <v>2623454</v>
      </c>
      <c r="H537" s="143" t="str">
        <f t="shared" si="8"/>
        <v>0801051004Г000610</v>
      </c>
    </row>
    <row r="538" spans="1:8" ht="76.5" x14ac:dyDescent="0.2">
      <c r="A538" s="190" t="s">
        <v>387</v>
      </c>
      <c r="B538" s="256" t="s">
        <v>246</v>
      </c>
      <c r="C538" s="256" t="s">
        <v>432</v>
      </c>
      <c r="D538" s="256" t="s">
        <v>768</v>
      </c>
      <c r="E538" s="256" t="s">
        <v>388</v>
      </c>
      <c r="F538" s="195">
        <v>2623454</v>
      </c>
      <c r="G538" s="195">
        <v>2623454</v>
      </c>
      <c r="H538" s="143" t="str">
        <f t="shared" si="8"/>
        <v>0801051004Г000611</v>
      </c>
    </row>
    <row r="539" spans="1:8" ht="76.5" x14ac:dyDescent="0.2">
      <c r="A539" s="190" t="s">
        <v>1914</v>
      </c>
      <c r="B539" s="256" t="s">
        <v>246</v>
      </c>
      <c r="C539" s="256" t="s">
        <v>432</v>
      </c>
      <c r="D539" s="256" t="s">
        <v>1915</v>
      </c>
      <c r="E539" s="256" t="s">
        <v>1314</v>
      </c>
      <c r="F539" s="195">
        <v>25100</v>
      </c>
      <c r="G539" s="195">
        <v>25100</v>
      </c>
      <c r="H539" s="143" t="str">
        <f t="shared" si="8"/>
        <v>0801051004М000</v>
      </c>
    </row>
    <row r="540" spans="1:8" ht="38.25" x14ac:dyDescent="0.2">
      <c r="A540" s="190" t="s">
        <v>1510</v>
      </c>
      <c r="B540" s="256" t="s">
        <v>246</v>
      </c>
      <c r="C540" s="256" t="s">
        <v>432</v>
      </c>
      <c r="D540" s="256" t="s">
        <v>1915</v>
      </c>
      <c r="E540" s="256" t="s">
        <v>1511</v>
      </c>
      <c r="F540" s="195">
        <v>25100</v>
      </c>
      <c r="G540" s="195">
        <v>25100</v>
      </c>
      <c r="H540" s="143" t="str">
        <f t="shared" si="8"/>
        <v>0801051004М000600</v>
      </c>
    </row>
    <row r="541" spans="1:8" x14ac:dyDescent="0.2">
      <c r="A541" s="190" t="s">
        <v>1340</v>
      </c>
      <c r="B541" s="256" t="s">
        <v>246</v>
      </c>
      <c r="C541" s="182" t="s">
        <v>432</v>
      </c>
      <c r="D541" s="256" t="s">
        <v>1915</v>
      </c>
      <c r="E541" s="256" t="s">
        <v>1341</v>
      </c>
      <c r="F541" s="195">
        <v>25100</v>
      </c>
      <c r="G541" s="195">
        <v>25100</v>
      </c>
      <c r="H541" s="143" t="str">
        <f t="shared" si="8"/>
        <v>0801051004М000610</v>
      </c>
    </row>
    <row r="542" spans="1:8" ht="76.5" x14ac:dyDescent="0.2">
      <c r="A542" s="190" t="s">
        <v>387</v>
      </c>
      <c r="B542" s="256" t="s">
        <v>246</v>
      </c>
      <c r="C542" s="256" t="s">
        <v>432</v>
      </c>
      <c r="D542" s="256" t="s">
        <v>1915</v>
      </c>
      <c r="E542" s="256" t="s">
        <v>388</v>
      </c>
      <c r="F542" s="195">
        <v>25100</v>
      </c>
      <c r="G542" s="195">
        <v>25100</v>
      </c>
      <c r="H542" s="143" t="str">
        <f t="shared" si="8"/>
        <v>0801051004М000611</v>
      </c>
    </row>
    <row r="543" spans="1:8" ht="102" x14ac:dyDescent="0.2">
      <c r="A543" s="190" t="s">
        <v>1018</v>
      </c>
      <c r="B543" s="256" t="s">
        <v>246</v>
      </c>
      <c r="C543" s="256" t="s">
        <v>432</v>
      </c>
      <c r="D543" s="256" t="s">
        <v>1019</v>
      </c>
      <c r="E543" s="256" t="s">
        <v>1314</v>
      </c>
      <c r="F543" s="195">
        <v>1150000</v>
      </c>
      <c r="G543" s="195">
        <v>1150000</v>
      </c>
      <c r="H543" s="143" t="str">
        <f t="shared" si="8"/>
        <v>0801051004Э000</v>
      </c>
    </row>
    <row r="544" spans="1:8" ht="38.25" x14ac:dyDescent="0.2">
      <c r="A544" s="190" t="s">
        <v>1510</v>
      </c>
      <c r="B544" s="256" t="s">
        <v>246</v>
      </c>
      <c r="C544" s="256" t="s">
        <v>432</v>
      </c>
      <c r="D544" s="256" t="s">
        <v>1019</v>
      </c>
      <c r="E544" s="256" t="s">
        <v>1511</v>
      </c>
      <c r="F544" s="195">
        <v>1150000</v>
      </c>
      <c r="G544" s="195">
        <v>1150000</v>
      </c>
      <c r="H544" s="143" t="str">
        <f t="shared" si="8"/>
        <v>0801051004Э000600</v>
      </c>
    </row>
    <row r="545" spans="1:8" x14ac:dyDescent="0.2">
      <c r="A545" s="190" t="s">
        <v>1340</v>
      </c>
      <c r="B545" s="182" t="s">
        <v>246</v>
      </c>
      <c r="C545" s="182" t="s">
        <v>432</v>
      </c>
      <c r="D545" s="256" t="s">
        <v>1019</v>
      </c>
      <c r="E545" s="256" t="s">
        <v>1341</v>
      </c>
      <c r="F545" s="195">
        <v>1150000</v>
      </c>
      <c r="G545" s="195">
        <v>1150000</v>
      </c>
      <c r="H545" s="143" t="str">
        <f t="shared" si="8"/>
        <v>0801051004Э000610</v>
      </c>
    </row>
    <row r="546" spans="1:8" ht="76.5" x14ac:dyDescent="0.2">
      <c r="A546" s="190" t="s">
        <v>387</v>
      </c>
      <c r="B546" s="256" t="s">
        <v>246</v>
      </c>
      <c r="C546" s="256" t="s">
        <v>432</v>
      </c>
      <c r="D546" s="256" t="s">
        <v>1019</v>
      </c>
      <c r="E546" s="256" t="s">
        <v>388</v>
      </c>
      <c r="F546" s="195">
        <v>1150000</v>
      </c>
      <c r="G546" s="195">
        <v>1150000</v>
      </c>
      <c r="H546" s="143" t="str">
        <f t="shared" si="8"/>
        <v>0801051004Э000611</v>
      </c>
    </row>
    <row r="547" spans="1:8" ht="63.75" x14ac:dyDescent="0.2">
      <c r="A547" s="190" t="s">
        <v>440</v>
      </c>
      <c r="B547" s="256" t="s">
        <v>246</v>
      </c>
      <c r="C547" s="256" t="s">
        <v>432</v>
      </c>
      <c r="D547" s="256" t="s">
        <v>774</v>
      </c>
      <c r="E547" s="256" t="s">
        <v>1314</v>
      </c>
      <c r="F547" s="195">
        <v>270000</v>
      </c>
      <c r="G547" s="195">
        <v>270000</v>
      </c>
      <c r="H547" s="143" t="str">
        <f t="shared" si="8"/>
        <v>08010510080520</v>
      </c>
    </row>
    <row r="548" spans="1:8" ht="38.25" x14ac:dyDescent="0.2">
      <c r="A548" s="190" t="s">
        <v>1510</v>
      </c>
      <c r="B548" s="256" t="s">
        <v>246</v>
      </c>
      <c r="C548" s="256" t="s">
        <v>432</v>
      </c>
      <c r="D548" s="256" t="s">
        <v>774</v>
      </c>
      <c r="E548" s="256" t="s">
        <v>1511</v>
      </c>
      <c r="F548" s="195">
        <v>270000</v>
      </c>
      <c r="G548" s="195">
        <v>270000</v>
      </c>
      <c r="H548" s="143" t="str">
        <f t="shared" si="8"/>
        <v>08010510080520600</v>
      </c>
    </row>
    <row r="549" spans="1:8" x14ac:dyDescent="0.2">
      <c r="A549" s="190" t="s">
        <v>1340</v>
      </c>
      <c r="B549" s="256" t="s">
        <v>246</v>
      </c>
      <c r="C549" s="182" t="s">
        <v>432</v>
      </c>
      <c r="D549" s="256" t="s">
        <v>774</v>
      </c>
      <c r="E549" s="256" t="s">
        <v>1341</v>
      </c>
      <c r="F549" s="195">
        <v>270000</v>
      </c>
      <c r="G549" s="195">
        <v>270000</v>
      </c>
      <c r="H549" s="143" t="str">
        <f t="shared" si="8"/>
        <v>08010510080520610</v>
      </c>
    </row>
    <row r="550" spans="1:8" ht="25.5" x14ac:dyDescent="0.2">
      <c r="A550" s="190" t="s">
        <v>406</v>
      </c>
      <c r="B550" s="256" t="s">
        <v>246</v>
      </c>
      <c r="C550" s="256" t="s">
        <v>432</v>
      </c>
      <c r="D550" s="256" t="s">
        <v>774</v>
      </c>
      <c r="E550" s="256" t="s">
        <v>407</v>
      </c>
      <c r="F550" s="195">
        <v>270000</v>
      </c>
      <c r="G550" s="195">
        <v>270000</v>
      </c>
      <c r="H550" s="143" t="str">
        <f t="shared" si="8"/>
        <v>08010510080520612</v>
      </c>
    </row>
    <row r="551" spans="1:8" ht="63.75" x14ac:dyDescent="0.2">
      <c r="A551" s="190" t="s">
        <v>441</v>
      </c>
      <c r="B551" s="256" t="s">
        <v>246</v>
      </c>
      <c r="C551" s="256" t="s">
        <v>432</v>
      </c>
      <c r="D551" s="256" t="s">
        <v>775</v>
      </c>
      <c r="E551" s="256" t="s">
        <v>1314</v>
      </c>
      <c r="F551" s="195">
        <v>250000</v>
      </c>
      <c r="G551" s="195">
        <v>250000</v>
      </c>
      <c r="H551" s="143" t="str">
        <f t="shared" si="8"/>
        <v>08010510080530</v>
      </c>
    </row>
    <row r="552" spans="1:8" ht="38.25" x14ac:dyDescent="0.2">
      <c r="A552" s="190" t="s">
        <v>1510</v>
      </c>
      <c r="B552" s="256" t="s">
        <v>246</v>
      </c>
      <c r="C552" s="256" t="s">
        <v>432</v>
      </c>
      <c r="D552" s="256" t="s">
        <v>775</v>
      </c>
      <c r="E552" s="256" t="s">
        <v>1511</v>
      </c>
      <c r="F552" s="195">
        <v>250000</v>
      </c>
      <c r="G552" s="195">
        <v>250000</v>
      </c>
      <c r="H552" s="143" t="str">
        <f t="shared" si="8"/>
        <v>08010510080530600</v>
      </c>
    </row>
    <row r="553" spans="1:8" x14ac:dyDescent="0.2">
      <c r="A553" s="190" t="s">
        <v>1340</v>
      </c>
      <c r="B553" s="256" t="s">
        <v>246</v>
      </c>
      <c r="C553" s="182" t="s">
        <v>432</v>
      </c>
      <c r="D553" s="256" t="s">
        <v>775</v>
      </c>
      <c r="E553" s="256" t="s">
        <v>1341</v>
      </c>
      <c r="F553" s="195">
        <v>250000</v>
      </c>
      <c r="G553" s="195">
        <v>250000</v>
      </c>
      <c r="H553" s="143" t="str">
        <f t="shared" si="8"/>
        <v>08010510080530610</v>
      </c>
    </row>
    <row r="554" spans="1:8" ht="25.5" x14ac:dyDescent="0.2">
      <c r="A554" s="190" t="s">
        <v>406</v>
      </c>
      <c r="B554" s="256" t="s">
        <v>246</v>
      </c>
      <c r="C554" s="182" t="s">
        <v>432</v>
      </c>
      <c r="D554" s="256" t="s">
        <v>775</v>
      </c>
      <c r="E554" s="256" t="s">
        <v>407</v>
      </c>
      <c r="F554" s="195">
        <v>250000</v>
      </c>
      <c r="G554" s="195">
        <v>250000</v>
      </c>
      <c r="H554" s="143" t="str">
        <f t="shared" si="8"/>
        <v>08010510080530612</v>
      </c>
    </row>
    <row r="555" spans="1:8" ht="63.75" x14ac:dyDescent="0.2">
      <c r="A555" s="190" t="s">
        <v>1730</v>
      </c>
      <c r="B555" s="256" t="s">
        <v>246</v>
      </c>
      <c r="C555" s="182" t="s">
        <v>432</v>
      </c>
      <c r="D555" s="256" t="s">
        <v>769</v>
      </c>
      <c r="E555" s="256" t="s">
        <v>1314</v>
      </c>
      <c r="F555" s="195">
        <v>439250</v>
      </c>
      <c r="G555" s="195">
        <v>439250</v>
      </c>
      <c r="H555" s="143" t="str">
        <f t="shared" ref="H555:H615" si="9">CONCATENATE(C555,,D555,E555)</f>
        <v>080105100S4880</v>
      </c>
    </row>
    <row r="556" spans="1:8" ht="38.25" x14ac:dyDescent="0.2">
      <c r="A556" s="190" t="s">
        <v>1510</v>
      </c>
      <c r="B556" s="256" t="s">
        <v>246</v>
      </c>
      <c r="C556" s="182" t="s">
        <v>432</v>
      </c>
      <c r="D556" s="256" t="s">
        <v>769</v>
      </c>
      <c r="E556" s="256" t="s">
        <v>1511</v>
      </c>
      <c r="F556" s="195">
        <v>439250</v>
      </c>
      <c r="G556" s="195">
        <v>439250</v>
      </c>
      <c r="H556" s="143" t="str">
        <f t="shared" si="9"/>
        <v>080105100S4880600</v>
      </c>
    </row>
    <row r="557" spans="1:8" x14ac:dyDescent="0.2">
      <c r="A557" s="190" t="s">
        <v>1340</v>
      </c>
      <c r="B557" s="256" t="s">
        <v>246</v>
      </c>
      <c r="C557" s="182" t="s">
        <v>432</v>
      </c>
      <c r="D557" s="256" t="s">
        <v>769</v>
      </c>
      <c r="E557" s="256" t="s">
        <v>1341</v>
      </c>
      <c r="F557" s="195">
        <v>439250</v>
      </c>
      <c r="G557" s="195">
        <v>439250</v>
      </c>
      <c r="H557" s="143" t="str">
        <f t="shared" si="9"/>
        <v>080105100S4880610</v>
      </c>
    </row>
    <row r="558" spans="1:8" ht="25.5" x14ac:dyDescent="0.2">
      <c r="A558" s="190" t="s">
        <v>406</v>
      </c>
      <c r="B558" s="256" t="s">
        <v>246</v>
      </c>
      <c r="C558" s="182" t="s">
        <v>432</v>
      </c>
      <c r="D558" s="256" t="s">
        <v>769</v>
      </c>
      <c r="E558" s="256" t="s">
        <v>407</v>
      </c>
      <c r="F558" s="195">
        <v>439250</v>
      </c>
      <c r="G558" s="195">
        <v>439250</v>
      </c>
      <c r="H558" s="143" t="str">
        <f t="shared" si="9"/>
        <v>080105100S4880612</v>
      </c>
    </row>
    <row r="559" spans="1:8" ht="25.5" x14ac:dyDescent="0.2">
      <c r="A559" s="190" t="s">
        <v>641</v>
      </c>
      <c r="B559" s="256" t="s">
        <v>246</v>
      </c>
      <c r="C559" s="182" t="s">
        <v>432</v>
      </c>
      <c r="D559" s="256" t="s">
        <v>1043</v>
      </c>
      <c r="E559" s="256" t="s">
        <v>1314</v>
      </c>
      <c r="F559" s="195">
        <v>93317800</v>
      </c>
      <c r="G559" s="195">
        <v>93317800</v>
      </c>
      <c r="H559" s="143" t="str">
        <f t="shared" si="9"/>
        <v>08010520000000</v>
      </c>
    </row>
    <row r="560" spans="1:8" ht="114.75" x14ac:dyDescent="0.2">
      <c r="A560" s="190" t="s">
        <v>558</v>
      </c>
      <c r="B560" s="256" t="s">
        <v>246</v>
      </c>
      <c r="C560" s="256" t="s">
        <v>432</v>
      </c>
      <c r="D560" s="256" t="s">
        <v>777</v>
      </c>
      <c r="E560" s="256" t="s">
        <v>1314</v>
      </c>
      <c r="F560" s="291">
        <v>67298750</v>
      </c>
      <c r="G560" s="291">
        <v>67298750</v>
      </c>
      <c r="H560" s="143" t="str">
        <f t="shared" si="9"/>
        <v>08010520040000</v>
      </c>
    </row>
    <row r="561" spans="1:8" ht="38.25" x14ac:dyDescent="0.2">
      <c r="A561" s="190" t="s">
        <v>1510</v>
      </c>
      <c r="B561" s="256" t="s">
        <v>246</v>
      </c>
      <c r="C561" s="256" t="s">
        <v>432</v>
      </c>
      <c r="D561" s="256" t="s">
        <v>777</v>
      </c>
      <c r="E561" s="256" t="s">
        <v>1511</v>
      </c>
      <c r="F561" s="291">
        <v>67298750</v>
      </c>
      <c r="G561" s="291">
        <v>67298750</v>
      </c>
      <c r="H561" s="143" t="str">
        <f t="shared" si="9"/>
        <v>08010520040000600</v>
      </c>
    </row>
    <row r="562" spans="1:8" x14ac:dyDescent="0.2">
      <c r="A562" s="190" t="s">
        <v>1340</v>
      </c>
      <c r="B562" s="256" t="s">
        <v>246</v>
      </c>
      <c r="C562" s="256" t="s">
        <v>432</v>
      </c>
      <c r="D562" s="256" t="s">
        <v>777</v>
      </c>
      <c r="E562" s="256" t="s">
        <v>1341</v>
      </c>
      <c r="F562" s="291">
        <v>67298750</v>
      </c>
      <c r="G562" s="291">
        <v>67298750</v>
      </c>
      <c r="H562" s="143" t="str">
        <f t="shared" si="9"/>
        <v>08010520040000610</v>
      </c>
    </row>
    <row r="563" spans="1:8" ht="76.5" x14ac:dyDescent="0.2">
      <c r="A563" s="190" t="s">
        <v>387</v>
      </c>
      <c r="B563" s="256" t="s">
        <v>246</v>
      </c>
      <c r="C563" s="256" t="s">
        <v>432</v>
      </c>
      <c r="D563" s="256" t="s">
        <v>777</v>
      </c>
      <c r="E563" s="256" t="s">
        <v>388</v>
      </c>
      <c r="F563" s="291">
        <v>67298750</v>
      </c>
      <c r="G563" s="291">
        <v>67298750</v>
      </c>
      <c r="H563" s="143" t="str">
        <f t="shared" si="9"/>
        <v>08010520040000611</v>
      </c>
    </row>
    <row r="564" spans="1:8" ht="165.75" x14ac:dyDescent="0.2">
      <c r="A564" s="190" t="s">
        <v>559</v>
      </c>
      <c r="B564" s="256" t="s">
        <v>246</v>
      </c>
      <c r="C564" s="256" t="s">
        <v>432</v>
      </c>
      <c r="D564" s="256" t="s">
        <v>778</v>
      </c>
      <c r="E564" s="256" t="s">
        <v>1314</v>
      </c>
      <c r="F564" s="291">
        <v>120000</v>
      </c>
      <c r="G564" s="291">
        <v>120000</v>
      </c>
      <c r="H564" s="143" t="str">
        <f t="shared" si="9"/>
        <v>08010520041000</v>
      </c>
    </row>
    <row r="565" spans="1:8" ht="38.25" x14ac:dyDescent="0.2">
      <c r="A565" s="190" t="s">
        <v>1510</v>
      </c>
      <c r="B565" s="256" t="s">
        <v>246</v>
      </c>
      <c r="C565" s="256" t="s">
        <v>432</v>
      </c>
      <c r="D565" s="256" t="s">
        <v>778</v>
      </c>
      <c r="E565" s="256" t="s">
        <v>1511</v>
      </c>
      <c r="F565" s="291">
        <v>120000</v>
      </c>
      <c r="G565" s="291">
        <v>120000</v>
      </c>
      <c r="H565" s="143" t="str">
        <f t="shared" si="9"/>
        <v>08010520041000600</v>
      </c>
    </row>
    <row r="566" spans="1:8" x14ac:dyDescent="0.2">
      <c r="A566" s="190" t="s">
        <v>1340</v>
      </c>
      <c r="B566" s="256" t="s">
        <v>246</v>
      </c>
      <c r="C566" s="256" t="s">
        <v>432</v>
      </c>
      <c r="D566" s="256" t="s">
        <v>778</v>
      </c>
      <c r="E566" s="256" t="s">
        <v>1341</v>
      </c>
      <c r="F566" s="5">
        <v>120000</v>
      </c>
      <c r="G566" s="5">
        <v>120000</v>
      </c>
      <c r="H566" s="143" t="str">
        <f t="shared" si="9"/>
        <v>08010520041000610</v>
      </c>
    </row>
    <row r="567" spans="1:8" ht="76.5" x14ac:dyDescent="0.2">
      <c r="A567" s="190" t="s">
        <v>387</v>
      </c>
      <c r="B567" s="256" t="s">
        <v>246</v>
      </c>
      <c r="C567" s="256" t="s">
        <v>432</v>
      </c>
      <c r="D567" s="256" t="s">
        <v>778</v>
      </c>
      <c r="E567" s="256" t="s">
        <v>388</v>
      </c>
      <c r="F567" s="5">
        <v>120000</v>
      </c>
      <c r="G567" s="5">
        <v>120000</v>
      </c>
      <c r="H567" s="143" t="str">
        <f t="shared" si="9"/>
        <v>08010520041000611</v>
      </c>
    </row>
    <row r="568" spans="1:8" ht="127.5" x14ac:dyDescent="0.2">
      <c r="A568" s="190" t="s">
        <v>560</v>
      </c>
      <c r="B568" s="256" t="s">
        <v>246</v>
      </c>
      <c r="C568" s="256" t="s">
        <v>432</v>
      </c>
      <c r="D568" s="256" t="s">
        <v>779</v>
      </c>
      <c r="E568" s="256" t="s">
        <v>1314</v>
      </c>
      <c r="F568" s="5">
        <v>977050</v>
      </c>
      <c r="G568" s="5">
        <v>977050</v>
      </c>
      <c r="H568" s="143" t="str">
        <f t="shared" si="9"/>
        <v>08010520045000</v>
      </c>
    </row>
    <row r="569" spans="1:8" ht="38.25" x14ac:dyDescent="0.2">
      <c r="A569" s="190" t="s">
        <v>1510</v>
      </c>
      <c r="B569" s="256" t="s">
        <v>246</v>
      </c>
      <c r="C569" s="256" t="s">
        <v>432</v>
      </c>
      <c r="D569" s="256" t="s">
        <v>779</v>
      </c>
      <c r="E569" s="256" t="s">
        <v>1511</v>
      </c>
      <c r="F569" s="5">
        <v>977050</v>
      </c>
      <c r="G569" s="5">
        <v>977050</v>
      </c>
      <c r="H569" s="143" t="str">
        <f t="shared" si="9"/>
        <v>08010520045000600</v>
      </c>
    </row>
    <row r="570" spans="1:8" x14ac:dyDescent="0.2">
      <c r="A570" s="190" t="s">
        <v>1340</v>
      </c>
      <c r="B570" s="256" t="s">
        <v>246</v>
      </c>
      <c r="C570" s="256" t="s">
        <v>432</v>
      </c>
      <c r="D570" s="256" t="s">
        <v>779</v>
      </c>
      <c r="E570" s="256" t="s">
        <v>1341</v>
      </c>
      <c r="F570" s="5">
        <v>977050</v>
      </c>
      <c r="G570" s="5">
        <v>977050</v>
      </c>
      <c r="H570" s="143" t="str">
        <f t="shared" si="9"/>
        <v>08010520045000610</v>
      </c>
    </row>
    <row r="571" spans="1:8" ht="76.5" x14ac:dyDescent="0.2">
      <c r="A571" s="190" t="s">
        <v>387</v>
      </c>
      <c r="B571" s="256" t="s">
        <v>246</v>
      </c>
      <c r="C571" s="256" t="s">
        <v>432</v>
      </c>
      <c r="D571" s="256" t="s">
        <v>779</v>
      </c>
      <c r="E571" s="256" t="s">
        <v>388</v>
      </c>
      <c r="F571" s="5">
        <v>977050</v>
      </c>
      <c r="G571" s="5">
        <v>977050</v>
      </c>
      <c r="H571" s="143" t="str">
        <f t="shared" si="9"/>
        <v>08010520045000611</v>
      </c>
    </row>
    <row r="572" spans="1:8" ht="114.75" x14ac:dyDescent="0.2">
      <c r="A572" s="190" t="s">
        <v>561</v>
      </c>
      <c r="B572" s="256" t="s">
        <v>246</v>
      </c>
      <c r="C572" s="256" t="s">
        <v>432</v>
      </c>
      <c r="D572" s="256" t="s">
        <v>780</v>
      </c>
      <c r="E572" s="256" t="s">
        <v>1314</v>
      </c>
      <c r="F572" s="5">
        <v>472000</v>
      </c>
      <c r="G572" s="5">
        <v>472000</v>
      </c>
      <c r="H572" s="143" t="str">
        <f t="shared" si="9"/>
        <v>08010520047000</v>
      </c>
    </row>
    <row r="573" spans="1:8" ht="38.25" x14ac:dyDescent="0.2">
      <c r="A573" s="190" t="s">
        <v>1510</v>
      </c>
      <c r="B573" s="256" t="s">
        <v>246</v>
      </c>
      <c r="C573" s="256" t="s">
        <v>432</v>
      </c>
      <c r="D573" s="256" t="s">
        <v>780</v>
      </c>
      <c r="E573" s="256" t="s">
        <v>1511</v>
      </c>
      <c r="F573" s="5">
        <v>472000</v>
      </c>
      <c r="G573" s="5">
        <v>472000</v>
      </c>
      <c r="H573" s="143" t="str">
        <f t="shared" si="9"/>
        <v>08010520047000600</v>
      </c>
    </row>
    <row r="574" spans="1:8" x14ac:dyDescent="0.2">
      <c r="A574" s="190" t="s">
        <v>1340</v>
      </c>
      <c r="B574" s="256" t="s">
        <v>246</v>
      </c>
      <c r="C574" s="256" t="s">
        <v>432</v>
      </c>
      <c r="D574" s="256" t="s">
        <v>780</v>
      </c>
      <c r="E574" s="256" t="s">
        <v>1341</v>
      </c>
      <c r="F574" s="5">
        <v>472000</v>
      </c>
      <c r="G574" s="5">
        <v>472000</v>
      </c>
      <c r="H574" s="143" t="str">
        <f t="shared" si="9"/>
        <v>08010520047000610</v>
      </c>
    </row>
    <row r="575" spans="1:8" ht="25.5" x14ac:dyDescent="0.2">
      <c r="A575" s="190" t="s">
        <v>406</v>
      </c>
      <c r="B575" s="256" t="s">
        <v>246</v>
      </c>
      <c r="C575" s="182" t="s">
        <v>432</v>
      </c>
      <c r="D575" s="256" t="s">
        <v>780</v>
      </c>
      <c r="E575" s="256" t="s">
        <v>407</v>
      </c>
      <c r="F575" s="195">
        <v>472000</v>
      </c>
      <c r="G575" s="195">
        <v>472000</v>
      </c>
      <c r="H575" s="143" t="str">
        <f t="shared" si="9"/>
        <v>08010520047000612</v>
      </c>
    </row>
    <row r="576" spans="1:8" ht="114.75" x14ac:dyDescent="0.2">
      <c r="A576" s="190" t="s">
        <v>617</v>
      </c>
      <c r="B576" s="256" t="s">
        <v>246</v>
      </c>
      <c r="C576" s="256" t="s">
        <v>432</v>
      </c>
      <c r="D576" s="256" t="s">
        <v>781</v>
      </c>
      <c r="E576" s="256" t="s">
        <v>1314</v>
      </c>
      <c r="F576" s="195">
        <v>18620000</v>
      </c>
      <c r="G576" s="195">
        <v>18620000</v>
      </c>
      <c r="H576" s="143" t="str">
        <f t="shared" si="9"/>
        <v>0801052004Г000</v>
      </c>
    </row>
    <row r="577" spans="1:8" ht="38.25" x14ac:dyDescent="0.2">
      <c r="A577" s="190" t="s">
        <v>1510</v>
      </c>
      <c r="B577" s="256" t="s">
        <v>246</v>
      </c>
      <c r="C577" s="256" t="s">
        <v>432</v>
      </c>
      <c r="D577" s="256" t="s">
        <v>781</v>
      </c>
      <c r="E577" s="256" t="s">
        <v>1511</v>
      </c>
      <c r="F577" s="195">
        <v>18620000</v>
      </c>
      <c r="G577" s="195">
        <v>18620000</v>
      </c>
      <c r="H577" s="143" t="str">
        <f t="shared" si="9"/>
        <v>0801052004Г000600</v>
      </c>
    </row>
    <row r="578" spans="1:8" x14ac:dyDescent="0.2">
      <c r="A578" s="190" t="s">
        <v>1340</v>
      </c>
      <c r="B578" s="256" t="s">
        <v>246</v>
      </c>
      <c r="C578" s="256" t="s">
        <v>432</v>
      </c>
      <c r="D578" s="256" t="s">
        <v>781</v>
      </c>
      <c r="E578" s="256" t="s">
        <v>1341</v>
      </c>
      <c r="F578" s="195">
        <v>18620000</v>
      </c>
      <c r="G578" s="195">
        <v>18620000</v>
      </c>
      <c r="H578" s="143" t="str">
        <f t="shared" si="9"/>
        <v>0801052004Г000610</v>
      </c>
    </row>
    <row r="579" spans="1:8" ht="76.5" x14ac:dyDescent="0.2">
      <c r="A579" s="190" t="s">
        <v>387</v>
      </c>
      <c r="B579" s="256" t="s">
        <v>246</v>
      </c>
      <c r="C579" s="256" t="s">
        <v>432</v>
      </c>
      <c r="D579" s="256" t="s">
        <v>781</v>
      </c>
      <c r="E579" s="256" t="s">
        <v>388</v>
      </c>
      <c r="F579" s="195">
        <v>18620000</v>
      </c>
      <c r="G579" s="195">
        <v>18620000</v>
      </c>
      <c r="H579" s="143" t="str">
        <f t="shared" si="9"/>
        <v>0801052004Г000611</v>
      </c>
    </row>
    <row r="580" spans="1:8" ht="76.5" x14ac:dyDescent="0.2">
      <c r="A580" s="190" t="s">
        <v>1916</v>
      </c>
      <c r="B580" s="256" t="s">
        <v>246</v>
      </c>
      <c r="C580" s="256" t="s">
        <v>432</v>
      </c>
      <c r="D580" s="256" t="s">
        <v>1917</v>
      </c>
      <c r="E580" s="256" t="s">
        <v>1314</v>
      </c>
      <c r="F580" s="195">
        <v>380000</v>
      </c>
      <c r="G580" s="195">
        <v>380000</v>
      </c>
      <c r="H580" s="143" t="str">
        <f t="shared" si="9"/>
        <v>0801052004М000</v>
      </c>
    </row>
    <row r="581" spans="1:8" ht="38.25" x14ac:dyDescent="0.2">
      <c r="A581" s="190" t="s">
        <v>1510</v>
      </c>
      <c r="B581" s="256" t="s">
        <v>246</v>
      </c>
      <c r="C581" s="256" t="s">
        <v>432</v>
      </c>
      <c r="D581" s="256" t="s">
        <v>1917</v>
      </c>
      <c r="E581" s="256" t="s">
        <v>1511</v>
      </c>
      <c r="F581" s="195">
        <v>380000</v>
      </c>
      <c r="G581" s="195">
        <v>380000</v>
      </c>
      <c r="H581" s="143" t="str">
        <f t="shared" si="9"/>
        <v>0801052004М000600</v>
      </c>
    </row>
    <row r="582" spans="1:8" x14ac:dyDescent="0.2">
      <c r="A582" s="190" t="s">
        <v>1340</v>
      </c>
      <c r="B582" s="256" t="s">
        <v>246</v>
      </c>
      <c r="C582" s="256" t="s">
        <v>432</v>
      </c>
      <c r="D582" s="256" t="s">
        <v>1917</v>
      </c>
      <c r="E582" s="256" t="s">
        <v>1341</v>
      </c>
      <c r="F582" s="195">
        <v>380000</v>
      </c>
      <c r="G582" s="195">
        <v>380000</v>
      </c>
      <c r="H582" s="143" t="str">
        <f t="shared" si="9"/>
        <v>0801052004М000610</v>
      </c>
    </row>
    <row r="583" spans="1:8" ht="76.5" x14ac:dyDescent="0.2">
      <c r="A583" s="190" t="s">
        <v>387</v>
      </c>
      <c r="B583" s="256" t="s">
        <v>246</v>
      </c>
      <c r="C583" s="256" t="s">
        <v>432</v>
      </c>
      <c r="D583" s="256" t="s">
        <v>1917</v>
      </c>
      <c r="E583" s="256" t="s">
        <v>388</v>
      </c>
      <c r="F583" s="195">
        <v>380000</v>
      </c>
      <c r="G583" s="195">
        <v>380000</v>
      </c>
      <c r="H583" s="143" t="str">
        <f t="shared" si="9"/>
        <v>0801052004М000611</v>
      </c>
    </row>
    <row r="584" spans="1:8" ht="102" x14ac:dyDescent="0.2">
      <c r="A584" s="190" t="s">
        <v>1020</v>
      </c>
      <c r="B584" s="256" t="s">
        <v>246</v>
      </c>
      <c r="C584" s="256" t="s">
        <v>432</v>
      </c>
      <c r="D584" s="256" t="s">
        <v>1021</v>
      </c>
      <c r="E584" s="256" t="s">
        <v>1314</v>
      </c>
      <c r="F584" s="195">
        <v>3350000</v>
      </c>
      <c r="G584" s="195">
        <v>3350000</v>
      </c>
      <c r="H584" s="143" t="str">
        <f t="shared" si="9"/>
        <v>0801052004Э000</v>
      </c>
    </row>
    <row r="585" spans="1:8" ht="38.25" x14ac:dyDescent="0.2">
      <c r="A585" s="190" t="s">
        <v>1510</v>
      </c>
      <c r="B585" s="256" t="s">
        <v>246</v>
      </c>
      <c r="C585" s="256" t="s">
        <v>432</v>
      </c>
      <c r="D585" s="256" t="s">
        <v>1021</v>
      </c>
      <c r="E585" s="256" t="s">
        <v>1511</v>
      </c>
      <c r="F585" s="195">
        <v>3350000</v>
      </c>
      <c r="G585" s="195">
        <v>3350000</v>
      </c>
      <c r="H585" s="143" t="str">
        <f t="shared" si="9"/>
        <v>0801052004Э000600</v>
      </c>
    </row>
    <row r="586" spans="1:8" x14ac:dyDescent="0.2">
      <c r="A586" s="190" t="s">
        <v>1340</v>
      </c>
      <c r="B586" s="256" t="s">
        <v>246</v>
      </c>
      <c r="C586" s="256" t="s">
        <v>432</v>
      </c>
      <c r="D586" s="256" t="s">
        <v>1021</v>
      </c>
      <c r="E586" s="256" t="s">
        <v>1341</v>
      </c>
      <c r="F586" s="195">
        <v>3350000</v>
      </c>
      <c r="G586" s="195">
        <v>3350000</v>
      </c>
      <c r="H586" s="143" t="str">
        <f t="shared" si="9"/>
        <v>0801052004Э000610</v>
      </c>
    </row>
    <row r="587" spans="1:8" ht="76.5" x14ac:dyDescent="0.2">
      <c r="A587" s="190" t="s">
        <v>387</v>
      </c>
      <c r="B587" s="256" t="s">
        <v>246</v>
      </c>
      <c r="C587" s="256" t="s">
        <v>432</v>
      </c>
      <c r="D587" s="256" t="s">
        <v>1021</v>
      </c>
      <c r="E587" s="256" t="s">
        <v>388</v>
      </c>
      <c r="F587" s="195">
        <v>3350000</v>
      </c>
      <c r="G587" s="195">
        <v>3350000</v>
      </c>
      <c r="H587" s="143" t="str">
        <f t="shared" si="9"/>
        <v>0801052004Э000611</v>
      </c>
    </row>
    <row r="588" spans="1:8" ht="63.75" x14ac:dyDescent="0.2">
      <c r="A588" s="190" t="s">
        <v>550</v>
      </c>
      <c r="B588" s="256" t="s">
        <v>246</v>
      </c>
      <c r="C588" s="256" t="s">
        <v>432</v>
      </c>
      <c r="D588" s="256" t="s">
        <v>759</v>
      </c>
      <c r="E588" s="256" t="s">
        <v>1314</v>
      </c>
      <c r="F588" s="195">
        <v>2010508</v>
      </c>
      <c r="G588" s="195">
        <v>2010508</v>
      </c>
      <c r="H588" s="143" t="str">
        <f t="shared" si="9"/>
        <v>08010520080520</v>
      </c>
    </row>
    <row r="589" spans="1:8" ht="38.25" x14ac:dyDescent="0.2">
      <c r="A589" s="190" t="s">
        <v>1510</v>
      </c>
      <c r="B589" s="256" t="s">
        <v>246</v>
      </c>
      <c r="C589" s="182" t="s">
        <v>432</v>
      </c>
      <c r="D589" s="256" t="s">
        <v>759</v>
      </c>
      <c r="E589" s="256" t="s">
        <v>1511</v>
      </c>
      <c r="F589" s="195">
        <v>2010508</v>
      </c>
      <c r="G589" s="195">
        <v>2010508</v>
      </c>
      <c r="H589" s="143" t="str">
        <f t="shared" si="9"/>
        <v>08010520080520600</v>
      </c>
    </row>
    <row r="590" spans="1:8" x14ac:dyDescent="0.2">
      <c r="A590" s="190" t="s">
        <v>1340</v>
      </c>
      <c r="B590" s="256" t="s">
        <v>246</v>
      </c>
      <c r="C590" s="256" t="s">
        <v>432</v>
      </c>
      <c r="D590" s="256" t="s">
        <v>759</v>
      </c>
      <c r="E590" s="256" t="s">
        <v>1341</v>
      </c>
      <c r="F590" s="195">
        <v>2010508</v>
      </c>
      <c r="G590" s="195">
        <v>2010508</v>
      </c>
      <c r="H590" s="143" t="str">
        <f t="shared" si="9"/>
        <v>08010520080520610</v>
      </c>
    </row>
    <row r="591" spans="1:8" ht="25.5" x14ac:dyDescent="0.2">
      <c r="A591" s="190" t="s">
        <v>406</v>
      </c>
      <c r="B591" s="256" t="s">
        <v>246</v>
      </c>
      <c r="C591" s="256" t="s">
        <v>432</v>
      </c>
      <c r="D591" s="256" t="s">
        <v>759</v>
      </c>
      <c r="E591" s="256" t="s">
        <v>407</v>
      </c>
      <c r="F591" s="195">
        <v>2010508</v>
      </c>
      <c r="G591" s="195">
        <v>2010508</v>
      </c>
      <c r="H591" s="143" t="str">
        <f t="shared" si="9"/>
        <v>08010520080520612</v>
      </c>
    </row>
    <row r="592" spans="1:8" ht="63.75" x14ac:dyDescent="0.2">
      <c r="A592" s="190" t="s">
        <v>1683</v>
      </c>
      <c r="B592" s="256" t="s">
        <v>246</v>
      </c>
      <c r="C592" s="256" t="s">
        <v>432</v>
      </c>
      <c r="D592" s="256" t="s">
        <v>1684</v>
      </c>
      <c r="E592" s="256" t="s">
        <v>1314</v>
      </c>
      <c r="F592" s="195">
        <v>89492</v>
      </c>
      <c r="G592" s="195">
        <v>89492</v>
      </c>
      <c r="H592" s="143" t="str">
        <f t="shared" si="9"/>
        <v>08010520080540</v>
      </c>
    </row>
    <row r="593" spans="1:8" ht="38.25" x14ac:dyDescent="0.2">
      <c r="A593" s="190" t="s">
        <v>1510</v>
      </c>
      <c r="B593" s="256" t="s">
        <v>246</v>
      </c>
      <c r="C593" s="256" t="s">
        <v>432</v>
      </c>
      <c r="D593" s="256" t="s">
        <v>1684</v>
      </c>
      <c r="E593" s="256" t="s">
        <v>1511</v>
      </c>
      <c r="F593" s="195">
        <v>89492</v>
      </c>
      <c r="G593" s="195">
        <v>89492</v>
      </c>
      <c r="H593" s="143" t="str">
        <f t="shared" si="9"/>
        <v>08010520080540600</v>
      </c>
    </row>
    <row r="594" spans="1:8" x14ac:dyDescent="0.2">
      <c r="A594" s="190" t="s">
        <v>1340</v>
      </c>
      <c r="B594" s="256" t="s">
        <v>246</v>
      </c>
      <c r="C594" s="256" t="s">
        <v>432</v>
      </c>
      <c r="D594" s="256" t="s">
        <v>1684</v>
      </c>
      <c r="E594" s="256" t="s">
        <v>1341</v>
      </c>
      <c r="F594" s="195">
        <v>89492</v>
      </c>
      <c r="G594" s="195">
        <v>89492</v>
      </c>
      <c r="H594" s="143" t="str">
        <f t="shared" si="9"/>
        <v>08010520080540610</v>
      </c>
    </row>
    <row r="595" spans="1:8" ht="25.5" x14ac:dyDescent="0.2">
      <c r="A595" s="190" t="s">
        <v>406</v>
      </c>
      <c r="B595" s="256" t="s">
        <v>246</v>
      </c>
      <c r="C595" s="256" t="s">
        <v>432</v>
      </c>
      <c r="D595" s="256" t="s">
        <v>1684</v>
      </c>
      <c r="E595" s="256" t="s">
        <v>407</v>
      </c>
      <c r="F595" s="195">
        <v>89492</v>
      </c>
      <c r="G595" s="195">
        <v>89492</v>
      </c>
      <c r="H595" s="143" t="str">
        <f t="shared" si="9"/>
        <v>08010520080540612</v>
      </c>
    </row>
    <row r="596" spans="1:8" ht="51" x14ac:dyDescent="0.2">
      <c r="A596" s="190" t="s">
        <v>2048</v>
      </c>
      <c r="B596" s="256" t="s">
        <v>246</v>
      </c>
      <c r="C596" s="256" t="s">
        <v>432</v>
      </c>
      <c r="D596" s="256" t="s">
        <v>2049</v>
      </c>
      <c r="E596" s="256" t="s">
        <v>1314</v>
      </c>
      <c r="F596" s="195">
        <v>100000</v>
      </c>
      <c r="G596" s="195">
        <v>100000</v>
      </c>
      <c r="H596" s="143" t="str">
        <f t="shared" si="9"/>
        <v>08011300000000</v>
      </c>
    </row>
    <row r="597" spans="1:8" ht="63.75" x14ac:dyDescent="0.2">
      <c r="A597" s="190" t="s">
        <v>2066</v>
      </c>
      <c r="B597" s="256" t="s">
        <v>246</v>
      </c>
      <c r="C597" s="256" t="s">
        <v>432</v>
      </c>
      <c r="D597" s="256" t="s">
        <v>2067</v>
      </c>
      <c r="E597" s="256" t="s">
        <v>1314</v>
      </c>
      <c r="F597" s="195">
        <v>100000</v>
      </c>
      <c r="G597" s="195">
        <v>100000</v>
      </c>
      <c r="H597" s="143" t="str">
        <f t="shared" si="9"/>
        <v>08011320000000</v>
      </c>
    </row>
    <row r="598" spans="1:8" ht="153" x14ac:dyDescent="0.2">
      <c r="A598" s="190" t="s">
        <v>2068</v>
      </c>
      <c r="B598" s="256" t="s">
        <v>246</v>
      </c>
      <c r="C598" s="256" t="s">
        <v>432</v>
      </c>
      <c r="D598" s="256" t="s">
        <v>2069</v>
      </c>
      <c r="E598" s="256" t="s">
        <v>1314</v>
      </c>
      <c r="F598" s="195">
        <v>50000</v>
      </c>
      <c r="G598" s="195">
        <v>50000</v>
      </c>
      <c r="H598" s="143" t="str">
        <f t="shared" si="9"/>
        <v>08011320080010</v>
      </c>
    </row>
    <row r="599" spans="1:8" ht="38.25" x14ac:dyDescent="0.2">
      <c r="A599" s="190" t="s">
        <v>1502</v>
      </c>
      <c r="B599" s="256" t="s">
        <v>246</v>
      </c>
      <c r="C599" s="256" t="s">
        <v>432</v>
      </c>
      <c r="D599" s="256" t="s">
        <v>2069</v>
      </c>
      <c r="E599" s="256" t="s">
        <v>1503</v>
      </c>
      <c r="F599" s="195">
        <v>50000</v>
      </c>
      <c r="G599" s="195">
        <v>50000</v>
      </c>
      <c r="H599" s="143" t="str">
        <f t="shared" si="9"/>
        <v>08011320080010200</v>
      </c>
    </row>
    <row r="600" spans="1:8" ht="38.25" x14ac:dyDescent="0.2">
      <c r="A600" s="190" t="s">
        <v>1338</v>
      </c>
      <c r="B600" s="256" t="s">
        <v>246</v>
      </c>
      <c r="C600" s="256" t="s">
        <v>432</v>
      </c>
      <c r="D600" s="256" t="s">
        <v>2069</v>
      </c>
      <c r="E600" s="256" t="s">
        <v>1339</v>
      </c>
      <c r="F600" s="195">
        <v>50000</v>
      </c>
      <c r="G600" s="195">
        <v>50000</v>
      </c>
      <c r="H600" s="143" t="str">
        <f t="shared" si="9"/>
        <v>08011320080010240</v>
      </c>
    </row>
    <row r="601" spans="1:8" x14ac:dyDescent="0.2">
      <c r="A601" s="190" t="s">
        <v>1379</v>
      </c>
      <c r="B601" s="256" t="s">
        <v>246</v>
      </c>
      <c r="C601" s="256" t="s">
        <v>432</v>
      </c>
      <c r="D601" s="256" t="s">
        <v>2069</v>
      </c>
      <c r="E601" s="256" t="s">
        <v>368</v>
      </c>
      <c r="F601" s="195">
        <v>50000</v>
      </c>
      <c r="G601" s="195">
        <v>50000</v>
      </c>
      <c r="H601" s="143" t="str">
        <f t="shared" si="9"/>
        <v>08011320080010244</v>
      </c>
    </row>
    <row r="602" spans="1:8" ht="140.25" x14ac:dyDescent="0.2">
      <c r="A602" s="190" t="s">
        <v>2070</v>
      </c>
      <c r="B602" s="256" t="s">
        <v>246</v>
      </c>
      <c r="C602" s="256" t="s">
        <v>432</v>
      </c>
      <c r="D602" s="256" t="s">
        <v>2071</v>
      </c>
      <c r="E602" s="256" t="s">
        <v>1314</v>
      </c>
      <c r="F602" s="195">
        <v>50000</v>
      </c>
      <c r="G602" s="195">
        <v>50000</v>
      </c>
      <c r="H602" s="143" t="str">
        <f t="shared" si="9"/>
        <v>08011320080020</v>
      </c>
    </row>
    <row r="603" spans="1:8" ht="38.25" x14ac:dyDescent="0.2">
      <c r="A603" s="190" t="s">
        <v>1502</v>
      </c>
      <c r="B603" s="256" t="s">
        <v>246</v>
      </c>
      <c r="C603" s="256" t="s">
        <v>432</v>
      </c>
      <c r="D603" s="256" t="s">
        <v>2071</v>
      </c>
      <c r="E603" s="256" t="s">
        <v>1503</v>
      </c>
      <c r="F603" s="195">
        <v>50000</v>
      </c>
      <c r="G603" s="195">
        <v>50000</v>
      </c>
      <c r="H603" s="143" t="str">
        <f t="shared" si="9"/>
        <v>08011320080020200</v>
      </c>
    </row>
    <row r="604" spans="1:8" ht="38.25" x14ac:dyDescent="0.2">
      <c r="A604" s="190" t="s">
        <v>1338</v>
      </c>
      <c r="B604" s="256" t="s">
        <v>246</v>
      </c>
      <c r="C604" s="256" t="s">
        <v>432</v>
      </c>
      <c r="D604" s="256" t="s">
        <v>2071</v>
      </c>
      <c r="E604" s="256" t="s">
        <v>1339</v>
      </c>
      <c r="F604" s="195">
        <v>50000</v>
      </c>
      <c r="G604" s="195">
        <v>50000</v>
      </c>
      <c r="H604" s="143" t="str">
        <f t="shared" si="9"/>
        <v>08011320080020240</v>
      </c>
    </row>
    <row r="605" spans="1:8" x14ac:dyDescent="0.2">
      <c r="A605" s="190" t="s">
        <v>1379</v>
      </c>
      <c r="B605" s="256" t="s">
        <v>246</v>
      </c>
      <c r="C605" s="256" t="s">
        <v>432</v>
      </c>
      <c r="D605" s="256" t="s">
        <v>2071</v>
      </c>
      <c r="E605" s="256" t="s">
        <v>368</v>
      </c>
      <c r="F605" s="195">
        <v>50000</v>
      </c>
      <c r="G605" s="195">
        <v>50000</v>
      </c>
      <c r="H605" s="143" t="str">
        <f t="shared" si="9"/>
        <v>08011320080020244</v>
      </c>
    </row>
    <row r="606" spans="1:8" ht="25.5" x14ac:dyDescent="0.2">
      <c r="A606" s="190" t="s">
        <v>0</v>
      </c>
      <c r="B606" s="256" t="s">
        <v>246</v>
      </c>
      <c r="C606" s="256" t="s">
        <v>442</v>
      </c>
      <c r="D606" s="256" t="s">
        <v>1314</v>
      </c>
      <c r="E606" s="256" t="s">
        <v>1314</v>
      </c>
      <c r="F606" s="195">
        <v>78976249</v>
      </c>
      <c r="G606" s="195">
        <v>78976249</v>
      </c>
      <c r="H606" s="143" t="str">
        <f t="shared" si="9"/>
        <v>0804</v>
      </c>
    </row>
    <row r="607" spans="1:8" ht="25.5" x14ac:dyDescent="0.2">
      <c r="A607" s="190" t="s">
        <v>502</v>
      </c>
      <c r="B607" s="256" t="s">
        <v>246</v>
      </c>
      <c r="C607" s="256" t="s">
        <v>442</v>
      </c>
      <c r="D607" s="256" t="s">
        <v>1041</v>
      </c>
      <c r="E607" s="256" t="s">
        <v>1314</v>
      </c>
      <c r="F607" s="195">
        <v>78976249</v>
      </c>
      <c r="G607" s="195">
        <v>78976249</v>
      </c>
      <c r="H607" s="143" t="str">
        <f t="shared" si="9"/>
        <v>08040500000000</v>
      </c>
    </row>
    <row r="608" spans="1:8" ht="38.25" x14ac:dyDescent="0.2">
      <c r="A608" s="190" t="s">
        <v>642</v>
      </c>
      <c r="B608" s="256" t="s">
        <v>246</v>
      </c>
      <c r="C608" s="256" t="s">
        <v>442</v>
      </c>
      <c r="D608" s="256" t="s">
        <v>1044</v>
      </c>
      <c r="E608" s="256" t="s">
        <v>1314</v>
      </c>
      <c r="F608" s="195">
        <v>78976249</v>
      </c>
      <c r="G608" s="195">
        <v>78976249</v>
      </c>
      <c r="H608" s="143" t="str">
        <f t="shared" si="9"/>
        <v>08040530000000</v>
      </c>
    </row>
    <row r="609" spans="1:8" ht="127.5" x14ac:dyDescent="0.2">
      <c r="A609" s="190" t="s">
        <v>551</v>
      </c>
      <c r="B609" s="256" t="s">
        <v>246</v>
      </c>
      <c r="C609" s="256" t="s">
        <v>442</v>
      </c>
      <c r="D609" s="256" t="s">
        <v>760</v>
      </c>
      <c r="E609" s="256" t="s">
        <v>1314</v>
      </c>
      <c r="F609" s="195">
        <v>45623261</v>
      </c>
      <c r="G609" s="195">
        <v>45623261</v>
      </c>
      <c r="H609" s="143" t="str">
        <f t="shared" si="9"/>
        <v>08040530040000</v>
      </c>
    </row>
    <row r="610" spans="1:8" ht="76.5" x14ac:dyDescent="0.2">
      <c r="A610" s="190" t="s">
        <v>1501</v>
      </c>
      <c r="B610" s="256" t="s">
        <v>246</v>
      </c>
      <c r="C610" s="256" t="s">
        <v>442</v>
      </c>
      <c r="D610" s="256" t="s">
        <v>760</v>
      </c>
      <c r="E610" s="256" t="s">
        <v>290</v>
      </c>
      <c r="F610" s="195">
        <v>42339908</v>
      </c>
      <c r="G610" s="195">
        <v>42339908</v>
      </c>
      <c r="H610" s="143" t="str">
        <f t="shared" si="9"/>
        <v>08040530040000100</v>
      </c>
    </row>
    <row r="611" spans="1:8" ht="25.5" x14ac:dyDescent="0.2">
      <c r="A611" s="190" t="s">
        <v>1331</v>
      </c>
      <c r="B611" s="256" t="s">
        <v>246</v>
      </c>
      <c r="C611" s="256" t="s">
        <v>442</v>
      </c>
      <c r="D611" s="256" t="s">
        <v>760</v>
      </c>
      <c r="E611" s="256" t="s">
        <v>140</v>
      </c>
      <c r="F611" s="195">
        <v>42339908</v>
      </c>
      <c r="G611" s="195">
        <v>42339908</v>
      </c>
      <c r="H611" s="143" t="str">
        <f t="shared" si="9"/>
        <v>08040530040000110</v>
      </c>
    </row>
    <row r="612" spans="1:8" x14ac:dyDescent="0.2">
      <c r="A612" s="190" t="s">
        <v>1216</v>
      </c>
      <c r="B612" s="256" t="s">
        <v>246</v>
      </c>
      <c r="C612" s="256" t="s">
        <v>442</v>
      </c>
      <c r="D612" s="256" t="s">
        <v>760</v>
      </c>
      <c r="E612" s="256" t="s">
        <v>382</v>
      </c>
      <c r="F612" s="195">
        <v>32440974</v>
      </c>
      <c r="G612" s="195">
        <v>32440974</v>
      </c>
      <c r="H612" s="143" t="str">
        <f t="shared" si="9"/>
        <v>08040530040000111</v>
      </c>
    </row>
    <row r="613" spans="1:8" ht="25.5" x14ac:dyDescent="0.2">
      <c r="A613" s="190" t="s">
        <v>1225</v>
      </c>
      <c r="B613" s="256" t="s">
        <v>246</v>
      </c>
      <c r="C613" s="256" t="s">
        <v>442</v>
      </c>
      <c r="D613" s="256" t="s">
        <v>760</v>
      </c>
      <c r="E613" s="256" t="s">
        <v>431</v>
      </c>
      <c r="F613" s="195">
        <v>145550</v>
      </c>
      <c r="G613" s="195">
        <v>145550</v>
      </c>
      <c r="H613" s="143" t="str">
        <f t="shared" si="9"/>
        <v>08040530040000112</v>
      </c>
    </row>
    <row r="614" spans="1:8" ht="51" x14ac:dyDescent="0.2">
      <c r="A614" s="190" t="s">
        <v>1217</v>
      </c>
      <c r="B614" s="256" t="s">
        <v>246</v>
      </c>
      <c r="C614" s="256" t="s">
        <v>442</v>
      </c>
      <c r="D614" s="256" t="s">
        <v>760</v>
      </c>
      <c r="E614" s="256" t="s">
        <v>1117</v>
      </c>
      <c r="F614" s="195">
        <v>9753384</v>
      </c>
      <c r="G614" s="195">
        <v>9753384</v>
      </c>
      <c r="H614" s="143" t="str">
        <f t="shared" si="9"/>
        <v>08040530040000119</v>
      </c>
    </row>
    <row r="615" spans="1:8" ht="38.25" x14ac:dyDescent="0.2">
      <c r="A615" s="190" t="s">
        <v>1502</v>
      </c>
      <c r="B615" s="256" t="s">
        <v>246</v>
      </c>
      <c r="C615" s="256" t="s">
        <v>442</v>
      </c>
      <c r="D615" s="256" t="s">
        <v>760</v>
      </c>
      <c r="E615" s="256" t="s">
        <v>1503</v>
      </c>
      <c r="F615" s="195">
        <v>3269853</v>
      </c>
      <c r="G615" s="195">
        <v>3269853</v>
      </c>
      <c r="H615" s="143" t="str">
        <f t="shared" si="9"/>
        <v>08040530040000200</v>
      </c>
    </row>
    <row r="616" spans="1:8" ht="38.25" x14ac:dyDescent="0.2">
      <c r="A616" s="190" t="s">
        <v>1338</v>
      </c>
      <c r="B616" s="256" t="s">
        <v>246</v>
      </c>
      <c r="C616" s="256" t="s">
        <v>442</v>
      </c>
      <c r="D616" s="256" t="s">
        <v>760</v>
      </c>
      <c r="E616" s="256" t="s">
        <v>1339</v>
      </c>
      <c r="F616" s="195">
        <v>3269853</v>
      </c>
      <c r="G616" s="195">
        <v>3269853</v>
      </c>
      <c r="H616" s="143" t="str">
        <f t="shared" ref="H616:H677" si="10">CONCATENATE(C616,,D616,E616)</f>
        <v>08040530040000240</v>
      </c>
    </row>
    <row r="617" spans="1:8" x14ac:dyDescent="0.2">
      <c r="A617" s="190" t="s">
        <v>1379</v>
      </c>
      <c r="B617" s="256" t="s">
        <v>246</v>
      </c>
      <c r="C617" s="256" t="s">
        <v>442</v>
      </c>
      <c r="D617" s="256" t="s">
        <v>760</v>
      </c>
      <c r="E617" s="256" t="s">
        <v>368</v>
      </c>
      <c r="F617" s="195">
        <v>3269853</v>
      </c>
      <c r="G617" s="195">
        <v>3269853</v>
      </c>
      <c r="H617" s="143" t="str">
        <f t="shared" si="10"/>
        <v>08040530040000244</v>
      </c>
    </row>
    <row r="618" spans="1:8" x14ac:dyDescent="0.2">
      <c r="A618" s="190" t="s">
        <v>1504</v>
      </c>
      <c r="B618" s="256" t="s">
        <v>246</v>
      </c>
      <c r="C618" s="256" t="s">
        <v>442</v>
      </c>
      <c r="D618" s="256" t="s">
        <v>760</v>
      </c>
      <c r="E618" s="256" t="s">
        <v>1505</v>
      </c>
      <c r="F618" s="195">
        <v>13500</v>
      </c>
      <c r="G618" s="195">
        <v>13500</v>
      </c>
      <c r="H618" s="143" t="str">
        <f t="shared" si="10"/>
        <v>08040530040000800</v>
      </c>
    </row>
    <row r="619" spans="1:8" x14ac:dyDescent="0.2">
      <c r="A619" s="190" t="s">
        <v>1343</v>
      </c>
      <c r="B619" s="256" t="s">
        <v>246</v>
      </c>
      <c r="C619" s="256" t="s">
        <v>442</v>
      </c>
      <c r="D619" s="256" t="s">
        <v>760</v>
      </c>
      <c r="E619" s="256" t="s">
        <v>1344</v>
      </c>
      <c r="F619" s="195">
        <v>13500</v>
      </c>
      <c r="G619" s="195">
        <v>13500</v>
      </c>
      <c r="H619" s="143" t="str">
        <f t="shared" si="10"/>
        <v>08040530040000850</v>
      </c>
    </row>
    <row r="620" spans="1:8" x14ac:dyDescent="0.2">
      <c r="A620" s="190" t="s">
        <v>1118</v>
      </c>
      <c r="B620" s="256" t="s">
        <v>246</v>
      </c>
      <c r="C620" s="256" t="s">
        <v>442</v>
      </c>
      <c r="D620" s="256" t="s">
        <v>760</v>
      </c>
      <c r="E620" s="256" t="s">
        <v>1119</v>
      </c>
      <c r="F620" s="195">
        <v>13500</v>
      </c>
      <c r="G620" s="195">
        <v>13500</v>
      </c>
      <c r="H620" s="143" t="str">
        <f t="shared" si="10"/>
        <v>08040530040000853</v>
      </c>
    </row>
    <row r="621" spans="1:8" ht="165.75" x14ac:dyDescent="0.2">
      <c r="A621" s="190" t="s">
        <v>552</v>
      </c>
      <c r="B621" s="256" t="s">
        <v>246</v>
      </c>
      <c r="C621" s="256" t="s">
        <v>442</v>
      </c>
      <c r="D621" s="256" t="s">
        <v>761</v>
      </c>
      <c r="E621" s="256" t="s">
        <v>1314</v>
      </c>
      <c r="F621" s="195">
        <v>32289600</v>
      </c>
      <c r="G621" s="195">
        <v>32289600</v>
      </c>
      <c r="H621" s="143" t="str">
        <f t="shared" si="10"/>
        <v>08040530041000</v>
      </c>
    </row>
    <row r="622" spans="1:8" ht="76.5" x14ac:dyDescent="0.2">
      <c r="A622" s="190" t="s">
        <v>1501</v>
      </c>
      <c r="B622" s="256" t="s">
        <v>246</v>
      </c>
      <c r="C622" s="256" t="s">
        <v>442</v>
      </c>
      <c r="D622" s="256" t="s">
        <v>761</v>
      </c>
      <c r="E622" s="256" t="s">
        <v>290</v>
      </c>
      <c r="F622" s="195">
        <v>32289600</v>
      </c>
      <c r="G622" s="195">
        <v>32289600</v>
      </c>
      <c r="H622" s="143" t="str">
        <f t="shared" si="10"/>
        <v>08040530041000100</v>
      </c>
    </row>
    <row r="623" spans="1:8" ht="25.5" x14ac:dyDescent="0.2">
      <c r="A623" s="190" t="s">
        <v>1331</v>
      </c>
      <c r="B623" s="256" t="s">
        <v>246</v>
      </c>
      <c r="C623" s="256" t="s">
        <v>442</v>
      </c>
      <c r="D623" s="256" t="s">
        <v>761</v>
      </c>
      <c r="E623" s="256" t="s">
        <v>140</v>
      </c>
      <c r="F623" s="195">
        <v>32289600</v>
      </c>
      <c r="G623" s="195">
        <v>32289600</v>
      </c>
      <c r="H623" s="143" t="str">
        <f t="shared" si="10"/>
        <v>08040530041000110</v>
      </c>
    </row>
    <row r="624" spans="1:8" x14ac:dyDescent="0.2">
      <c r="A624" s="190" t="s">
        <v>1216</v>
      </c>
      <c r="B624" s="256" t="s">
        <v>246</v>
      </c>
      <c r="C624" s="256" t="s">
        <v>442</v>
      </c>
      <c r="D624" s="256" t="s">
        <v>761</v>
      </c>
      <c r="E624" s="256" t="s">
        <v>382</v>
      </c>
      <c r="F624" s="195">
        <v>24800000</v>
      </c>
      <c r="G624" s="195">
        <v>24800000</v>
      </c>
      <c r="H624" s="143" t="str">
        <f t="shared" si="10"/>
        <v>08040530041000111</v>
      </c>
    </row>
    <row r="625" spans="1:8" ht="51" x14ac:dyDescent="0.2">
      <c r="A625" s="190" t="s">
        <v>1217</v>
      </c>
      <c r="B625" s="256" t="s">
        <v>246</v>
      </c>
      <c r="C625" s="256" t="s">
        <v>442</v>
      </c>
      <c r="D625" s="256" t="s">
        <v>761</v>
      </c>
      <c r="E625" s="256" t="s">
        <v>1117</v>
      </c>
      <c r="F625" s="195">
        <v>7489600</v>
      </c>
      <c r="G625" s="195">
        <v>7489600</v>
      </c>
      <c r="H625" s="143" t="str">
        <f t="shared" si="10"/>
        <v>08040530041000119</v>
      </c>
    </row>
    <row r="626" spans="1:8" ht="127.5" x14ac:dyDescent="0.2">
      <c r="A626" s="190" t="s">
        <v>553</v>
      </c>
      <c r="B626" s="256" t="s">
        <v>246</v>
      </c>
      <c r="C626" s="256" t="s">
        <v>442</v>
      </c>
      <c r="D626" s="256" t="s">
        <v>763</v>
      </c>
      <c r="E626" s="256" t="s">
        <v>1314</v>
      </c>
      <c r="F626" s="195">
        <v>450388</v>
      </c>
      <c r="G626" s="195">
        <v>450388</v>
      </c>
      <c r="H626" s="143" t="str">
        <f t="shared" si="10"/>
        <v>08040530047000</v>
      </c>
    </row>
    <row r="627" spans="1:8" ht="76.5" x14ac:dyDescent="0.2">
      <c r="A627" s="190" t="s">
        <v>1501</v>
      </c>
      <c r="B627" s="256" t="s">
        <v>246</v>
      </c>
      <c r="C627" s="256" t="s">
        <v>442</v>
      </c>
      <c r="D627" s="256" t="s">
        <v>763</v>
      </c>
      <c r="E627" s="256" t="s">
        <v>290</v>
      </c>
      <c r="F627" s="195">
        <v>450388</v>
      </c>
      <c r="G627" s="195">
        <v>450388</v>
      </c>
      <c r="H627" s="143" t="str">
        <f t="shared" si="10"/>
        <v>08040530047000100</v>
      </c>
    </row>
    <row r="628" spans="1:8" ht="25.5" x14ac:dyDescent="0.2">
      <c r="A628" s="190" t="s">
        <v>1331</v>
      </c>
      <c r="B628" s="256" t="s">
        <v>246</v>
      </c>
      <c r="C628" s="256" t="s">
        <v>442</v>
      </c>
      <c r="D628" s="256" t="s">
        <v>763</v>
      </c>
      <c r="E628" s="256" t="s">
        <v>140</v>
      </c>
      <c r="F628" s="195">
        <v>450388</v>
      </c>
      <c r="G628" s="195">
        <v>450388</v>
      </c>
      <c r="H628" s="143" t="str">
        <f t="shared" si="10"/>
        <v>08040530047000110</v>
      </c>
    </row>
    <row r="629" spans="1:8" ht="25.5" x14ac:dyDescent="0.2">
      <c r="A629" s="190" t="s">
        <v>1225</v>
      </c>
      <c r="B629" s="256" t="s">
        <v>246</v>
      </c>
      <c r="C629" s="256" t="s">
        <v>442</v>
      </c>
      <c r="D629" s="256" t="s">
        <v>763</v>
      </c>
      <c r="E629" s="256" t="s">
        <v>431</v>
      </c>
      <c r="F629" s="195">
        <v>450388</v>
      </c>
      <c r="G629" s="195">
        <v>450388</v>
      </c>
      <c r="H629" s="143" t="str">
        <f t="shared" si="10"/>
        <v>08040530047000112</v>
      </c>
    </row>
    <row r="630" spans="1:8" ht="127.5" x14ac:dyDescent="0.2">
      <c r="A630" s="190" t="s">
        <v>614</v>
      </c>
      <c r="B630" s="256" t="s">
        <v>246</v>
      </c>
      <c r="C630" s="256" t="s">
        <v>442</v>
      </c>
      <c r="D630" s="256" t="s">
        <v>764</v>
      </c>
      <c r="E630" s="256" t="s">
        <v>1314</v>
      </c>
      <c r="F630" s="195">
        <v>370000</v>
      </c>
      <c r="G630" s="195">
        <v>370000</v>
      </c>
      <c r="H630" s="143" t="str">
        <f t="shared" si="10"/>
        <v>0804053004Г000</v>
      </c>
    </row>
    <row r="631" spans="1:8" ht="38.25" x14ac:dyDescent="0.2">
      <c r="A631" s="190" t="s">
        <v>1502</v>
      </c>
      <c r="B631" s="256" t="s">
        <v>246</v>
      </c>
      <c r="C631" s="256" t="s">
        <v>442</v>
      </c>
      <c r="D631" s="256" t="s">
        <v>764</v>
      </c>
      <c r="E631" s="256" t="s">
        <v>1503</v>
      </c>
      <c r="F631" s="195">
        <v>370000</v>
      </c>
      <c r="G631" s="195">
        <v>370000</v>
      </c>
      <c r="H631" s="143" t="str">
        <f t="shared" si="10"/>
        <v>0804053004Г000200</v>
      </c>
    </row>
    <row r="632" spans="1:8" ht="38.25" x14ac:dyDescent="0.2">
      <c r="A632" s="190" t="s">
        <v>1338</v>
      </c>
      <c r="B632" s="256" t="s">
        <v>246</v>
      </c>
      <c r="C632" s="256" t="s">
        <v>442</v>
      </c>
      <c r="D632" s="256" t="s">
        <v>764</v>
      </c>
      <c r="E632" s="256" t="s">
        <v>1339</v>
      </c>
      <c r="F632" s="195">
        <v>370000</v>
      </c>
      <c r="G632" s="195">
        <v>370000</v>
      </c>
      <c r="H632" s="143" t="str">
        <f t="shared" si="10"/>
        <v>0804053004Г000240</v>
      </c>
    </row>
    <row r="633" spans="1:8" x14ac:dyDescent="0.2">
      <c r="A633" s="190" t="s">
        <v>2024</v>
      </c>
      <c r="B633" s="256" t="s">
        <v>246</v>
      </c>
      <c r="C633" s="256" t="s">
        <v>442</v>
      </c>
      <c r="D633" s="256" t="s">
        <v>764</v>
      </c>
      <c r="E633" s="256" t="s">
        <v>2025</v>
      </c>
      <c r="F633" s="195">
        <v>370000</v>
      </c>
      <c r="G633" s="195">
        <v>370000</v>
      </c>
      <c r="H633" s="143" t="str">
        <f t="shared" si="10"/>
        <v>0804053004Г000247</v>
      </c>
    </row>
    <row r="634" spans="1:8" ht="89.25" x14ac:dyDescent="0.2">
      <c r="A634" s="190" t="s">
        <v>1910</v>
      </c>
      <c r="B634" s="256" t="s">
        <v>246</v>
      </c>
      <c r="C634" s="256" t="s">
        <v>442</v>
      </c>
      <c r="D634" s="256" t="s">
        <v>1911</v>
      </c>
      <c r="E634" s="256" t="s">
        <v>1314</v>
      </c>
      <c r="F634" s="195">
        <v>13000</v>
      </c>
      <c r="G634" s="195">
        <v>13000</v>
      </c>
      <c r="H634" s="143" t="str">
        <f t="shared" si="10"/>
        <v>0804053004М000</v>
      </c>
    </row>
    <row r="635" spans="1:8" ht="38.25" x14ac:dyDescent="0.2">
      <c r="A635" s="190" t="s">
        <v>1502</v>
      </c>
      <c r="B635" s="256" t="s">
        <v>246</v>
      </c>
      <c r="C635" s="256" t="s">
        <v>442</v>
      </c>
      <c r="D635" s="256" t="s">
        <v>1911</v>
      </c>
      <c r="E635" s="256" t="s">
        <v>1503</v>
      </c>
      <c r="F635" s="195">
        <v>13000</v>
      </c>
      <c r="G635" s="195">
        <v>13000</v>
      </c>
      <c r="H635" s="143" t="str">
        <f t="shared" si="10"/>
        <v>0804053004М000200</v>
      </c>
    </row>
    <row r="636" spans="1:8" ht="38.25" x14ac:dyDescent="0.2">
      <c r="A636" s="190" t="s">
        <v>1338</v>
      </c>
      <c r="B636" s="256" t="s">
        <v>246</v>
      </c>
      <c r="C636" s="256" t="s">
        <v>442</v>
      </c>
      <c r="D636" s="256" t="s">
        <v>1911</v>
      </c>
      <c r="E636" s="256" t="s">
        <v>1339</v>
      </c>
      <c r="F636" s="195">
        <v>13000</v>
      </c>
      <c r="G636" s="195">
        <v>13000</v>
      </c>
      <c r="H636" s="143" t="str">
        <f t="shared" si="10"/>
        <v>0804053004М000240</v>
      </c>
    </row>
    <row r="637" spans="1:8" x14ac:dyDescent="0.2">
      <c r="A637" s="190" t="s">
        <v>1379</v>
      </c>
      <c r="B637" s="256" t="s">
        <v>246</v>
      </c>
      <c r="C637" s="256" t="s">
        <v>442</v>
      </c>
      <c r="D637" s="256" t="s">
        <v>1911</v>
      </c>
      <c r="E637" s="256" t="s">
        <v>368</v>
      </c>
      <c r="F637" s="195">
        <v>13000</v>
      </c>
      <c r="G637" s="195">
        <v>13000</v>
      </c>
      <c r="H637" s="143" t="str">
        <f t="shared" si="10"/>
        <v>0804053004М000244</v>
      </c>
    </row>
    <row r="638" spans="1:8" ht="114.75" x14ac:dyDescent="0.2">
      <c r="A638" s="190" t="s">
        <v>1016</v>
      </c>
      <c r="B638" s="256" t="s">
        <v>246</v>
      </c>
      <c r="C638" s="256" t="s">
        <v>442</v>
      </c>
      <c r="D638" s="256" t="s">
        <v>1017</v>
      </c>
      <c r="E638" s="256" t="s">
        <v>1314</v>
      </c>
      <c r="F638" s="195">
        <v>230000</v>
      </c>
      <c r="G638" s="195">
        <v>230000</v>
      </c>
      <c r="H638" s="143" t="str">
        <f t="shared" si="10"/>
        <v>0804053004Э000</v>
      </c>
    </row>
    <row r="639" spans="1:8" ht="38.25" x14ac:dyDescent="0.2">
      <c r="A639" s="190" t="s">
        <v>1502</v>
      </c>
      <c r="B639" s="256" t="s">
        <v>246</v>
      </c>
      <c r="C639" s="256" t="s">
        <v>442</v>
      </c>
      <c r="D639" s="256" t="s">
        <v>1017</v>
      </c>
      <c r="E639" s="256" t="s">
        <v>1503</v>
      </c>
      <c r="F639" s="195">
        <v>230000</v>
      </c>
      <c r="G639" s="195">
        <v>230000</v>
      </c>
      <c r="H639" s="143" t="str">
        <f t="shared" si="10"/>
        <v>0804053004Э000200</v>
      </c>
    </row>
    <row r="640" spans="1:8" ht="38.25" x14ac:dyDescent="0.2">
      <c r="A640" s="190" t="s">
        <v>1338</v>
      </c>
      <c r="B640" s="256" t="s">
        <v>246</v>
      </c>
      <c r="C640" s="256" t="s">
        <v>442</v>
      </c>
      <c r="D640" s="256" t="s">
        <v>1017</v>
      </c>
      <c r="E640" s="256" t="s">
        <v>1339</v>
      </c>
      <c r="F640" s="195">
        <v>230000</v>
      </c>
      <c r="G640" s="195">
        <v>230000</v>
      </c>
      <c r="H640" s="143" t="str">
        <f t="shared" si="10"/>
        <v>0804053004Э000240</v>
      </c>
    </row>
    <row r="641" spans="1:8" x14ac:dyDescent="0.2">
      <c r="A641" s="190" t="s">
        <v>2024</v>
      </c>
      <c r="B641" s="256" t="s">
        <v>246</v>
      </c>
      <c r="C641" s="256" t="s">
        <v>442</v>
      </c>
      <c r="D641" s="256" t="s">
        <v>1017</v>
      </c>
      <c r="E641" s="256" t="s">
        <v>2025</v>
      </c>
      <c r="F641" s="195">
        <v>230000</v>
      </c>
      <c r="G641" s="195">
        <v>230000</v>
      </c>
      <c r="H641" s="143" t="str">
        <f t="shared" si="10"/>
        <v>0804053004Э000247</v>
      </c>
    </row>
    <row r="642" spans="1:8" x14ac:dyDescent="0.2">
      <c r="A642" s="190" t="s">
        <v>265</v>
      </c>
      <c r="B642" s="256" t="s">
        <v>246</v>
      </c>
      <c r="C642" s="256" t="s">
        <v>1222</v>
      </c>
      <c r="D642" s="256" t="s">
        <v>1314</v>
      </c>
      <c r="E642" s="256" t="s">
        <v>1314</v>
      </c>
      <c r="F642" s="195">
        <v>13871072</v>
      </c>
      <c r="G642" s="195">
        <v>13871072</v>
      </c>
      <c r="H642" s="143" t="str">
        <f t="shared" si="10"/>
        <v>1100</v>
      </c>
    </row>
    <row r="643" spans="1:8" x14ac:dyDescent="0.2">
      <c r="A643" s="190" t="s">
        <v>1384</v>
      </c>
      <c r="B643" s="256" t="s">
        <v>246</v>
      </c>
      <c r="C643" s="256" t="s">
        <v>1385</v>
      </c>
      <c r="D643" s="256" t="s">
        <v>1314</v>
      </c>
      <c r="E643" s="256" t="s">
        <v>1314</v>
      </c>
      <c r="F643" s="195">
        <v>12923842</v>
      </c>
      <c r="G643" s="195">
        <v>12923842</v>
      </c>
      <c r="H643" s="143" t="str">
        <f t="shared" si="10"/>
        <v>1101</v>
      </c>
    </row>
    <row r="644" spans="1:8" ht="38.25" x14ac:dyDescent="0.2">
      <c r="A644" s="190" t="s">
        <v>1542</v>
      </c>
      <c r="B644" s="256" t="s">
        <v>246</v>
      </c>
      <c r="C644" s="256" t="s">
        <v>1385</v>
      </c>
      <c r="D644" s="256" t="s">
        <v>1049</v>
      </c>
      <c r="E644" s="256" t="s">
        <v>1314</v>
      </c>
      <c r="F644" s="195">
        <v>12923842</v>
      </c>
      <c r="G644" s="195">
        <v>12923842</v>
      </c>
      <c r="H644" s="143" t="str">
        <f t="shared" si="10"/>
        <v>11010700000000</v>
      </c>
    </row>
    <row r="645" spans="1:8" ht="25.5" x14ac:dyDescent="0.2">
      <c r="A645" s="190" t="s">
        <v>516</v>
      </c>
      <c r="B645" s="256" t="s">
        <v>246</v>
      </c>
      <c r="C645" s="256" t="s">
        <v>1385</v>
      </c>
      <c r="D645" s="256" t="s">
        <v>1050</v>
      </c>
      <c r="E645" s="256" t="s">
        <v>1314</v>
      </c>
      <c r="F645" s="195">
        <v>12923842</v>
      </c>
      <c r="G645" s="195">
        <v>12923842</v>
      </c>
      <c r="H645" s="143" t="str">
        <f t="shared" si="10"/>
        <v>11010710000000</v>
      </c>
    </row>
    <row r="646" spans="1:8" ht="140.25" x14ac:dyDescent="0.2">
      <c r="A646" s="190" t="s">
        <v>1317</v>
      </c>
      <c r="B646" s="256" t="s">
        <v>246</v>
      </c>
      <c r="C646" s="256" t="s">
        <v>1385</v>
      </c>
      <c r="D646" s="256" t="s">
        <v>1318</v>
      </c>
      <c r="E646" s="256" t="s">
        <v>1314</v>
      </c>
      <c r="F646" s="195">
        <v>8443842</v>
      </c>
      <c r="G646" s="195">
        <v>8443842</v>
      </c>
      <c r="H646" s="143" t="str">
        <f t="shared" si="10"/>
        <v>11010710040000</v>
      </c>
    </row>
    <row r="647" spans="1:8" ht="38.25" x14ac:dyDescent="0.2">
      <c r="A647" s="190" t="s">
        <v>1510</v>
      </c>
      <c r="B647" s="256" t="s">
        <v>246</v>
      </c>
      <c r="C647" s="256" t="s">
        <v>1385</v>
      </c>
      <c r="D647" s="256" t="s">
        <v>1318</v>
      </c>
      <c r="E647" s="256" t="s">
        <v>1511</v>
      </c>
      <c r="F647" s="195">
        <v>8443842</v>
      </c>
      <c r="G647" s="195">
        <v>8443842</v>
      </c>
      <c r="H647" s="143" t="str">
        <f t="shared" si="10"/>
        <v>11010710040000600</v>
      </c>
    </row>
    <row r="648" spans="1:8" x14ac:dyDescent="0.2">
      <c r="A648" s="190" t="s">
        <v>1340</v>
      </c>
      <c r="B648" s="256" t="s">
        <v>246</v>
      </c>
      <c r="C648" s="256" t="s">
        <v>1385</v>
      </c>
      <c r="D648" s="256" t="s">
        <v>1318</v>
      </c>
      <c r="E648" s="256" t="s">
        <v>1341</v>
      </c>
      <c r="F648" s="195">
        <v>8443842</v>
      </c>
      <c r="G648" s="195">
        <v>8443842</v>
      </c>
      <c r="H648" s="143" t="str">
        <f t="shared" si="10"/>
        <v>11010710040000610</v>
      </c>
    </row>
    <row r="649" spans="1:8" ht="76.5" x14ac:dyDescent="0.2">
      <c r="A649" s="190" t="s">
        <v>387</v>
      </c>
      <c r="B649" s="256" t="s">
        <v>246</v>
      </c>
      <c r="C649" s="256" t="s">
        <v>1385</v>
      </c>
      <c r="D649" s="256" t="s">
        <v>1318</v>
      </c>
      <c r="E649" s="256" t="s">
        <v>388</v>
      </c>
      <c r="F649" s="195">
        <v>8443842</v>
      </c>
      <c r="G649" s="195">
        <v>8443842</v>
      </c>
      <c r="H649" s="143" t="str">
        <f t="shared" si="10"/>
        <v>11010710040000611</v>
      </c>
    </row>
    <row r="650" spans="1:8" ht="178.5" x14ac:dyDescent="0.2">
      <c r="A650" s="190" t="s">
        <v>1319</v>
      </c>
      <c r="B650" s="256" t="s">
        <v>246</v>
      </c>
      <c r="C650" s="256" t="s">
        <v>1385</v>
      </c>
      <c r="D650" s="256" t="s">
        <v>1320</v>
      </c>
      <c r="E650" s="256" t="s">
        <v>1314</v>
      </c>
      <c r="F650" s="195">
        <v>2000000</v>
      </c>
      <c r="G650" s="195">
        <v>2000000</v>
      </c>
      <c r="H650" s="143" t="str">
        <f t="shared" si="10"/>
        <v>11010710041000</v>
      </c>
    </row>
    <row r="651" spans="1:8" ht="38.25" x14ac:dyDescent="0.2">
      <c r="A651" s="190" t="s">
        <v>1510</v>
      </c>
      <c r="B651" s="256" t="s">
        <v>246</v>
      </c>
      <c r="C651" s="256" t="s">
        <v>1385</v>
      </c>
      <c r="D651" s="256" t="s">
        <v>1320</v>
      </c>
      <c r="E651" s="256" t="s">
        <v>1511</v>
      </c>
      <c r="F651" s="195">
        <v>2000000</v>
      </c>
      <c r="G651" s="195">
        <v>2000000</v>
      </c>
      <c r="H651" s="143" t="str">
        <f t="shared" si="10"/>
        <v>11010710041000600</v>
      </c>
    </row>
    <row r="652" spans="1:8" x14ac:dyDescent="0.2">
      <c r="A652" s="190" t="s">
        <v>1340</v>
      </c>
      <c r="B652" s="256" t="s">
        <v>246</v>
      </c>
      <c r="C652" s="256" t="s">
        <v>1385</v>
      </c>
      <c r="D652" s="256" t="s">
        <v>1320</v>
      </c>
      <c r="E652" s="256" t="s">
        <v>1341</v>
      </c>
      <c r="F652" s="195">
        <v>2000000</v>
      </c>
      <c r="G652" s="195">
        <v>2000000</v>
      </c>
      <c r="H652" s="143" t="str">
        <f t="shared" si="10"/>
        <v>11010710041000610</v>
      </c>
    </row>
    <row r="653" spans="1:8" ht="76.5" x14ac:dyDescent="0.2">
      <c r="A653" s="190" t="s">
        <v>387</v>
      </c>
      <c r="B653" s="256" t="s">
        <v>246</v>
      </c>
      <c r="C653" s="256" t="s">
        <v>1385</v>
      </c>
      <c r="D653" s="256" t="s">
        <v>1320</v>
      </c>
      <c r="E653" s="256" t="s">
        <v>388</v>
      </c>
      <c r="F653" s="195">
        <v>2000000</v>
      </c>
      <c r="G653" s="195">
        <v>2000000</v>
      </c>
      <c r="H653" s="143" t="str">
        <f t="shared" si="10"/>
        <v>11010710041000611</v>
      </c>
    </row>
    <row r="654" spans="1:8" ht="127.5" x14ac:dyDescent="0.2">
      <c r="A654" s="190" t="s">
        <v>1321</v>
      </c>
      <c r="B654" s="256" t="s">
        <v>246</v>
      </c>
      <c r="C654" s="256" t="s">
        <v>1385</v>
      </c>
      <c r="D654" s="256" t="s">
        <v>1322</v>
      </c>
      <c r="E654" s="256" t="s">
        <v>1314</v>
      </c>
      <c r="F654" s="195">
        <v>50000</v>
      </c>
      <c r="G654" s="195">
        <v>50000</v>
      </c>
      <c r="H654" s="143" t="str">
        <f t="shared" si="10"/>
        <v>11010710047000</v>
      </c>
    </row>
    <row r="655" spans="1:8" ht="38.25" x14ac:dyDescent="0.2">
      <c r="A655" s="190" t="s">
        <v>1510</v>
      </c>
      <c r="B655" s="256" t="s">
        <v>246</v>
      </c>
      <c r="C655" s="256" t="s">
        <v>1385</v>
      </c>
      <c r="D655" s="256" t="s">
        <v>1322</v>
      </c>
      <c r="E655" s="256" t="s">
        <v>1511</v>
      </c>
      <c r="F655" s="195">
        <v>50000</v>
      </c>
      <c r="G655" s="195">
        <v>50000</v>
      </c>
      <c r="H655" s="143" t="str">
        <f t="shared" si="10"/>
        <v>11010710047000600</v>
      </c>
    </row>
    <row r="656" spans="1:8" x14ac:dyDescent="0.2">
      <c r="A656" s="190" t="s">
        <v>1340</v>
      </c>
      <c r="B656" s="256" t="s">
        <v>246</v>
      </c>
      <c r="C656" s="256" t="s">
        <v>1385</v>
      </c>
      <c r="D656" s="256" t="s">
        <v>1322</v>
      </c>
      <c r="E656" s="256" t="s">
        <v>1341</v>
      </c>
      <c r="F656" s="195">
        <v>50000</v>
      </c>
      <c r="G656" s="195">
        <v>50000</v>
      </c>
      <c r="H656" s="143" t="str">
        <f t="shared" si="10"/>
        <v>11010710047000610</v>
      </c>
    </row>
    <row r="657" spans="1:8" ht="25.5" x14ac:dyDescent="0.2">
      <c r="A657" s="190" t="s">
        <v>406</v>
      </c>
      <c r="B657" s="256" t="s">
        <v>246</v>
      </c>
      <c r="C657" s="256" t="s">
        <v>1385</v>
      </c>
      <c r="D657" s="256" t="s">
        <v>1322</v>
      </c>
      <c r="E657" s="256" t="s">
        <v>407</v>
      </c>
      <c r="F657" s="195">
        <v>50000</v>
      </c>
      <c r="G657" s="195">
        <v>50000</v>
      </c>
      <c r="H657" s="143" t="str">
        <f t="shared" si="10"/>
        <v>11010710047000612</v>
      </c>
    </row>
    <row r="658" spans="1:8" ht="127.5" x14ac:dyDescent="0.2">
      <c r="A658" s="190" t="s">
        <v>1323</v>
      </c>
      <c r="B658" s="256" t="s">
        <v>246</v>
      </c>
      <c r="C658" s="256" t="s">
        <v>1385</v>
      </c>
      <c r="D658" s="256" t="s">
        <v>1324</v>
      </c>
      <c r="E658" s="256" t="s">
        <v>1314</v>
      </c>
      <c r="F658" s="195">
        <v>1000000</v>
      </c>
      <c r="G658" s="195">
        <v>1000000</v>
      </c>
      <c r="H658" s="143" t="str">
        <f t="shared" si="10"/>
        <v>1101071004Г000</v>
      </c>
    </row>
    <row r="659" spans="1:8" ht="38.25" x14ac:dyDescent="0.2">
      <c r="A659" s="190" t="s">
        <v>1510</v>
      </c>
      <c r="B659" s="256" t="s">
        <v>246</v>
      </c>
      <c r="C659" s="256" t="s">
        <v>1385</v>
      </c>
      <c r="D659" s="256" t="s">
        <v>1324</v>
      </c>
      <c r="E659" s="256" t="s">
        <v>1511</v>
      </c>
      <c r="F659" s="195">
        <v>1000000</v>
      </c>
      <c r="G659" s="195">
        <v>1000000</v>
      </c>
      <c r="H659" s="143" t="str">
        <f t="shared" si="10"/>
        <v>1101071004Г000600</v>
      </c>
    </row>
    <row r="660" spans="1:8" x14ac:dyDescent="0.2">
      <c r="A660" s="190" t="s">
        <v>1340</v>
      </c>
      <c r="B660" s="256" t="s">
        <v>246</v>
      </c>
      <c r="C660" s="256" t="s">
        <v>1385</v>
      </c>
      <c r="D660" s="256" t="s">
        <v>1324</v>
      </c>
      <c r="E660" s="256" t="s">
        <v>1341</v>
      </c>
      <c r="F660" s="195">
        <v>1000000</v>
      </c>
      <c r="G660" s="195">
        <v>1000000</v>
      </c>
      <c r="H660" s="143" t="str">
        <f t="shared" si="10"/>
        <v>1101071004Г000610</v>
      </c>
    </row>
    <row r="661" spans="1:8" ht="76.5" x14ac:dyDescent="0.2">
      <c r="A661" s="190" t="s">
        <v>387</v>
      </c>
      <c r="B661" s="256" t="s">
        <v>246</v>
      </c>
      <c r="C661" s="256" t="s">
        <v>1385</v>
      </c>
      <c r="D661" s="256" t="s">
        <v>1324</v>
      </c>
      <c r="E661" s="256" t="s">
        <v>388</v>
      </c>
      <c r="F661" s="195">
        <v>1000000</v>
      </c>
      <c r="G661" s="195">
        <v>1000000</v>
      </c>
      <c r="H661" s="143" t="str">
        <f t="shared" si="10"/>
        <v>1101071004Г000611</v>
      </c>
    </row>
    <row r="662" spans="1:8" ht="140.25" x14ac:dyDescent="0.2">
      <c r="A662" s="190" t="s">
        <v>1922</v>
      </c>
      <c r="B662" s="256" t="s">
        <v>246</v>
      </c>
      <c r="C662" s="256" t="s">
        <v>1385</v>
      </c>
      <c r="D662" s="256" t="s">
        <v>1923</v>
      </c>
      <c r="E662" s="256" t="s">
        <v>1314</v>
      </c>
      <c r="F662" s="195">
        <v>30000</v>
      </c>
      <c r="G662" s="195">
        <v>30000</v>
      </c>
      <c r="H662" s="143" t="str">
        <f t="shared" si="10"/>
        <v>1101071004М000</v>
      </c>
    </row>
    <row r="663" spans="1:8" ht="38.25" x14ac:dyDescent="0.2">
      <c r="A663" s="190" t="s">
        <v>1510</v>
      </c>
      <c r="B663" s="256" t="s">
        <v>246</v>
      </c>
      <c r="C663" s="256" t="s">
        <v>1385</v>
      </c>
      <c r="D663" s="256" t="s">
        <v>1923</v>
      </c>
      <c r="E663" s="256" t="s">
        <v>1511</v>
      </c>
      <c r="F663" s="195">
        <v>30000</v>
      </c>
      <c r="G663" s="195">
        <v>30000</v>
      </c>
      <c r="H663" s="143" t="str">
        <f t="shared" si="10"/>
        <v>1101071004М000600</v>
      </c>
    </row>
    <row r="664" spans="1:8" x14ac:dyDescent="0.2">
      <c r="A664" s="190" t="s">
        <v>1340</v>
      </c>
      <c r="B664" s="256" t="s">
        <v>246</v>
      </c>
      <c r="C664" s="256" t="s">
        <v>1385</v>
      </c>
      <c r="D664" s="256" t="s">
        <v>1923</v>
      </c>
      <c r="E664" s="256" t="s">
        <v>1341</v>
      </c>
      <c r="F664" s="195">
        <v>30000</v>
      </c>
      <c r="G664" s="195">
        <v>30000</v>
      </c>
      <c r="H664" s="143" t="str">
        <f t="shared" si="10"/>
        <v>1101071004М000610</v>
      </c>
    </row>
    <row r="665" spans="1:8" ht="76.5" x14ac:dyDescent="0.2">
      <c r="A665" s="190" t="s">
        <v>387</v>
      </c>
      <c r="B665" s="256" t="s">
        <v>246</v>
      </c>
      <c r="C665" s="256" t="s">
        <v>1385</v>
      </c>
      <c r="D665" s="256" t="s">
        <v>1923</v>
      </c>
      <c r="E665" s="256" t="s">
        <v>388</v>
      </c>
      <c r="F665" s="195">
        <v>30000</v>
      </c>
      <c r="G665" s="195">
        <v>30000</v>
      </c>
      <c r="H665" s="143" t="str">
        <f t="shared" si="10"/>
        <v>1101071004М000611</v>
      </c>
    </row>
    <row r="666" spans="1:8" ht="114.75" x14ac:dyDescent="0.2">
      <c r="A666" s="190" t="s">
        <v>1325</v>
      </c>
      <c r="B666" s="256" t="s">
        <v>246</v>
      </c>
      <c r="C666" s="256" t="s">
        <v>1385</v>
      </c>
      <c r="D666" s="256" t="s">
        <v>1326</v>
      </c>
      <c r="E666" s="256" t="s">
        <v>1314</v>
      </c>
      <c r="F666" s="195">
        <v>500000</v>
      </c>
      <c r="G666" s="195">
        <v>500000</v>
      </c>
      <c r="H666" s="143" t="str">
        <f t="shared" si="10"/>
        <v>1101071004Э000</v>
      </c>
    </row>
    <row r="667" spans="1:8" ht="38.25" x14ac:dyDescent="0.2">
      <c r="A667" s="190" t="s">
        <v>1510</v>
      </c>
      <c r="B667" s="256" t="s">
        <v>246</v>
      </c>
      <c r="C667" s="256" t="s">
        <v>1385</v>
      </c>
      <c r="D667" s="256" t="s">
        <v>1326</v>
      </c>
      <c r="E667" s="256" t="s">
        <v>1511</v>
      </c>
      <c r="F667" s="195">
        <v>500000</v>
      </c>
      <c r="G667" s="195">
        <v>500000</v>
      </c>
      <c r="H667" s="143" t="str">
        <f t="shared" si="10"/>
        <v>1101071004Э000600</v>
      </c>
    </row>
    <row r="668" spans="1:8" x14ac:dyDescent="0.2">
      <c r="A668" s="190" t="s">
        <v>1340</v>
      </c>
      <c r="B668" s="256" t="s">
        <v>246</v>
      </c>
      <c r="C668" s="256" t="s">
        <v>1385</v>
      </c>
      <c r="D668" s="256" t="s">
        <v>1326</v>
      </c>
      <c r="E668" s="256" t="s">
        <v>1341</v>
      </c>
      <c r="F668" s="195">
        <v>500000</v>
      </c>
      <c r="G668" s="195">
        <v>500000</v>
      </c>
      <c r="H668" s="143" t="str">
        <f t="shared" si="10"/>
        <v>1101071004Э000610</v>
      </c>
    </row>
    <row r="669" spans="1:8" ht="76.5" x14ac:dyDescent="0.2">
      <c r="A669" s="190" t="s">
        <v>387</v>
      </c>
      <c r="B669" s="256" t="s">
        <v>246</v>
      </c>
      <c r="C669" s="256" t="s">
        <v>1385</v>
      </c>
      <c r="D669" s="256" t="s">
        <v>1326</v>
      </c>
      <c r="E669" s="256" t="s">
        <v>388</v>
      </c>
      <c r="F669" s="195">
        <v>500000</v>
      </c>
      <c r="G669" s="195">
        <v>500000</v>
      </c>
      <c r="H669" s="143" t="str">
        <f t="shared" si="10"/>
        <v>1101071004Э000611</v>
      </c>
    </row>
    <row r="670" spans="1:8" ht="102" x14ac:dyDescent="0.2">
      <c r="A670" s="190" t="s">
        <v>1327</v>
      </c>
      <c r="B670" s="256" t="s">
        <v>246</v>
      </c>
      <c r="C670" s="256" t="s">
        <v>1385</v>
      </c>
      <c r="D670" s="256" t="s">
        <v>1328</v>
      </c>
      <c r="E670" s="256" t="s">
        <v>1314</v>
      </c>
      <c r="F670" s="195">
        <v>900000</v>
      </c>
      <c r="G670" s="195">
        <v>900000</v>
      </c>
      <c r="H670" s="143" t="str">
        <f t="shared" si="10"/>
        <v>110107100Ч0020</v>
      </c>
    </row>
    <row r="671" spans="1:8" ht="38.25" x14ac:dyDescent="0.2">
      <c r="A671" s="190" t="s">
        <v>1510</v>
      </c>
      <c r="B671" s="256" t="s">
        <v>246</v>
      </c>
      <c r="C671" s="256" t="s">
        <v>1385</v>
      </c>
      <c r="D671" s="256" t="s">
        <v>1328</v>
      </c>
      <c r="E671" s="256" t="s">
        <v>1511</v>
      </c>
      <c r="F671" s="195">
        <v>900000</v>
      </c>
      <c r="G671" s="195">
        <v>900000</v>
      </c>
      <c r="H671" s="143" t="str">
        <f t="shared" si="10"/>
        <v>110107100Ч0020600</v>
      </c>
    </row>
    <row r="672" spans="1:8" x14ac:dyDescent="0.2">
      <c r="A672" s="190" t="s">
        <v>1340</v>
      </c>
      <c r="B672" s="256" t="s">
        <v>246</v>
      </c>
      <c r="C672" s="256" t="s">
        <v>1385</v>
      </c>
      <c r="D672" s="256" t="s">
        <v>1328</v>
      </c>
      <c r="E672" s="256" t="s">
        <v>1341</v>
      </c>
      <c r="F672" s="195">
        <v>900000</v>
      </c>
      <c r="G672" s="195">
        <v>900000</v>
      </c>
      <c r="H672" s="143" t="str">
        <f t="shared" si="10"/>
        <v>110107100Ч0020610</v>
      </c>
    </row>
    <row r="673" spans="1:8" ht="76.5" x14ac:dyDescent="0.2">
      <c r="A673" s="190" t="s">
        <v>387</v>
      </c>
      <c r="B673" s="256" t="s">
        <v>246</v>
      </c>
      <c r="C673" s="256" t="s">
        <v>1385</v>
      </c>
      <c r="D673" s="256" t="s">
        <v>1328</v>
      </c>
      <c r="E673" s="256" t="s">
        <v>388</v>
      </c>
      <c r="F673" s="195">
        <v>900000</v>
      </c>
      <c r="G673" s="195">
        <v>900000</v>
      </c>
      <c r="H673" s="143" t="str">
        <f t="shared" si="10"/>
        <v>110107100Ч0020611</v>
      </c>
    </row>
    <row r="674" spans="1:8" x14ac:dyDescent="0.2">
      <c r="A674" s="190" t="s">
        <v>226</v>
      </c>
      <c r="B674" s="256" t="s">
        <v>246</v>
      </c>
      <c r="C674" s="256" t="s">
        <v>421</v>
      </c>
      <c r="D674" s="256" t="s">
        <v>1314</v>
      </c>
      <c r="E674" s="256" t="s">
        <v>1314</v>
      </c>
      <c r="F674" s="195">
        <v>947230</v>
      </c>
      <c r="G674" s="195">
        <v>947230</v>
      </c>
      <c r="H674" s="143" t="str">
        <f t="shared" si="10"/>
        <v>1102</v>
      </c>
    </row>
    <row r="675" spans="1:8" ht="38.25" x14ac:dyDescent="0.2">
      <c r="A675" s="190" t="s">
        <v>1542</v>
      </c>
      <c r="B675" s="256" t="s">
        <v>246</v>
      </c>
      <c r="C675" s="256" t="s">
        <v>421</v>
      </c>
      <c r="D675" s="256" t="s">
        <v>1049</v>
      </c>
      <c r="E675" s="256" t="s">
        <v>1314</v>
      </c>
      <c r="F675" s="195">
        <v>947230</v>
      </c>
      <c r="G675" s="195">
        <v>947230</v>
      </c>
      <c r="H675" s="143" t="str">
        <f t="shared" si="10"/>
        <v>11020700000000</v>
      </c>
    </row>
    <row r="676" spans="1:8" ht="25.5" x14ac:dyDescent="0.2">
      <c r="A676" s="190" t="s">
        <v>516</v>
      </c>
      <c r="B676" s="256" t="s">
        <v>246</v>
      </c>
      <c r="C676" s="256" t="s">
        <v>421</v>
      </c>
      <c r="D676" s="256" t="s">
        <v>1050</v>
      </c>
      <c r="E676" s="256" t="s">
        <v>1314</v>
      </c>
      <c r="F676" s="195">
        <v>747230</v>
      </c>
      <c r="G676" s="195">
        <v>747230</v>
      </c>
      <c r="H676" s="143" t="str">
        <f t="shared" si="10"/>
        <v>11020710000000</v>
      </c>
    </row>
    <row r="677" spans="1:8" x14ac:dyDescent="0.2">
      <c r="A677" s="256" t="s">
        <v>423</v>
      </c>
      <c r="B677" s="256" t="s">
        <v>246</v>
      </c>
      <c r="C677" s="256" t="s">
        <v>421</v>
      </c>
      <c r="D677" s="256" t="s">
        <v>746</v>
      </c>
      <c r="E677" s="256" t="s">
        <v>1314</v>
      </c>
      <c r="F677" s="195">
        <v>747230</v>
      </c>
      <c r="G677" s="195">
        <v>747230</v>
      </c>
      <c r="H677" s="143" t="str">
        <f t="shared" si="10"/>
        <v>11020710080020</v>
      </c>
    </row>
    <row r="678" spans="1:8" x14ac:dyDescent="0.2">
      <c r="A678" s="5" t="s">
        <v>1510</v>
      </c>
      <c r="B678" s="256" t="s">
        <v>246</v>
      </c>
      <c r="C678" s="256" t="s">
        <v>421</v>
      </c>
      <c r="D678" s="256" t="s">
        <v>746</v>
      </c>
      <c r="E678" s="256" t="s">
        <v>1511</v>
      </c>
      <c r="F678" s="195">
        <v>747230</v>
      </c>
      <c r="G678" s="195">
        <v>747230</v>
      </c>
      <c r="H678" s="143" t="str">
        <f t="shared" ref="H678:H741" si="11">CONCATENATE(C678,,D678,E678)</f>
        <v>11020710080020600</v>
      </c>
    </row>
    <row r="679" spans="1:8" x14ac:dyDescent="0.2">
      <c r="A679" s="190" t="s">
        <v>1340</v>
      </c>
      <c r="B679" s="256" t="s">
        <v>246</v>
      </c>
      <c r="C679" s="256" t="s">
        <v>421</v>
      </c>
      <c r="D679" s="256" t="s">
        <v>746</v>
      </c>
      <c r="E679" s="256" t="s">
        <v>1341</v>
      </c>
      <c r="F679" s="195">
        <v>747230</v>
      </c>
      <c r="G679" s="195">
        <v>747230</v>
      </c>
      <c r="H679" s="143" t="str">
        <f t="shared" si="11"/>
        <v>11020710080020610</v>
      </c>
    </row>
    <row r="680" spans="1:8" ht="25.5" x14ac:dyDescent="0.2">
      <c r="A680" s="190" t="s">
        <v>406</v>
      </c>
      <c r="B680" s="256" t="s">
        <v>246</v>
      </c>
      <c r="C680" s="256" t="s">
        <v>421</v>
      </c>
      <c r="D680" s="256" t="s">
        <v>746</v>
      </c>
      <c r="E680" s="256" t="s">
        <v>407</v>
      </c>
      <c r="F680" s="195">
        <v>747230</v>
      </c>
      <c r="G680" s="195">
        <v>747230</v>
      </c>
      <c r="H680" s="143" t="str">
        <f t="shared" si="11"/>
        <v>11020710080020612</v>
      </c>
    </row>
    <row r="681" spans="1:8" ht="25.5" x14ac:dyDescent="0.2">
      <c r="A681" s="190" t="s">
        <v>518</v>
      </c>
      <c r="B681" s="256" t="s">
        <v>246</v>
      </c>
      <c r="C681" s="256" t="s">
        <v>421</v>
      </c>
      <c r="D681" s="256" t="s">
        <v>1051</v>
      </c>
      <c r="E681" s="256" t="s">
        <v>1314</v>
      </c>
      <c r="F681" s="195">
        <v>200000</v>
      </c>
      <c r="G681" s="195">
        <v>200000</v>
      </c>
      <c r="H681" s="143" t="str">
        <f t="shared" si="11"/>
        <v>11020720000000</v>
      </c>
    </row>
    <row r="682" spans="1:8" ht="102" x14ac:dyDescent="0.2">
      <c r="A682" s="190" t="s">
        <v>546</v>
      </c>
      <c r="B682" s="256" t="s">
        <v>246</v>
      </c>
      <c r="C682" s="256" t="s">
        <v>421</v>
      </c>
      <c r="D682" s="256" t="s">
        <v>747</v>
      </c>
      <c r="E682" s="256" t="s">
        <v>1314</v>
      </c>
      <c r="F682" s="195">
        <v>16900</v>
      </c>
      <c r="G682" s="195">
        <v>16900</v>
      </c>
      <c r="H682" s="143" t="str">
        <f t="shared" si="11"/>
        <v>11020720080010</v>
      </c>
    </row>
    <row r="683" spans="1:8" ht="38.25" x14ac:dyDescent="0.2">
      <c r="A683" s="190" t="s">
        <v>1510</v>
      </c>
      <c r="B683" s="256" t="s">
        <v>246</v>
      </c>
      <c r="C683" s="256" t="s">
        <v>421</v>
      </c>
      <c r="D683" s="256" t="s">
        <v>747</v>
      </c>
      <c r="E683" s="256" t="s">
        <v>1511</v>
      </c>
      <c r="F683" s="195">
        <v>16900</v>
      </c>
      <c r="G683" s="195">
        <v>16900</v>
      </c>
      <c r="H683" s="143" t="str">
        <f t="shared" si="11"/>
        <v>11020720080010600</v>
      </c>
    </row>
    <row r="684" spans="1:8" x14ac:dyDescent="0.2">
      <c r="A684" s="190" t="s">
        <v>1340</v>
      </c>
      <c r="B684" s="256" t="s">
        <v>246</v>
      </c>
      <c r="C684" s="256" t="s">
        <v>421</v>
      </c>
      <c r="D684" s="256" t="s">
        <v>747</v>
      </c>
      <c r="E684" s="256" t="s">
        <v>1341</v>
      </c>
      <c r="F684" s="195">
        <v>16900</v>
      </c>
      <c r="G684" s="195">
        <v>16900</v>
      </c>
      <c r="H684" s="143" t="str">
        <f t="shared" si="11"/>
        <v>11020720080010610</v>
      </c>
    </row>
    <row r="685" spans="1:8" ht="25.5" x14ac:dyDescent="0.2">
      <c r="A685" s="190" t="s">
        <v>406</v>
      </c>
      <c r="B685" s="256" t="s">
        <v>246</v>
      </c>
      <c r="C685" s="256" t="s">
        <v>421</v>
      </c>
      <c r="D685" s="256" t="s">
        <v>747</v>
      </c>
      <c r="E685" s="256" t="s">
        <v>407</v>
      </c>
      <c r="F685" s="195">
        <v>16900</v>
      </c>
      <c r="G685" s="195">
        <v>16900</v>
      </c>
      <c r="H685" s="143" t="str">
        <f t="shared" si="11"/>
        <v>11020720080010612</v>
      </c>
    </row>
    <row r="686" spans="1:8" ht="76.5" x14ac:dyDescent="0.2">
      <c r="A686" s="190" t="s">
        <v>424</v>
      </c>
      <c r="B686" s="256" t="s">
        <v>246</v>
      </c>
      <c r="C686" s="256" t="s">
        <v>421</v>
      </c>
      <c r="D686" s="256" t="s">
        <v>748</v>
      </c>
      <c r="E686" s="256" t="s">
        <v>1314</v>
      </c>
      <c r="F686" s="195">
        <v>176400</v>
      </c>
      <c r="G686" s="195">
        <v>176400</v>
      </c>
      <c r="H686" s="143" t="str">
        <f t="shared" si="11"/>
        <v>11020720080020</v>
      </c>
    </row>
    <row r="687" spans="1:8" ht="38.25" x14ac:dyDescent="0.2">
      <c r="A687" s="190" t="s">
        <v>1510</v>
      </c>
      <c r="B687" s="256" t="s">
        <v>246</v>
      </c>
      <c r="C687" s="256" t="s">
        <v>421</v>
      </c>
      <c r="D687" s="256" t="s">
        <v>748</v>
      </c>
      <c r="E687" s="256" t="s">
        <v>1511</v>
      </c>
      <c r="F687" s="195">
        <v>176400</v>
      </c>
      <c r="G687" s="195">
        <v>176400</v>
      </c>
      <c r="H687" s="143" t="str">
        <f t="shared" si="11"/>
        <v>11020720080020600</v>
      </c>
    </row>
    <row r="688" spans="1:8" x14ac:dyDescent="0.2">
      <c r="A688" s="190" t="s">
        <v>1340</v>
      </c>
      <c r="B688" s="256" t="s">
        <v>246</v>
      </c>
      <c r="C688" s="256" t="s">
        <v>421</v>
      </c>
      <c r="D688" s="256" t="s">
        <v>748</v>
      </c>
      <c r="E688" s="256" t="s">
        <v>1341</v>
      </c>
      <c r="F688" s="195">
        <v>176400</v>
      </c>
      <c r="G688" s="195">
        <v>176400</v>
      </c>
      <c r="H688" s="143" t="str">
        <f t="shared" si="11"/>
        <v>11020720080020610</v>
      </c>
    </row>
    <row r="689" spans="1:8" ht="25.5" x14ac:dyDescent="0.2">
      <c r="A689" s="190" t="s">
        <v>406</v>
      </c>
      <c r="B689" s="256" t="s">
        <v>246</v>
      </c>
      <c r="C689" s="256" t="s">
        <v>421</v>
      </c>
      <c r="D689" s="256" t="s">
        <v>748</v>
      </c>
      <c r="E689" s="256" t="s">
        <v>407</v>
      </c>
      <c r="F689" s="195">
        <v>176400</v>
      </c>
      <c r="G689" s="195">
        <v>176400</v>
      </c>
      <c r="H689" s="143" t="str">
        <f t="shared" si="11"/>
        <v>11020720080020612</v>
      </c>
    </row>
    <row r="690" spans="1:8" ht="127.5" x14ac:dyDescent="0.2">
      <c r="A690" s="190" t="s">
        <v>425</v>
      </c>
      <c r="B690" s="256" t="s">
        <v>246</v>
      </c>
      <c r="C690" s="256" t="s">
        <v>421</v>
      </c>
      <c r="D690" s="256" t="s">
        <v>749</v>
      </c>
      <c r="E690" s="256" t="s">
        <v>1314</v>
      </c>
      <c r="F690" s="195">
        <v>6700</v>
      </c>
      <c r="G690" s="195">
        <v>6700</v>
      </c>
      <c r="H690" s="143" t="str">
        <f t="shared" si="11"/>
        <v>11020720080030</v>
      </c>
    </row>
    <row r="691" spans="1:8" ht="38.25" x14ac:dyDescent="0.2">
      <c r="A691" s="190" t="s">
        <v>1510</v>
      </c>
      <c r="B691" s="256" t="s">
        <v>246</v>
      </c>
      <c r="C691" s="256" t="s">
        <v>421</v>
      </c>
      <c r="D691" s="256" t="s">
        <v>749</v>
      </c>
      <c r="E691" s="256" t="s">
        <v>1511</v>
      </c>
      <c r="F691" s="195">
        <v>6700</v>
      </c>
      <c r="G691" s="195">
        <v>6700</v>
      </c>
      <c r="H691" s="143" t="str">
        <f t="shared" si="11"/>
        <v>11020720080030600</v>
      </c>
    </row>
    <row r="692" spans="1:8" x14ac:dyDescent="0.2">
      <c r="A692" s="190" t="s">
        <v>1340</v>
      </c>
      <c r="B692" s="256" t="s">
        <v>246</v>
      </c>
      <c r="C692" s="256" t="s">
        <v>421</v>
      </c>
      <c r="D692" s="256" t="s">
        <v>749</v>
      </c>
      <c r="E692" s="256" t="s">
        <v>1341</v>
      </c>
      <c r="F692" s="195">
        <v>6700</v>
      </c>
      <c r="G692" s="195">
        <v>6700</v>
      </c>
      <c r="H692" s="143" t="str">
        <f t="shared" si="11"/>
        <v>11020720080030610</v>
      </c>
    </row>
    <row r="693" spans="1:8" ht="25.5" x14ac:dyDescent="0.2">
      <c r="A693" s="190" t="s">
        <v>406</v>
      </c>
      <c r="B693" s="256" t="s">
        <v>246</v>
      </c>
      <c r="C693" s="256" t="s">
        <v>421</v>
      </c>
      <c r="D693" s="256" t="s">
        <v>749</v>
      </c>
      <c r="E693" s="256" t="s">
        <v>407</v>
      </c>
      <c r="F693" s="195">
        <v>6700</v>
      </c>
      <c r="G693" s="195">
        <v>6700</v>
      </c>
      <c r="H693" s="143" t="str">
        <f t="shared" si="11"/>
        <v>11020720080030612</v>
      </c>
    </row>
    <row r="694" spans="1:8" ht="25.5" x14ac:dyDescent="0.2">
      <c r="A694" s="190" t="s">
        <v>199</v>
      </c>
      <c r="B694" s="256" t="s">
        <v>68</v>
      </c>
      <c r="C694" s="256" t="s">
        <v>1314</v>
      </c>
      <c r="D694" s="256" t="s">
        <v>1314</v>
      </c>
      <c r="E694" s="256" t="s">
        <v>1314</v>
      </c>
      <c r="F694" s="195">
        <v>2447555</v>
      </c>
      <c r="G694" s="195">
        <v>4785755</v>
      </c>
      <c r="H694" s="143" t="str">
        <f t="shared" si="11"/>
        <v/>
      </c>
    </row>
    <row r="695" spans="1:8" ht="25.5" x14ac:dyDescent="0.2">
      <c r="A695" s="190" t="s">
        <v>255</v>
      </c>
      <c r="B695" s="256" t="s">
        <v>68</v>
      </c>
      <c r="C695" s="256" t="s">
        <v>1219</v>
      </c>
      <c r="D695" s="256" t="s">
        <v>1314</v>
      </c>
      <c r="E695" s="256" t="s">
        <v>1314</v>
      </c>
      <c r="F695" s="195">
        <v>792955</v>
      </c>
      <c r="G695" s="195">
        <v>792955</v>
      </c>
      <c r="H695" s="143" t="str">
        <f t="shared" si="11"/>
        <v>0500</v>
      </c>
    </row>
    <row r="696" spans="1:8" x14ac:dyDescent="0.2">
      <c r="A696" s="190" t="s">
        <v>3</v>
      </c>
      <c r="B696" s="256" t="s">
        <v>68</v>
      </c>
      <c r="C696" s="256" t="s">
        <v>426</v>
      </c>
      <c r="D696" s="256" t="s">
        <v>1314</v>
      </c>
      <c r="E696" s="256" t="s">
        <v>1314</v>
      </c>
      <c r="F696" s="195">
        <v>792955</v>
      </c>
      <c r="G696" s="195">
        <v>792955</v>
      </c>
      <c r="H696" s="143" t="str">
        <f t="shared" si="11"/>
        <v>0501</v>
      </c>
    </row>
    <row r="697" spans="1:8" ht="63.75" x14ac:dyDescent="0.2">
      <c r="A697" s="190" t="s">
        <v>493</v>
      </c>
      <c r="B697" s="256" t="s">
        <v>68</v>
      </c>
      <c r="C697" s="256" t="s">
        <v>426</v>
      </c>
      <c r="D697" s="256" t="s">
        <v>1034</v>
      </c>
      <c r="E697" s="256" t="s">
        <v>1314</v>
      </c>
      <c r="F697" s="195">
        <v>192955</v>
      </c>
      <c r="G697" s="195">
        <v>192955</v>
      </c>
      <c r="H697" s="143" t="str">
        <f t="shared" si="11"/>
        <v>05010300000000</v>
      </c>
    </row>
    <row r="698" spans="1:8" ht="63.75" x14ac:dyDescent="0.2">
      <c r="A698" s="190" t="s">
        <v>639</v>
      </c>
      <c r="B698" s="256" t="s">
        <v>68</v>
      </c>
      <c r="C698" s="256" t="s">
        <v>426</v>
      </c>
      <c r="D698" s="256" t="s">
        <v>1036</v>
      </c>
      <c r="E698" s="256" t="s">
        <v>1314</v>
      </c>
      <c r="F698" s="195">
        <v>192955</v>
      </c>
      <c r="G698" s="195">
        <v>192955</v>
      </c>
      <c r="H698" s="143" t="str">
        <f t="shared" si="11"/>
        <v>05010330000000</v>
      </c>
    </row>
    <row r="699" spans="1:8" ht="127.5" x14ac:dyDescent="0.2">
      <c r="A699" s="190" t="s">
        <v>571</v>
      </c>
      <c r="B699" s="256" t="s">
        <v>68</v>
      </c>
      <c r="C699" s="256" t="s">
        <v>426</v>
      </c>
      <c r="D699" s="256" t="s">
        <v>794</v>
      </c>
      <c r="E699" s="256" t="s">
        <v>1314</v>
      </c>
      <c r="F699" s="195">
        <v>192955</v>
      </c>
      <c r="G699" s="195">
        <v>192955</v>
      </c>
      <c r="H699" s="143" t="str">
        <f t="shared" si="11"/>
        <v>05010330080000</v>
      </c>
    </row>
    <row r="700" spans="1:8" ht="38.25" x14ac:dyDescent="0.2">
      <c r="A700" s="190" t="s">
        <v>1502</v>
      </c>
      <c r="B700" s="256" t="s">
        <v>68</v>
      </c>
      <c r="C700" s="256" t="s">
        <v>426</v>
      </c>
      <c r="D700" s="256" t="s">
        <v>794</v>
      </c>
      <c r="E700" s="256" t="s">
        <v>1503</v>
      </c>
      <c r="F700" s="195">
        <v>192955</v>
      </c>
      <c r="G700" s="195">
        <v>192955</v>
      </c>
      <c r="H700" s="143" t="str">
        <f t="shared" si="11"/>
        <v>05010330080000200</v>
      </c>
    </row>
    <row r="701" spans="1:8" ht="38.25" x14ac:dyDescent="0.2">
      <c r="A701" s="190" t="s">
        <v>1338</v>
      </c>
      <c r="B701" s="256" t="s">
        <v>68</v>
      </c>
      <c r="C701" s="256" t="s">
        <v>426</v>
      </c>
      <c r="D701" s="256" t="s">
        <v>794</v>
      </c>
      <c r="E701" s="256" t="s">
        <v>1339</v>
      </c>
      <c r="F701" s="195">
        <v>192955</v>
      </c>
      <c r="G701" s="195">
        <v>192955</v>
      </c>
      <c r="H701" s="143" t="str">
        <f t="shared" si="11"/>
        <v>05010330080000240</v>
      </c>
    </row>
    <row r="702" spans="1:8" x14ac:dyDescent="0.2">
      <c r="A702" s="190" t="s">
        <v>1379</v>
      </c>
      <c r="B702" s="256" t="s">
        <v>68</v>
      </c>
      <c r="C702" s="256" t="s">
        <v>426</v>
      </c>
      <c r="D702" s="256" t="s">
        <v>794</v>
      </c>
      <c r="E702" s="256" t="s">
        <v>368</v>
      </c>
      <c r="F702" s="195">
        <v>192955</v>
      </c>
      <c r="G702" s="195">
        <v>192955</v>
      </c>
      <c r="H702" s="143" t="str">
        <f t="shared" si="11"/>
        <v>05010330080000244</v>
      </c>
    </row>
    <row r="703" spans="1:8" ht="38.25" x14ac:dyDescent="0.2">
      <c r="A703" s="190" t="s">
        <v>643</v>
      </c>
      <c r="B703" s="256" t="s">
        <v>68</v>
      </c>
      <c r="C703" s="256" t="s">
        <v>426</v>
      </c>
      <c r="D703" s="256" t="s">
        <v>1058</v>
      </c>
      <c r="E703" s="256" t="s">
        <v>1314</v>
      </c>
      <c r="F703" s="195">
        <v>600000</v>
      </c>
      <c r="G703" s="195">
        <v>600000</v>
      </c>
      <c r="H703" s="143" t="str">
        <f t="shared" si="11"/>
        <v>05011000000000</v>
      </c>
    </row>
    <row r="704" spans="1:8" ht="38.25" x14ac:dyDescent="0.2">
      <c r="A704" s="190" t="s">
        <v>644</v>
      </c>
      <c r="B704" s="256" t="s">
        <v>68</v>
      </c>
      <c r="C704" s="256" t="s">
        <v>426</v>
      </c>
      <c r="D704" s="256" t="s">
        <v>1059</v>
      </c>
      <c r="E704" s="256" t="s">
        <v>1314</v>
      </c>
      <c r="F704" s="195">
        <v>600000</v>
      </c>
      <c r="G704" s="195">
        <v>600000</v>
      </c>
      <c r="H704" s="143" t="str">
        <f t="shared" si="11"/>
        <v>05011050000000</v>
      </c>
    </row>
    <row r="705" spans="1:8" ht="89.25" x14ac:dyDescent="0.2">
      <c r="A705" s="190" t="s">
        <v>570</v>
      </c>
      <c r="B705" s="256" t="s">
        <v>68</v>
      </c>
      <c r="C705" s="256" t="s">
        <v>426</v>
      </c>
      <c r="D705" s="256" t="s">
        <v>793</v>
      </c>
      <c r="E705" s="256" t="s">
        <v>1314</v>
      </c>
      <c r="F705" s="195">
        <v>600000</v>
      </c>
      <c r="G705" s="195">
        <v>600000</v>
      </c>
      <c r="H705" s="143" t="str">
        <f t="shared" si="11"/>
        <v>05011050080000</v>
      </c>
    </row>
    <row r="706" spans="1:8" ht="25.5" x14ac:dyDescent="0.2">
      <c r="A706" s="190" t="s">
        <v>1506</v>
      </c>
      <c r="B706" s="256" t="s">
        <v>68</v>
      </c>
      <c r="C706" s="256" t="s">
        <v>426</v>
      </c>
      <c r="D706" s="256" t="s">
        <v>793</v>
      </c>
      <c r="E706" s="256" t="s">
        <v>1507</v>
      </c>
      <c r="F706" s="195">
        <v>600000</v>
      </c>
      <c r="G706" s="195">
        <v>600000</v>
      </c>
      <c r="H706" s="143" t="str">
        <f t="shared" si="11"/>
        <v>05011050080000300</v>
      </c>
    </row>
    <row r="707" spans="1:8" x14ac:dyDescent="0.2">
      <c r="A707" s="190" t="s">
        <v>573</v>
      </c>
      <c r="B707" s="256" t="s">
        <v>68</v>
      </c>
      <c r="C707" s="256" t="s">
        <v>426</v>
      </c>
      <c r="D707" s="256" t="s">
        <v>793</v>
      </c>
      <c r="E707" s="256" t="s">
        <v>574</v>
      </c>
      <c r="F707" s="195">
        <v>600000</v>
      </c>
      <c r="G707" s="195">
        <v>600000</v>
      </c>
      <c r="H707" s="143" t="str">
        <f t="shared" si="11"/>
        <v>05011050080000360</v>
      </c>
    </row>
    <row r="708" spans="1:8" x14ac:dyDescent="0.2">
      <c r="A708" s="190" t="s">
        <v>148</v>
      </c>
      <c r="B708" s="256" t="s">
        <v>68</v>
      </c>
      <c r="C708" s="256" t="s">
        <v>1221</v>
      </c>
      <c r="D708" s="256" t="s">
        <v>1314</v>
      </c>
      <c r="E708" s="256" t="s">
        <v>1314</v>
      </c>
      <c r="F708" s="195">
        <v>1654600</v>
      </c>
      <c r="G708" s="195">
        <v>3992800</v>
      </c>
      <c r="H708" s="143" t="str">
        <f t="shared" si="11"/>
        <v>1000</v>
      </c>
    </row>
    <row r="709" spans="1:8" x14ac:dyDescent="0.2">
      <c r="A709" s="190" t="s">
        <v>19</v>
      </c>
      <c r="B709" s="256" t="s">
        <v>68</v>
      </c>
      <c r="C709" s="256" t="s">
        <v>463</v>
      </c>
      <c r="D709" s="256" t="s">
        <v>1314</v>
      </c>
      <c r="E709" s="256" t="s">
        <v>1314</v>
      </c>
      <c r="F709" s="195">
        <v>1654600</v>
      </c>
      <c r="G709" s="195">
        <v>3992800</v>
      </c>
      <c r="H709" s="143" t="str">
        <f t="shared" si="11"/>
        <v>1004</v>
      </c>
    </row>
    <row r="710" spans="1:8" ht="25.5" x14ac:dyDescent="0.2">
      <c r="A710" s="190" t="s">
        <v>483</v>
      </c>
      <c r="B710" s="256" t="s">
        <v>68</v>
      </c>
      <c r="C710" s="256" t="s">
        <v>463</v>
      </c>
      <c r="D710" s="256" t="s">
        <v>1031</v>
      </c>
      <c r="E710" s="256" t="s">
        <v>1314</v>
      </c>
      <c r="F710" s="195">
        <v>1654600</v>
      </c>
      <c r="G710" s="195">
        <v>3992800</v>
      </c>
      <c r="H710" s="143" t="str">
        <f t="shared" si="11"/>
        <v>10040100000000</v>
      </c>
    </row>
    <row r="711" spans="1:8" ht="51" x14ac:dyDescent="0.2">
      <c r="A711" s="190" t="s">
        <v>486</v>
      </c>
      <c r="B711" s="256" t="s">
        <v>68</v>
      </c>
      <c r="C711" s="256" t="s">
        <v>463</v>
      </c>
      <c r="D711" s="256" t="s">
        <v>1211</v>
      </c>
      <c r="E711" s="256" t="s">
        <v>1314</v>
      </c>
      <c r="F711" s="195">
        <v>1654600</v>
      </c>
      <c r="G711" s="195">
        <v>3992800</v>
      </c>
      <c r="H711" s="143" t="str">
        <f t="shared" si="11"/>
        <v>10040120000000</v>
      </c>
    </row>
    <row r="712" spans="1:8" ht="165.75" x14ac:dyDescent="0.2">
      <c r="A712" s="190" t="s">
        <v>1544</v>
      </c>
      <c r="B712" s="256" t="s">
        <v>68</v>
      </c>
      <c r="C712" s="256" t="s">
        <v>463</v>
      </c>
      <c r="D712" s="256" t="s">
        <v>1545</v>
      </c>
      <c r="E712" s="256" t="s">
        <v>1314</v>
      </c>
      <c r="F712" s="195">
        <v>1654600</v>
      </c>
      <c r="G712" s="195">
        <v>3992800</v>
      </c>
      <c r="H712" s="143" t="str">
        <f t="shared" si="11"/>
        <v>10040120075870</v>
      </c>
    </row>
    <row r="713" spans="1:8" ht="38.25" x14ac:dyDescent="0.2">
      <c r="A713" s="190" t="s">
        <v>1508</v>
      </c>
      <c r="B713" s="256" t="s">
        <v>68</v>
      </c>
      <c r="C713" s="256" t="s">
        <v>463</v>
      </c>
      <c r="D713" s="256" t="s">
        <v>1545</v>
      </c>
      <c r="E713" s="256" t="s">
        <v>1509</v>
      </c>
      <c r="F713" s="195">
        <v>1654600</v>
      </c>
      <c r="G713" s="195">
        <v>3992800</v>
      </c>
      <c r="H713" s="143" t="str">
        <f t="shared" si="11"/>
        <v>10040120075870400</v>
      </c>
    </row>
    <row r="714" spans="1:8" x14ac:dyDescent="0.2">
      <c r="A714" s="190" t="s">
        <v>1349</v>
      </c>
      <c r="B714" s="256" t="s">
        <v>68</v>
      </c>
      <c r="C714" s="256" t="s">
        <v>463</v>
      </c>
      <c r="D714" s="256" t="s">
        <v>1545</v>
      </c>
      <c r="E714" s="256" t="s">
        <v>79</v>
      </c>
      <c r="F714" s="195">
        <v>1654600</v>
      </c>
      <c r="G714" s="195">
        <v>3992800</v>
      </c>
      <c r="H714" s="143" t="str">
        <f t="shared" si="11"/>
        <v>10040120075870410</v>
      </c>
    </row>
    <row r="715" spans="1:8" ht="51" x14ac:dyDescent="0.2">
      <c r="A715" s="190" t="s">
        <v>444</v>
      </c>
      <c r="B715" s="256" t="s">
        <v>68</v>
      </c>
      <c r="C715" s="256" t="s">
        <v>463</v>
      </c>
      <c r="D715" s="256" t="s">
        <v>1545</v>
      </c>
      <c r="E715" s="256" t="s">
        <v>445</v>
      </c>
      <c r="F715" s="195">
        <v>1654600</v>
      </c>
      <c r="G715" s="195">
        <v>3992800</v>
      </c>
      <c r="H715" s="143" t="str">
        <f t="shared" si="11"/>
        <v>10040120075870412</v>
      </c>
    </row>
    <row r="716" spans="1:8" ht="25.5" x14ac:dyDescent="0.2">
      <c r="A716" s="190" t="s">
        <v>271</v>
      </c>
      <c r="B716" s="256" t="s">
        <v>220</v>
      </c>
      <c r="C716" s="256" t="s">
        <v>1314</v>
      </c>
      <c r="D716" s="256" t="s">
        <v>1314</v>
      </c>
      <c r="E716" s="256" t="s">
        <v>1314</v>
      </c>
      <c r="F716" s="195">
        <v>1339885738</v>
      </c>
      <c r="G716" s="195">
        <v>1312455538</v>
      </c>
      <c r="H716" s="143" t="str">
        <f t="shared" si="11"/>
        <v/>
      </c>
    </row>
    <row r="717" spans="1:8" x14ac:dyDescent="0.2">
      <c r="A717" s="190" t="s">
        <v>147</v>
      </c>
      <c r="B717" s="256" t="s">
        <v>220</v>
      </c>
      <c r="C717" s="256" t="s">
        <v>1220</v>
      </c>
      <c r="D717" s="256" t="s">
        <v>1314</v>
      </c>
      <c r="E717" s="256" t="s">
        <v>1314</v>
      </c>
      <c r="F717" s="195">
        <v>1278519838</v>
      </c>
      <c r="G717" s="195">
        <v>1268589338</v>
      </c>
      <c r="H717" s="143" t="str">
        <f t="shared" si="11"/>
        <v>0700</v>
      </c>
    </row>
    <row r="718" spans="1:8" x14ac:dyDescent="0.2">
      <c r="A718" s="190" t="s">
        <v>159</v>
      </c>
      <c r="B718" s="256" t="s">
        <v>220</v>
      </c>
      <c r="C718" s="256" t="s">
        <v>448</v>
      </c>
      <c r="D718" s="256" t="s">
        <v>1314</v>
      </c>
      <c r="E718" s="256" t="s">
        <v>1314</v>
      </c>
      <c r="F718" s="195">
        <v>425879258</v>
      </c>
      <c r="G718" s="195">
        <v>425903858</v>
      </c>
      <c r="H718" s="143" t="str">
        <f t="shared" si="11"/>
        <v>0701</v>
      </c>
    </row>
    <row r="719" spans="1:8" ht="25.5" x14ac:dyDescent="0.2">
      <c r="A719" s="190" t="s">
        <v>483</v>
      </c>
      <c r="B719" s="256" t="s">
        <v>220</v>
      </c>
      <c r="C719" s="256" t="s">
        <v>448</v>
      </c>
      <c r="D719" s="256" t="s">
        <v>1031</v>
      </c>
      <c r="E719" s="256" t="s">
        <v>1314</v>
      </c>
      <c r="F719" s="195">
        <v>425879258</v>
      </c>
      <c r="G719" s="195">
        <v>425903858</v>
      </c>
      <c r="H719" s="143" t="str">
        <f t="shared" si="11"/>
        <v>07010100000000</v>
      </c>
    </row>
    <row r="720" spans="1:8" ht="38.25" x14ac:dyDescent="0.2">
      <c r="A720" s="190" t="s">
        <v>484</v>
      </c>
      <c r="B720" s="256" t="s">
        <v>220</v>
      </c>
      <c r="C720" s="256" t="s">
        <v>448</v>
      </c>
      <c r="D720" s="256" t="s">
        <v>1032</v>
      </c>
      <c r="E720" s="256" t="s">
        <v>1314</v>
      </c>
      <c r="F720" s="195">
        <v>425879258</v>
      </c>
      <c r="G720" s="195">
        <v>425903858</v>
      </c>
      <c r="H720" s="143" t="str">
        <f t="shared" si="11"/>
        <v>07010110000000</v>
      </c>
    </row>
    <row r="721" spans="1:8" ht="140.25" x14ac:dyDescent="0.2">
      <c r="A721" s="190" t="s">
        <v>450</v>
      </c>
      <c r="B721" s="256" t="s">
        <v>220</v>
      </c>
      <c r="C721" s="256" t="s">
        <v>448</v>
      </c>
      <c r="D721" s="256" t="s">
        <v>799</v>
      </c>
      <c r="E721" s="256" t="s">
        <v>1314</v>
      </c>
      <c r="F721" s="195">
        <v>58303817</v>
      </c>
      <c r="G721" s="195">
        <v>58328417</v>
      </c>
      <c r="H721" s="143" t="str">
        <f t="shared" si="11"/>
        <v>07010110040010</v>
      </c>
    </row>
    <row r="722" spans="1:8" ht="76.5" x14ac:dyDescent="0.2">
      <c r="A722" s="190" t="s">
        <v>1501</v>
      </c>
      <c r="B722" s="256" t="s">
        <v>220</v>
      </c>
      <c r="C722" s="256" t="s">
        <v>448</v>
      </c>
      <c r="D722" s="256" t="s">
        <v>799</v>
      </c>
      <c r="E722" s="256" t="s">
        <v>290</v>
      </c>
      <c r="F722" s="195">
        <v>28698517</v>
      </c>
      <c r="G722" s="195">
        <v>28698517</v>
      </c>
      <c r="H722" s="143" t="str">
        <f t="shared" si="11"/>
        <v>07010110040010100</v>
      </c>
    </row>
    <row r="723" spans="1:8" ht="25.5" x14ac:dyDescent="0.2">
      <c r="A723" s="190" t="s">
        <v>1331</v>
      </c>
      <c r="B723" s="256" t="s">
        <v>220</v>
      </c>
      <c r="C723" s="256" t="s">
        <v>448</v>
      </c>
      <c r="D723" s="256" t="s">
        <v>799</v>
      </c>
      <c r="E723" s="256" t="s">
        <v>140</v>
      </c>
      <c r="F723" s="195">
        <v>28698517</v>
      </c>
      <c r="G723" s="195">
        <v>28698517</v>
      </c>
      <c r="H723" s="143" t="str">
        <f t="shared" si="11"/>
        <v>07010110040010110</v>
      </c>
    </row>
    <row r="724" spans="1:8" x14ac:dyDescent="0.2">
      <c r="A724" s="190" t="s">
        <v>1216</v>
      </c>
      <c r="B724" s="256" t="s">
        <v>220</v>
      </c>
      <c r="C724" s="256" t="s">
        <v>448</v>
      </c>
      <c r="D724" s="256" t="s">
        <v>799</v>
      </c>
      <c r="E724" s="256" t="s">
        <v>382</v>
      </c>
      <c r="F724" s="195">
        <v>22098700</v>
      </c>
      <c r="G724" s="195">
        <v>22098700</v>
      </c>
      <c r="H724" s="143" t="str">
        <f t="shared" si="11"/>
        <v>07010110040010111</v>
      </c>
    </row>
    <row r="725" spans="1:8" ht="51" x14ac:dyDescent="0.2">
      <c r="A725" s="190" t="s">
        <v>1217</v>
      </c>
      <c r="B725" s="256" t="s">
        <v>220</v>
      </c>
      <c r="C725" s="256" t="s">
        <v>448</v>
      </c>
      <c r="D725" s="256" t="s">
        <v>799</v>
      </c>
      <c r="E725" s="256" t="s">
        <v>1117</v>
      </c>
      <c r="F725" s="195">
        <v>6599817</v>
      </c>
      <c r="G725" s="195">
        <v>6599817</v>
      </c>
      <c r="H725" s="143" t="str">
        <f t="shared" si="11"/>
        <v>07010110040010119</v>
      </c>
    </row>
    <row r="726" spans="1:8" ht="38.25" x14ac:dyDescent="0.2">
      <c r="A726" s="190" t="s">
        <v>1502</v>
      </c>
      <c r="B726" s="256" t="s">
        <v>220</v>
      </c>
      <c r="C726" s="256" t="s">
        <v>448</v>
      </c>
      <c r="D726" s="256" t="s">
        <v>799</v>
      </c>
      <c r="E726" s="256" t="s">
        <v>1503</v>
      </c>
      <c r="F726" s="195">
        <v>29545300</v>
      </c>
      <c r="G726" s="195">
        <v>29569900</v>
      </c>
      <c r="H726" s="143" t="str">
        <f t="shared" si="11"/>
        <v>07010110040010200</v>
      </c>
    </row>
    <row r="727" spans="1:8" ht="38.25" x14ac:dyDescent="0.2">
      <c r="A727" s="190" t="s">
        <v>1338</v>
      </c>
      <c r="B727" s="256" t="s">
        <v>220</v>
      </c>
      <c r="C727" s="256" t="s">
        <v>448</v>
      </c>
      <c r="D727" s="256" t="s">
        <v>799</v>
      </c>
      <c r="E727" s="256" t="s">
        <v>1339</v>
      </c>
      <c r="F727" s="195">
        <v>29545300</v>
      </c>
      <c r="G727" s="195">
        <v>29569900</v>
      </c>
      <c r="H727" s="143" t="str">
        <f t="shared" si="11"/>
        <v>07010110040010240</v>
      </c>
    </row>
    <row r="728" spans="1:8" x14ac:dyDescent="0.2">
      <c r="A728" s="190" t="s">
        <v>1379</v>
      </c>
      <c r="B728" s="256" t="s">
        <v>220</v>
      </c>
      <c r="C728" s="256" t="s">
        <v>448</v>
      </c>
      <c r="D728" s="256" t="s">
        <v>799</v>
      </c>
      <c r="E728" s="256" t="s">
        <v>368</v>
      </c>
      <c r="F728" s="195">
        <v>29545300</v>
      </c>
      <c r="G728" s="195">
        <v>29569900</v>
      </c>
      <c r="H728" s="143" t="str">
        <f t="shared" si="11"/>
        <v>07010110040010244</v>
      </c>
    </row>
    <row r="729" spans="1:8" x14ac:dyDescent="0.2">
      <c r="A729" s="190" t="s">
        <v>1504</v>
      </c>
      <c r="B729" s="256" t="s">
        <v>220</v>
      </c>
      <c r="C729" s="256" t="s">
        <v>448</v>
      </c>
      <c r="D729" s="256" t="s">
        <v>799</v>
      </c>
      <c r="E729" s="256" t="s">
        <v>1505</v>
      </c>
      <c r="F729" s="195">
        <v>60000</v>
      </c>
      <c r="G729" s="195">
        <v>60000</v>
      </c>
      <c r="H729" s="143" t="str">
        <f t="shared" si="11"/>
        <v>07010110040010800</v>
      </c>
    </row>
    <row r="730" spans="1:8" x14ac:dyDescent="0.2">
      <c r="A730" s="190" t="s">
        <v>1343</v>
      </c>
      <c r="B730" s="256" t="s">
        <v>220</v>
      </c>
      <c r="C730" s="256" t="s">
        <v>448</v>
      </c>
      <c r="D730" s="256" t="s">
        <v>799</v>
      </c>
      <c r="E730" s="256" t="s">
        <v>1344</v>
      </c>
      <c r="F730" s="195">
        <v>60000</v>
      </c>
      <c r="G730" s="195">
        <v>60000</v>
      </c>
      <c r="H730" s="143" t="str">
        <f t="shared" si="11"/>
        <v>07010110040010850</v>
      </c>
    </row>
    <row r="731" spans="1:8" x14ac:dyDescent="0.2">
      <c r="A731" s="190" t="s">
        <v>1118</v>
      </c>
      <c r="B731" s="256" t="s">
        <v>220</v>
      </c>
      <c r="C731" s="256" t="s">
        <v>448</v>
      </c>
      <c r="D731" s="256" t="s">
        <v>799</v>
      </c>
      <c r="E731" s="256" t="s">
        <v>1119</v>
      </c>
      <c r="F731" s="195">
        <v>60000</v>
      </c>
      <c r="G731" s="195">
        <v>60000</v>
      </c>
      <c r="H731" s="143" t="str">
        <f t="shared" si="11"/>
        <v>07010110040010853</v>
      </c>
    </row>
    <row r="732" spans="1:8" ht="191.25" x14ac:dyDescent="0.2">
      <c r="A732" s="190" t="s">
        <v>619</v>
      </c>
      <c r="B732" s="256" t="s">
        <v>220</v>
      </c>
      <c r="C732" s="256" t="s">
        <v>448</v>
      </c>
      <c r="D732" s="256" t="s">
        <v>800</v>
      </c>
      <c r="E732" s="256" t="s">
        <v>1314</v>
      </c>
      <c r="F732" s="195">
        <v>43083180</v>
      </c>
      <c r="G732" s="195">
        <v>43083180</v>
      </c>
      <c r="H732" s="143" t="str">
        <f t="shared" si="11"/>
        <v>07010110041010</v>
      </c>
    </row>
    <row r="733" spans="1:8" ht="76.5" x14ac:dyDescent="0.2">
      <c r="A733" s="190" t="s">
        <v>1501</v>
      </c>
      <c r="B733" s="256" t="s">
        <v>220</v>
      </c>
      <c r="C733" s="256" t="s">
        <v>448</v>
      </c>
      <c r="D733" s="256" t="s">
        <v>800</v>
      </c>
      <c r="E733" s="256" t="s">
        <v>290</v>
      </c>
      <c r="F733" s="195">
        <v>43083180</v>
      </c>
      <c r="G733" s="195">
        <v>43083180</v>
      </c>
      <c r="H733" s="143" t="str">
        <f t="shared" si="11"/>
        <v>07010110041010100</v>
      </c>
    </row>
    <row r="734" spans="1:8" ht="25.5" x14ac:dyDescent="0.2">
      <c r="A734" s="190" t="s">
        <v>1331</v>
      </c>
      <c r="B734" s="256" t="s">
        <v>220</v>
      </c>
      <c r="C734" s="256" t="s">
        <v>448</v>
      </c>
      <c r="D734" s="256" t="s">
        <v>800</v>
      </c>
      <c r="E734" s="256" t="s">
        <v>140</v>
      </c>
      <c r="F734" s="195">
        <v>43083180</v>
      </c>
      <c r="G734" s="195">
        <v>43083180</v>
      </c>
      <c r="H734" s="143" t="str">
        <f t="shared" si="11"/>
        <v>07010110041010110</v>
      </c>
    </row>
    <row r="735" spans="1:8" x14ac:dyDescent="0.2">
      <c r="A735" s="190" t="s">
        <v>1216</v>
      </c>
      <c r="B735" s="256" t="s">
        <v>220</v>
      </c>
      <c r="C735" s="256" t="s">
        <v>448</v>
      </c>
      <c r="D735" s="256" t="s">
        <v>800</v>
      </c>
      <c r="E735" s="256" t="s">
        <v>382</v>
      </c>
      <c r="F735" s="195">
        <v>33090000</v>
      </c>
      <c r="G735" s="195">
        <v>33090000</v>
      </c>
      <c r="H735" s="143" t="str">
        <f t="shared" si="11"/>
        <v>07010110041010111</v>
      </c>
    </row>
    <row r="736" spans="1:8" ht="51" x14ac:dyDescent="0.2">
      <c r="A736" s="190" t="s">
        <v>1217</v>
      </c>
      <c r="B736" s="256" t="s">
        <v>220</v>
      </c>
      <c r="C736" s="256" t="s">
        <v>448</v>
      </c>
      <c r="D736" s="256" t="s">
        <v>800</v>
      </c>
      <c r="E736" s="256" t="s">
        <v>1117</v>
      </c>
      <c r="F736" s="195">
        <v>9993180</v>
      </c>
      <c r="G736" s="195">
        <v>9993180</v>
      </c>
      <c r="H736" s="143" t="str">
        <f t="shared" si="11"/>
        <v>07010110041010119</v>
      </c>
    </row>
    <row r="737" spans="1:8" ht="140.25" x14ac:dyDescent="0.2">
      <c r="A737" s="190" t="s">
        <v>620</v>
      </c>
      <c r="B737" s="256" t="s">
        <v>220</v>
      </c>
      <c r="C737" s="256" t="s">
        <v>448</v>
      </c>
      <c r="D737" s="256" t="s">
        <v>801</v>
      </c>
      <c r="E737" s="256" t="s">
        <v>1314</v>
      </c>
      <c r="F737" s="195">
        <v>869000</v>
      </c>
      <c r="G737" s="195">
        <v>869000</v>
      </c>
      <c r="H737" s="143" t="str">
        <f t="shared" si="11"/>
        <v>07010110047010</v>
      </c>
    </row>
    <row r="738" spans="1:8" ht="76.5" x14ac:dyDescent="0.2">
      <c r="A738" s="190" t="s">
        <v>1501</v>
      </c>
      <c r="B738" s="256" t="s">
        <v>220</v>
      </c>
      <c r="C738" s="256" t="s">
        <v>448</v>
      </c>
      <c r="D738" s="256" t="s">
        <v>801</v>
      </c>
      <c r="E738" s="256" t="s">
        <v>290</v>
      </c>
      <c r="F738" s="195">
        <v>869000</v>
      </c>
      <c r="G738" s="195">
        <v>869000</v>
      </c>
      <c r="H738" s="143" t="str">
        <f t="shared" si="11"/>
        <v>07010110047010100</v>
      </c>
    </row>
    <row r="739" spans="1:8" ht="25.5" x14ac:dyDescent="0.2">
      <c r="A739" s="190" t="s">
        <v>1331</v>
      </c>
      <c r="B739" s="256" t="s">
        <v>220</v>
      </c>
      <c r="C739" s="256" t="s">
        <v>448</v>
      </c>
      <c r="D739" s="256" t="s">
        <v>801</v>
      </c>
      <c r="E739" s="256" t="s">
        <v>140</v>
      </c>
      <c r="F739" s="195">
        <v>869000</v>
      </c>
      <c r="G739" s="195">
        <v>869000</v>
      </c>
      <c r="H739" s="143" t="str">
        <f t="shared" si="11"/>
        <v>07010110047010110</v>
      </c>
    </row>
    <row r="740" spans="1:8" ht="25.5" x14ac:dyDescent="0.2">
      <c r="A740" s="190" t="s">
        <v>1225</v>
      </c>
      <c r="B740" s="256" t="s">
        <v>220</v>
      </c>
      <c r="C740" s="256" t="s">
        <v>448</v>
      </c>
      <c r="D740" s="256" t="s">
        <v>801</v>
      </c>
      <c r="E740" s="256" t="s">
        <v>431</v>
      </c>
      <c r="F740" s="195">
        <v>869000</v>
      </c>
      <c r="G740" s="195">
        <v>869000</v>
      </c>
      <c r="H740" s="143" t="str">
        <f t="shared" si="11"/>
        <v>07010110047010112</v>
      </c>
    </row>
    <row r="741" spans="1:8" ht="153" x14ac:dyDescent="0.2">
      <c r="A741" s="190" t="s">
        <v>621</v>
      </c>
      <c r="B741" s="256" t="s">
        <v>220</v>
      </c>
      <c r="C741" s="256" t="s">
        <v>448</v>
      </c>
      <c r="D741" s="256" t="s">
        <v>802</v>
      </c>
      <c r="E741" s="256" t="s">
        <v>1314</v>
      </c>
      <c r="F741" s="195">
        <v>38244161</v>
      </c>
      <c r="G741" s="195">
        <v>38244161</v>
      </c>
      <c r="H741" s="143" t="str">
        <f t="shared" si="11"/>
        <v>0701011004Г010</v>
      </c>
    </row>
    <row r="742" spans="1:8" ht="38.25" x14ac:dyDescent="0.2">
      <c r="A742" s="190" t="s">
        <v>1502</v>
      </c>
      <c r="B742" s="256" t="s">
        <v>220</v>
      </c>
      <c r="C742" s="256" t="s">
        <v>448</v>
      </c>
      <c r="D742" s="256" t="s">
        <v>802</v>
      </c>
      <c r="E742" s="256" t="s">
        <v>1503</v>
      </c>
      <c r="F742" s="195">
        <v>38244161</v>
      </c>
      <c r="G742" s="195">
        <v>38244161</v>
      </c>
      <c r="H742" s="143" t="str">
        <f t="shared" ref="H742:H805" si="12">CONCATENATE(C742,,D742,E742)</f>
        <v>0701011004Г010200</v>
      </c>
    </row>
    <row r="743" spans="1:8" ht="38.25" x14ac:dyDescent="0.2">
      <c r="A743" s="190" t="s">
        <v>1338</v>
      </c>
      <c r="B743" s="256" t="s">
        <v>220</v>
      </c>
      <c r="C743" s="256" t="s">
        <v>448</v>
      </c>
      <c r="D743" s="256" t="s">
        <v>802</v>
      </c>
      <c r="E743" s="256" t="s">
        <v>1339</v>
      </c>
      <c r="F743" s="195">
        <v>38244161</v>
      </c>
      <c r="G743" s="195">
        <v>38244161</v>
      </c>
      <c r="H743" s="143" t="str">
        <f t="shared" si="12"/>
        <v>0701011004Г010240</v>
      </c>
    </row>
    <row r="744" spans="1:8" x14ac:dyDescent="0.2">
      <c r="A744" s="190" t="s">
        <v>2024</v>
      </c>
      <c r="B744" s="256" t="s">
        <v>220</v>
      </c>
      <c r="C744" s="256" t="s">
        <v>448</v>
      </c>
      <c r="D744" s="256" t="s">
        <v>802</v>
      </c>
      <c r="E744" s="256" t="s">
        <v>2025</v>
      </c>
      <c r="F744" s="195">
        <v>38244161</v>
      </c>
      <c r="G744" s="195">
        <v>38244161</v>
      </c>
      <c r="H744" s="143" t="str">
        <f t="shared" si="12"/>
        <v>0701011004Г010247</v>
      </c>
    </row>
    <row r="745" spans="1:8" ht="127.5" x14ac:dyDescent="0.2">
      <c r="A745" s="190" t="s">
        <v>622</v>
      </c>
      <c r="B745" s="256" t="s">
        <v>220</v>
      </c>
      <c r="C745" s="256" t="s">
        <v>448</v>
      </c>
      <c r="D745" s="256" t="s">
        <v>803</v>
      </c>
      <c r="E745" s="256" t="s">
        <v>1314</v>
      </c>
      <c r="F745" s="195">
        <v>38590000</v>
      </c>
      <c r="G745" s="195">
        <v>38590000</v>
      </c>
      <c r="H745" s="143" t="str">
        <f t="shared" si="12"/>
        <v>0701011004П010</v>
      </c>
    </row>
    <row r="746" spans="1:8" ht="38.25" x14ac:dyDescent="0.2">
      <c r="A746" s="190" t="s">
        <v>1502</v>
      </c>
      <c r="B746" s="256" t="s">
        <v>220</v>
      </c>
      <c r="C746" s="256" t="s">
        <v>448</v>
      </c>
      <c r="D746" s="256" t="s">
        <v>803</v>
      </c>
      <c r="E746" s="256" t="s">
        <v>1503</v>
      </c>
      <c r="F746" s="195">
        <v>38590000</v>
      </c>
      <c r="G746" s="195">
        <v>38590000</v>
      </c>
      <c r="H746" s="143" t="str">
        <f t="shared" si="12"/>
        <v>0701011004П010200</v>
      </c>
    </row>
    <row r="747" spans="1:8" ht="38.25" x14ac:dyDescent="0.2">
      <c r="A747" s="190" t="s">
        <v>1338</v>
      </c>
      <c r="B747" s="256" t="s">
        <v>220</v>
      </c>
      <c r="C747" s="256" t="s">
        <v>448</v>
      </c>
      <c r="D747" s="256" t="s">
        <v>803</v>
      </c>
      <c r="E747" s="256" t="s">
        <v>1339</v>
      </c>
      <c r="F747" s="195">
        <v>38590000</v>
      </c>
      <c r="G747" s="195">
        <v>38590000</v>
      </c>
      <c r="H747" s="143" t="str">
        <f t="shared" si="12"/>
        <v>0701011004П010240</v>
      </c>
    </row>
    <row r="748" spans="1:8" x14ac:dyDescent="0.2">
      <c r="A748" s="190" t="s">
        <v>1379</v>
      </c>
      <c r="B748" s="256" t="s">
        <v>220</v>
      </c>
      <c r="C748" s="256" t="s">
        <v>448</v>
      </c>
      <c r="D748" s="256" t="s">
        <v>803</v>
      </c>
      <c r="E748" s="256" t="s">
        <v>368</v>
      </c>
      <c r="F748" s="195">
        <v>38590000</v>
      </c>
      <c r="G748" s="195">
        <v>38590000</v>
      </c>
      <c r="H748" s="143" t="str">
        <f t="shared" si="12"/>
        <v>0701011004П010244</v>
      </c>
    </row>
    <row r="749" spans="1:8" ht="127.5" x14ac:dyDescent="0.2">
      <c r="A749" s="190" t="s">
        <v>1022</v>
      </c>
      <c r="B749" s="256" t="s">
        <v>220</v>
      </c>
      <c r="C749" s="256" t="s">
        <v>448</v>
      </c>
      <c r="D749" s="256" t="s">
        <v>1023</v>
      </c>
      <c r="E749" s="256" t="s">
        <v>1314</v>
      </c>
      <c r="F749" s="195">
        <v>10067000</v>
      </c>
      <c r="G749" s="195">
        <v>10067000</v>
      </c>
      <c r="H749" s="143" t="str">
        <f t="shared" si="12"/>
        <v>0701011004Э010</v>
      </c>
    </row>
    <row r="750" spans="1:8" ht="38.25" x14ac:dyDescent="0.2">
      <c r="A750" s="190" t="s">
        <v>1502</v>
      </c>
      <c r="B750" s="256" t="s">
        <v>220</v>
      </c>
      <c r="C750" s="256" t="s">
        <v>448</v>
      </c>
      <c r="D750" s="256" t="s">
        <v>1023</v>
      </c>
      <c r="E750" s="256" t="s">
        <v>1503</v>
      </c>
      <c r="F750" s="195">
        <v>10067000</v>
      </c>
      <c r="G750" s="195">
        <v>10067000</v>
      </c>
      <c r="H750" s="143" t="str">
        <f t="shared" si="12"/>
        <v>0701011004Э010200</v>
      </c>
    </row>
    <row r="751" spans="1:8" ht="38.25" x14ac:dyDescent="0.2">
      <c r="A751" s="190" t="s">
        <v>1338</v>
      </c>
      <c r="B751" s="256" t="s">
        <v>220</v>
      </c>
      <c r="C751" s="256" t="s">
        <v>448</v>
      </c>
      <c r="D751" s="256" t="s">
        <v>1023</v>
      </c>
      <c r="E751" s="256" t="s">
        <v>1339</v>
      </c>
      <c r="F751" s="195">
        <v>10067000</v>
      </c>
      <c r="G751" s="195">
        <v>10067000</v>
      </c>
      <c r="H751" s="143" t="str">
        <f t="shared" si="12"/>
        <v>0701011004Э010240</v>
      </c>
    </row>
    <row r="752" spans="1:8" x14ac:dyDescent="0.2">
      <c r="A752" s="190" t="s">
        <v>2024</v>
      </c>
      <c r="B752" s="256" t="s">
        <v>220</v>
      </c>
      <c r="C752" s="256" t="s">
        <v>448</v>
      </c>
      <c r="D752" s="256" t="s">
        <v>1023</v>
      </c>
      <c r="E752" s="256" t="s">
        <v>2025</v>
      </c>
      <c r="F752" s="195">
        <v>10067000</v>
      </c>
      <c r="G752" s="195">
        <v>10067000</v>
      </c>
      <c r="H752" s="143" t="str">
        <f t="shared" si="12"/>
        <v>0701011004Э010247</v>
      </c>
    </row>
    <row r="753" spans="1:8" ht="331.5" x14ac:dyDescent="0.2">
      <c r="A753" s="190" t="s">
        <v>1546</v>
      </c>
      <c r="B753" s="256" t="s">
        <v>220</v>
      </c>
      <c r="C753" s="256" t="s">
        <v>448</v>
      </c>
      <c r="D753" s="256" t="s">
        <v>798</v>
      </c>
      <c r="E753" s="256" t="s">
        <v>1314</v>
      </c>
      <c r="F753" s="195">
        <v>90281800</v>
      </c>
      <c r="G753" s="195">
        <v>90281800</v>
      </c>
      <c r="H753" s="143" t="str">
        <f t="shared" si="12"/>
        <v>07010110074080</v>
      </c>
    </row>
    <row r="754" spans="1:8" ht="76.5" x14ac:dyDescent="0.2">
      <c r="A754" s="190" t="s">
        <v>1501</v>
      </c>
      <c r="B754" s="256" t="s">
        <v>220</v>
      </c>
      <c r="C754" s="256" t="s">
        <v>448</v>
      </c>
      <c r="D754" s="256" t="s">
        <v>798</v>
      </c>
      <c r="E754" s="256" t="s">
        <v>290</v>
      </c>
      <c r="F754" s="195">
        <v>80930950</v>
      </c>
      <c r="G754" s="195">
        <v>80930950</v>
      </c>
      <c r="H754" s="143" t="str">
        <f t="shared" si="12"/>
        <v>07010110074080100</v>
      </c>
    </row>
    <row r="755" spans="1:8" ht="25.5" x14ac:dyDescent="0.2">
      <c r="A755" s="190" t="s">
        <v>1331</v>
      </c>
      <c r="B755" s="256" t="s">
        <v>220</v>
      </c>
      <c r="C755" s="256" t="s">
        <v>448</v>
      </c>
      <c r="D755" s="256" t="s">
        <v>798</v>
      </c>
      <c r="E755" s="256" t="s">
        <v>140</v>
      </c>
      <c r="F755" s="195">
        <v>80930950</v>
      </c>
      <c r="G755" s="195">
        <v>80930950</v>
      </c>
      <c r="H755" s="143" t="str">
        <f t="shared" si="12"/>
        <v>07010110074080110</v>
      </c>
    </row>
    <row r="756" spans="1:8" x14ac:dyDescent="0.2">
      <c r="A756" s="190" t="s">
        <v>1216</v>
      </c>
      <c r="B756" s="256" t="s">
        <v>220</v>
      </c>
      <c r="C756" s="256" t="s">
        <v>448</v>
      </c>
      <c r="D756" s="256" t="s">
        <v>798</v>
      </c>
      <c r="E756" s="256" t="s">
        <v>382</v>
      </c>
      <c r="F756" s="195">
        <v>60922850</v>
      </c>
      <c r="G756" s="195">
        <v>60922850</v>
      </c>
      <c r="H756" s="143" t="str">
        <f t="shared" si="12"/>
        <v>07010110074080111</v>
      </c>
    </row>
    <row r="757" spans="1:8" ht="25.5" x14ac:dyDescent="0.2">
      <c r="A757" s="190" t="s">
        <v>1225</v>
      </c>
      <c r="B757" s="256" t="s">
        <v>220</v>
      </c>
      <c r="C757" s="256" t="s">
        <v>448</v>
      </c>
      <c r="D757" s="256" t="s">
        <v>798</v>
      </c>
      <c r="E757" s="256" t="s">
        <v>431</v>
      </c>
      <c r="F757" s="195">
        <v>1700000</v>
      </c>
      <c r="G757" s="195">
        <v>1700000</v>
      </c>
      <c r="H757" s="143" t="str">
        <f t="shared" si="12"/>
        <v>07010110074080112</v>
      </c>
    </row>
    <row r="758" spans="1:8" ht="51" x14ac:dyDescent="0.2">
      <c r="A758" s="190" t="s">
        <v>1217</v>
      </c>
      <c r="B758" s="256" t="s">
        <v>220</v>
      </c>
      <c r="C758" s="256" t="s">
        <v>448</v>
      </c>
      <c r="D758" s="256" t="s">
        <v>798</v>
      </c>
      <c r="E758" s="256" t="s">
        <v>1117</v>
      </c>
      <c r="F758" s="195">
        <v>18308100</v>
      </c>
      <c r="G758" s="195">
        <v>18308100</v>
      </c>
      <c r="H758" s="143" t="str">
        <f t="shared" si="12"/>
        <v>07010110074080119</v>
      </c>
    </row>
    <row r="759" spans="1:8" ht="38.25" x14ac:dyDescent="0.2">
      <c r="A759" s="190" t="s">
        <v>1502</v>
      </c>
      <c r="B759" s="256" t="s">
        <v>220</v>
      </c>
      <c r="C759" s="256" t="s">
        <v>448</v>
      </c>
      <c r="D759" s="256" t="s">
        <v>798</v>
      </c>
      <c r="E759" s="256" t="s">
        <v>1503</v>
      </c>
      <c r="F759" s="195">
        <v>9350850</v>
      </c>
      <c r="G759" s="195">
        <v>9350850</v>
      </c>
      <c r="H759" s="143" t="str">
        <f t="shared" si="12"/>
        <v>07010110074080200</v>
      </c>
    </row>
    <row r="760" spans="1:8" ht="38.25" x14ac:dyDescent="0.2">
      <c r="A760" s="190" t="s">
        <v>1338</v>
      </c>
      <c r="B760" s="256" t="s">
        <v>220</v>
      </c>
      <c r="C760" s="256" t="s">
        <v>448</v>
      </c>
      <c r="D760" s="256" t="s">
        <v>798</v>
      </c>
      <c r="E760" s="256" t="s">
        <v>1339</v>
      </c>
      <c r="F760" s="195">
        <v>9350850</v>
      </c>
      <c r="G760" s="195">
        <v>9350850</v>
      </c>
      <c r="H760" s="143" t="str">
        <f t="shared" si="12"/>
        <v>07010110074080240</v>
      </c>
    </row>
    <row r="761" spans="1:8" x14ac:dyDescent="0.2">
      <c r="A761" s="190" t="s">
        <v>1379</v>
      </c>
      <c r="B761" s="256" t="s">
        <v>220</v>
      </c>
      <c r="C761" s="256" t="s">
        <v>448</v>
      </c>
      <c r="D761" s="256" t="s">
        <v>798</v>
      </c>
      <c r="E761" s="256" t="s">
        <v>368</v>
      </c>
      <c r="F761" s="195">
        <v>9350850</v>
      </c>
      <c r="G761" s="195">
        <v>9350850</v>
      </c>
      <c r="H761" s="143" t="str">
        <f t="shared" si="12"/>
        <v>07010110074080244</v>
      </c>
    </row>
    <row r="762" spans="1:8" ht="331.5" x14ac:dyDescent="0.2">
      <c r="A762" s="190" t="s">
        <v>1547</v>
      </c>
      <c r="B762" s="256" t="s">
        <v>220</v>
      </c>
      <c r="C762" s="256" t="s">
        <v>448</v>
      </c>
      <c r="D762" s="256" t="s">
        <v>796</v>
      </c>
      <c r="E762" s="256" t="s">
        <v>1314</v>
      </c>
      <c r="F762" s="195">
        <v>146440300</v>
      </c>
      <c r="G762" s="195">
        <v>146440300</v>
      </c>
      <c r="H762" s="143" t="str">
        <f t="shared" si="12"/>
        <v>07010110075880</v>
      </c>
    </row>
    <row r="763" spans="1:8" ht="76.5" x14ac:dyDescent="0.2">
      <c r="A763" s="190" t="s">
        <v>1501</v>
      </c>
      <c r="B763" s="256" t="s">
        <v>220</v>
      </c>
      <c r="C763" s="256" t="s">
        <v>448</v>
      </c>
      <c r="D763" s="256" t="s">
        <v>796</v>
      </c>
      <c r="E763" s="256" t="s">
        <v>290</v>
      </c>
      <c r="F763" s="195">
        <v>122657620</v>
      </c>
      <c r="G763" s="195">
        <v>122657620</v>
      </c>
      <c r="H763" s="143" t="str">
        <f t="shared" si="12"/>
        <v>07010110075880100</v>
      </c>
    </row>
    <row r="764" spans="1:8" ht="25.5" x14ac:dyDescent="0.2">
      <c r="A764" s="190" t="s">
        <v>1331</v>
      </c>
      <c r="B764" s="256" t="s">
        <v>220</v>
      </c>
      <c r="C764" s="256" t="s">
        <v>448</v>
      </c>
      <c r="D764" s="256" t="s">
        <v>796</v>
      </c>
      <c r="E764" s="256" t="s">
        <v>140</v>
      </c>
      <c r="F764" s="195">
        <v>122657620</v>
      </c>
      <c r="G764" s="195">
        <v>122657620</v>
      </c>
      <c r="H764" s="143" t="str">
        <f t="shared" si="12"/>
        <v>07010110075880110</v>
      </c>
    </row>
    <row r="765" spans="1:8" x14ac:dyDescent="0.2">
      <c r="A765" s="190" t="s">
        <v>1216</v>
      </c>
      <c r="B765" s="256" t="s">
        <v>220</v>
      </c>
      <c r="C765" s="256" t="s">
        <v>448</v>
      </c>
      <c r="D765" s="256" t="s">
        <v>796</v>
      </c>
      <c r="E765" s="256" t="s">
        <v>382</v>
      </c>
      <c r="F765" s="195">
        <v>93070000</v>
      </c>
      <c r="G765" s="195">
        <v>93070000</v>
      </c>
      <c r="H765" s="143" t="str">
        <f t="shared" si="12"/>
        <v>07010110075880111</v>
      </c>
    </row>
    <row r="766" spans="1:8" ht="25.5" x14ac:dyDescent="0.2">
      <c r="A766" s="190" t="s">
        <v>1225</v>
      </c>
      <c r="B766" s="256" t="s">
        <v>220</v>
      </c>
      <c r="C766" s="256" t="s">
        <v>448</v>
      </c>
      <c r="D766" s="256" t="s">
        <v>796</v>
      </c>
      <c r="E766" s="256" t="s">
        <v>431</v>
      </c>
      <c r="F766" s="195">
        <v>1710000</v>
      </c>
      <c r="G766" s="195">
        <v>1710000</v>
      </c>
      <c r="H766" s="143" t="str">
        <f t="shared" si="12"/>
        <v>07010110075880112</v>
      </c>
    </row>
    <row r="767" spans="1:8" ht="51" x14ac:dyDescent="0.2">
      <c r="A767" s="190" t="s">
        <v>1217</v>
      </c>
      <c r="B767" s="256" t="s">
        <v>220</v>
      </c>
      <c r="C767" s="256" t="s">
        <v>448</v>
      </c>
      <c r="D767" s="256" t="s">
        <v>796</v>
      </c>
      <c r="E767" s="256" t="s">
        <v>1117</v>
      </c>
      <c r="F767" s="195">
        <v>27877620</v>
      </c>
      <c r="G767" s="195">
        <v>27877620</v>
      </c>
      <c r="H767" s="143" t="str">
        <f t="shared" si="12"/>
        <v>07010110075880119</v>
      </c>
    </row>
    <row r="768" spans="1:8" ht="38.25" x14ac:dyDescent="0.2">
      <c r="A768" s="190" t="s">
        <v>1502</v>
      </c>
      <c r="B768" s="256" t="s">
        <v>220</v>
      </c>
      <c r="C768" s="256" t="s">
        <v>448</v>
      </c>
      <c r="D768" s="256" t="s">
        <v>796</v>
      </c>
      <c r="E768" s="256" t="s">
        <v>1503</v>
      </c>
      <c r="F768" s="195">
        <v>23782680</v>
      </c>
      <c r="G768" s="195">
        <v>23782680</v>
      </c>
      <c r="H768" s="143" t="str">
        <f t="shared" si="12"/>
        <v>07010110075880200</v>
      </c>
    </row>
    <row r="769" spans="1:8" ht="38.25" x14ac:dyDescent="0.2">
      <c r="A769" s="190" t="s">
        <v>1338</v>
      </c>
      <c r="B769" s="256" t="s">
        <v>220</v>
      </c>
      <c r="C769" s="256" t="s">
        <v>448</v>
      </c>
      <c r="D769" s="256" t="s">
        <v>796</v>
      </c>
      <c r="E769" s="256" t="s">
        <v>1339</v>
      </c>
      <c r="F769" s="195">
        <v>23782680</v>
      </c>
      <c r="G769" s="195">
        <v>23782680</v>
      </c>
      <c r="H769" s="143" t="str">
        <f t="shared" si="12"/>
        <v>07010110075880240</v>
      </c>
    </row>
    <row r="770" spans="1:8" x14ac:dyDescent="0.2">
      <c r="A770" s="190" t="s">
        <v>1379</v>
      </c>
      <c r="B770" s="256" t="s">
        <v>220</v>
      </c>
      <c r="C770" s="256" t="s">
        <v>448</v>
      </c>
      <c r="D770" s="256" t="s">
        <v>796</v>
      </c>
      <c r="E770" s="256" t="s">
        <v>368</v>
      </c>
      <c r="F770" s="195">
        <v>23782680</v>
      </c>
      <c r="G770" s="195">
        <v>23782680</v>
      </c>
      <c r="H770" s="143" t="str">
        <f t="shared" si="12"/>
        <v>07010110075880244</v>
      </c>
    </row>
    <row r="771" spans="1:8" x14ac:dyDescent="0.2">
      <c r="A771" s="190" t="s">
        <v>160</v>
      </c>
      <c r="B771" s="256" t="s">
        <v>220</v>
      </c>
      <c r="C771" s="256" t="s">
        <v>435</v>
      </c>
      <c r="D771" s="256" t="s">
        <v>1314</v>
      </c>
      <c r="E771" s="256" t="s">
        <v>1314</v>
      </c>
      <c r="F771" s="195">
        <v>700103017</v>
      </c>
      <c r="G771" s="195">
        <v>690147917</v>
      </c>
      <c r="H771" s="143" t="str">
        <f t="shared" si="12"/>
        <v>0702</v>
      </c>
    </row>
    <row r="772" spans="1:8" ht="25.5" x14ac:dyDescent="0.2">
      <c r="A772" s="190" t="s">
        <v>483</v>
      </c>
      <c r="B772" s="256" t="s">
        <v>220</v>
      </c>
      <c r="C772" s="256" t="s">
        <v>435</v>
      </c>
      <c r="D772" s="256" t="s">
        <v>1031</v>
      </c>
      <c r="E772" s="256" t="s">
        <v>1314</v>
      </c>
      <c r="F772" s="195">
        <v>700103017</v>
      </c>
      <c r="G772" s="195">
        <v>690147917</v>
      </c>
      <c r="H772" s="143" t="str">
        <f t="shared" si="12"/>
        <v>07020100000000</v>
      </c>
    </row>
    <row r="773" spans="1:8" ht="38.25" x14ac:dyDescent="0.2">
      <c r="A773" s="190" t="s">
        <v>484</v>
      </c>
      <c r="B773" s="256" t="s">
        <v>220</v>
      </c>
      <c r="C773" s="256" t="s">
        <v>435</v>
      </c>
      <c r="D773" s="256" t="s">
        <v>1032</v>
      </c>
      <c r="E773" s="256" t="s">
        <v>1314</v>
      </c>
      <c r="F773" s="195">
        <v>700103017</v>
      </c>
      <c r="G773" s="195">
        <v>690147917</v>
      </c>
      <c r="H773" s="143" t="str">
        <f t="shared" si="12"/>
        <v>07020110000000</v>
      </c>
    </row>
    <row r="774" spans="1:8" ht="153" x14ac:dyDescent="0.2">
      <c r="A774" s="190" t="s">
        <v>453</v>
      </c>
      <c r="B774" s="256" t="s">
        <v>220</v>
      </c>
      <c r="C774" s="256" t="s">
        <v>435</v>
      </c>
      <c r="D774" s="256" t="s">
        <v>807</v>
      </c>
      <c r="E774" s="256" t="s">
        <v>1314</v>
      </c>
      <c r="F774" s="195">
        <v>57636838</v>
      </c>
      <c r="G774" s="195">
        <v>57636838</v>
      </c>
      <c r="H774" s="143" t="str">
        <f t="shared" si="12"/>
        <v>07020110040020</v>
      </c>
    </row>
    <row r="775" spans="1:8" ht="76.5" x14ac:dyDescent="0.2">
      <c r="A775" s="190" t="s">
        <v>1501</v>
      </c>
      <c r="B775" s="256" t="s">
        <v>220</v>
      </c>
      <c r="C775" s="256" t="s">
        <v>435</v>
      </c>
      <c r="D775" s="256" t="s">
        <v>807</v>
      </c>
      <c r="E775" s="256" t="s">
        <v>290</v>
      </c>
      <c r="F775" s="195">
        <v>45403738</v>
      </c>
      <c r="G775" s="195">
        <v>45403738</v>
      </c>
      <c r="H775" s="143" t="str">
        <f t="shared" si="12"/>
        <v>07020110040020100</v>
      </c>
    </row>
    <row r="776" spans="1:8" ht="25.5" x14ac:dyDescent="0.2">
      <c r="A776" s="190" t="s">
        <v>1331</v>
      </c>
      <c r="B776" s="256" t="s">
        <v>220</v>
      </c>
      <c r="C776" s="256" t="s">
        <v>435</v>
      </c>
      <c r="D776" s="256" t="s">
        <v>807</v>
      </c>
      <c r="E776" s="256" t="s">
        <v>140</v>
      </c>
      <c r="F776" s="195">
        <v>45403738</v>
      </c>
      <c r="G776" s="195">
        <v>45403738</v>
      </c>
      <c r="H776" s="143" t="str">
        <f t="shared" si="12"/>
        <v>07020110040020110</v>
      </c>
    </row>
    <row r="777" spans="1:8" x14ac:dyDescent="0.2">
      <c r="A777" s="190" t="s">
        <v>1216</v>
      </c>
      <c r="B777" s="256" t="s">
        <v>220</v>
      </c>
      <c r="C777" s="256" t="s">
        <v>435</v>
      </c>
      <c r="D777" s="256" t="s">
        <v>807</v>
      </c>
      <c r="E777" s="256" t="s">
        <v>382</v>
      </c>
      <c r="F777" s="195">
        <v>34979000</v>
      </c>
      <c r="G777" s="195">
        <v>34979000</v>
      </c>
      <c r="H777" s="143" t="str">
        <f t="shared" si="12"/>
        <v>07020110040020111</v>
      </c>
    </row>
    <row r="778" spans="1:8" ht="51" x14ac:dyDescent="0.2">
      <c r="A778" s="190" t="s">
        <v>1217</v>
      </c>
      <c r="B778" s="256" t="s">
        <v>220</v>
      </c>
      <c r="C778" s="256" t="s">
        <v>435</v>
      </c>
      <c r="D778" s="256" t="s">
        <v>807</v>
      </c>
      <c r="E778" s="256" t="s">
        <v>1117</v>
      </c>
      <c r="F778" s="195">
        <v>10424738</v>
      </c>
      <c r="G778" s="195">
        <v>10424738</v>
      </c>
      <c r="H778" s="143" t="str">
        <f t="shared" si="12"/>
        <v>07020110040020119</v>
      </c>
    </row>
    <row r="779" spans="1:8" ht="38.25" x14ac:dyDescent="0.2">
      <c r="A779" s="190" t="s">
        <v>1502</v>
      </c>
      <c r="B779" s="256" t="s">
        <v>220</v>
      </c>
      <c r="C779" s="256" t="s">
        <v>435</v>
      </c>
      <c r="D779" s="256" t="s">
        <v>807</v>
      </c>
      <c r="E779" s="256" t="s">
        <v>1503</v>
      </c>
      <c r="F779" s="195">
        <v>12183100</v>
      </c>
      <c r="G779" s="195">
        <v>12183100</v>
      </c>
      <c r="H779" s="143" t="str">
        <f t="shared" si="12"/>
        <v>07020110040020200</v>
      </c>
    </row>
    <row r="780" spans="1:8" ht="38.25" x14ac:dyDescent="0.2">
      <c r="A780" s="190" t="s">
        <v>1338</v>
      </c>
      <c r="B780" s="256" t="s">
        <v>220</v>
      </c>
      <c r="C780" s="256" t="s">
        <v>435</v>
      </c>
      <c r="D780" s="256" t="s">
        <v>807</v>
      </c>
      <c r="E780" s="256" t="s">
        <v>1339</v>
      </c>
      <c r="F780" s="195">
        <v>12183100</v>
      </c>
      <c r="G780" s="195">
        <v>12183100</v>
      </c>
      <c r="H780" s="143" t="str">
        <f t="shared" si="12"/>
        <v>07020110040020240</v>
      </c>
    </row>
    <row r="781" spans="1:8" x14ac:dyDescent="0.2">
      <c r="A781" s="190" t="s">
        <v>1379</v>
      </c>
      <c r="B781" s="256" t="s">
        <v>220</v>
      </c>
      <c r="C781" s="256" t="s">
        <v>435</v>
      </c>
      <c r="D781" s="256" t="s">
        <v>807</v>
      </c>
      <c r="E781" s="256" t="s">
        <v>368</v>
      </c>
      <c r="F781" s="195">
        <v>12183100</v>
      </c>
      <c r="G781" s="195">
        <v>12183100</v>
      </c>
      <c r="H781" s="143" t="str">
        <f t="shared" si="12"/>
        <v>07020110040020244</v>
      </c>
    </row>
    <row r="782" spans="1:8" x14ac:dyDescent="0.2">
      <c r="A782" s="190" t="s">
        <v>1504</v>
      </c>
      <c r="B782" s="256" t="s">
        <v>220</v>
      </c>
      <c r="C782" s="256" t="s">
        <v>435</v>
      </c>
      <c r="D782" s="256" t="s">
        <v>807</v>
      </c>
      <c r="E782" s="256" t="s">
        <v>1505</v>
      </c>
      <c r="F782" s="195">
        <v>50000</v>
      </c>
      <c r="G782" s="195">
        <v>50000</v>
      </c>
      <c r="H782" s="143" t="str">
        <f t="shared" si="12"/>
        <v>07020110040020800</v>
      </c>
    </row>
    <row r="783" spans="1:8" x14ac:dyDescent="0.2">
      <c r="A783" s="190" t="s">
        <v>1343</v>
      </c>
      <c r="B783" s="256" t="s">
        <v>220</v>
      </c>
      <c r="C783" s="256" t="s">
        <v>435</v>
      </c>
      <c r="D783" s="256" t="s">
        <v>807</v>
      </c>
      <c r="E783" s="256" t="s">
        <v>1344</v>
      </c>
      <c r="F783" s="195">
        <v>50000</v>
      </c>
      <c r="G783" s="195">
        <v>50000</v>
      </c>
      <c r="H783" s="143" t="str">
        <f t="shared" si="12"/>
        <v>07020110040020850</v>
      </c>
    </row>
    <row r="784" spans="1:8" x14ac:dyDescent="0.2">
      <c r="A784" s="190" t="s">
        <v>1118</v>
      </c>
      <c r="B784" s="256" t="s">
        <v>220</v>
      </c>
      <c r="C784" s="256" t="s">
        <v>435</v>
      </c>
      <c r="D784" s="256" t="s">
        <v>807</v>
      </c>
      <c r="E784" s="256" t="s">
        <v>1119</v>
      </c>
      <c r="F784" s="195">
        <v>50000</v>
      </c>
      <c r="G784" s="195">
        <v>50000</v>
      </c>
      <c r="H784" s="143" t="str">
        <f t="shared" si="12"/>
        <v>07020110040020853</v>
      </c>
    </row>
    <row r="785" spans="1:8" ht="204" x14ac:dyDescent="0.2">
      <c r="A785" s="190" t="s">
        <v>455</v>
      </c>
      <c r="B785" s="256" t="s">
        <v>220</v>
      </c>
      <c r="C785" s="256" t="s">
        <v>435</v>
      </c>
      <c r="D785" s="256" t="s">
        <v>808</v>
      </c>
      <c r="E785" s="256" t="s">
        <v>1314</v>
      </c>
      <c r="F785" s="195">
        <v>56398100</v>
      </c>
      <c r="G785" s="195">
        <v>56398100</v>
      </c>
      <c r="H785" s="143" t="str">
        <f t="shared" si="12"/>
        <v>07020110041020</v>
      </c>
    </row>
    <row r="786" spans="1:8" ht="76.5" x14ac:dyDescent="0.2">
      <c r="A786" s="190" t="s">
        <v>1501</v>
      </c>
      <c r="B786" s="256" t="s">
        <v>220</v>
      </c>
      <c r="C786" s="256" t="s">
        <v>435</v>
      </c>
      <c r="D786" s="256" t="s">
        <v>808</v>
      </c>
      <c r="E786" s="256" t="s">
        <v>290</v>
      </c>
      <c r="F786" s="195">
        <v>56398100</v>
      </c>
      <c r="G786" s="195">
        <v>56398100</v>
      </c>
      <c r="H786" s="143" t="str">
        <f t="shared" si="12"/>
        <v>07020110041020100</v>
      </c>
    </row>
    <row r="787" spans="1:8" ht="25.5" x14ac:dyDescent="0.2">
      <c r="A787" s="190" t="s">
        <v>1331</v>
      </c>
      <c r="B787" s="256" t="s">
        <v>220</v>
      </c>
      <c r="C787" s="256" t="s">
        <v>435</v>
      </c>
      <c r="D787" s="256" t="s">
        <v>808</v>
      </c>
      <c r="E787" s="256" t="s">
        <v>140</v>
      </c>
      <c r="F787" s="195">
        <v>56398100</v>
      </c>
      <c r="G787" s="195">
        <v>56398100</v>
      </c>
      <c r="H787" s="143" t="str">
        <f t="shared" si="12"/>
        <v>07020110041020110</v>
      </c>
    </row>
    <row r="788" spans="1:8" x14ac:dyDescent="0.2">
      <c r="A788" s="190" t="s">
        <v>1216</v>
      </c>
      <c r="B788" s="256" t="s">
        <v>220</v>
      </c>
      <c r="C788" s="256" t="s">
        <v>435</v>
      </c>
      <c r="D788" s="256" t="s">
        <v>808</v>
      </c>
      <c r="E788" s="256" t="s">
        <v>382</v>
      </c>
      <c r="F788" s="195">
        <v>43316500</v>
      </c>
      <c r="G788" s="195">
        <v>43316500</v>
      </c>
      <c r="H788" s="143" t="str">
        <f t="shared" si="12"/>
        <v>07020110041020111</v>
      </c>
    </row>
    <row r="789" spans="1:8" ht="51" x14ac:dyDescent="0.2">
      <c r="A789" s="190" t="s">
        <v>1217</v>
      </c>
      <c r="B789" s="256" t="s">
        <v>220</v>
      </c>
      <c r="C789" s="256" t="s">
        <v>435</v>
      </c>
      <c r="D789" s="256" t="s">
        <v>808</v>
      </c>
      <c r="E789" s="256" t="s">
        <v>1117</v>
      </c>
      <c r="F789" s="195">
        <v>13081600</v>
      </c>
      <c r="G789" s="195">
        <v>13081600</v>
      </c>
      <c r="H789" s="143" t="str">
        <f t="shared" si="12"/>
        <v>07020110041020119</v>
      </c>
    </row>
    <row r="790" spans="1:8" ht="178.5" x14ac:dyDescent="0.2">
      <c r="A790" s="190" t="s">
        <v>572</v>
      </c>
      <c r="B790" s="256" t="s">
        <v>220</v>
      </c>
      <c r="C790" s="256" t="s">
        <v>435</v>
      </c>
      <c r="D790" s="256" t="s">
        <v>814</v>
      </c>
      <c r="E790" s="256" t="s">
        <v>1314</v>
      </c>
      <c r="F790" s="195">
        <v>2608000</v>
      </c>
      <c r="G790" s="195">
        <v>2608000</v>
      </c>
      <c r="H790" s="143" t="str">
        <f t="shared" si="12"/>
        <v>07020110043020</v>
      </c>
    </row>
    <row r="791" spans="1:8" ht="76.5" x14ac:dyDescent="0.2">
      <c r="A791" s="190" t="s">
        <v>1501</v>
      </c>
      <c r="B791" s="256" t="s">
        <v>220</v>
      </c>
      <c r="C791" s="256" t="s">
        <v>435</v>
      </c>
      <c r="D791" s="256" t="s">
        <v>814</v>
      </c>
      <c r="E791" s="256" t="s">
        <v>290</v>
      </c>
      <c r="F791" s="195">
        <v>798000</v>
      </c>
      <c r="G791" s="195">
        <v>798000</v>
      </c>
      <c r="H791" s="143" t="str">
        <f t="shared" si="12"/>
        <v>07020110043020100</v>
      </c>
    </row>
    <row r="792" spans="1:8" ht="25.5" x14ac:dyDescent="0.2">
      <c r="A792" s="190" t="s">
        <v>1331</v>
      </c>
      <c r="B792" s="256" t="s">
        <v>220</v>
      </c>
      <c r="C792" s="256" t="s">
        <v>435</v>
      </c>
      <c r="D792" s="256" t="s">
        <v>814</v>
      </c>
      <c r="E792" s="256" t="s">
        <v>140</v>
      </c>
      <c r="F792" s="195">
        <v>798000</v>
      </c>
      <c r="G792" s="195">
        <v>798000</v>
      </c>
      <c r="H792" s="143" t="str">
        <f t="shared" si="12"/>
        <v>07020110043020110</v>
      </c>
    </row>
    <row r="793" spans="1:8" ht="25.5" x14ac:dyDescent="0.2">
      <c r="A793" s="190" t="s">
        <v>1225</v>
      </c>
      <c r="B793" s="256" t="s">
        <v>220</v>
      </c>
      <c r="C793" s="256" t="s">
        <v>435</v>
      </c>
      <c r="D793" s="256" t="s">
        <v>814</v>
      </c>
      <c r="E793" s="256" t="s">
        <v>431</v>
      </c>
      <c r="F793" s="195">
        <v>618000</v>
      </c>
      <c r="G793" s="195">
        <v>618000</v>
      </c>
      <c r="H793" s="143" t="str">
        <f t="shared" si="12"/>
        <v>07020110043020112</v>
      </c>
    </row>
    <row r="794" spans="1:8" ht="51" x14ac:dyDescent="0.2">
      <c r="A794" s="190" t="s">
        <v>1227</v>
      </c>
      <c r="B794" s="256" t="s">
        <v>220</v>
      </c>
      <c r="C794" s="256" t="s">
        <v>435</v>
      </c>
      <c r="D794" s="256" t="s">
        <v>814</v>
      </c>
      <c r="E794" s="256" t="s">
        <v>1120</v>
      </c>
      <c r="F794" s="195">
        <v>180000</v>
      </c>
      <c r="G794" s="195">
        <v>180000</v>
      </c>
      <c r="H794" s="143" t="str">
        <f t="shared" si="12"/>
        <v>07020110043020113</v>
      </c>
    </row>
    <row r="795" spans="1:8" ht="38.25" x14ac:dyDescent="0.2">
      <c r="A795" s="190" t="s">
        <v>1502</v>
      </c>
      <c r="B795" s="256" t="s">
        <v>220</v>
      </c>
      <c r="C795" s="256" t="s">
        <v>435</v>
      </c>
      <c r="D795" s="256" t="s">
        <v>814</v>
      </c>
      <c r="E795" s="256" t="s">
        <v>1503</v>
      </c>
      <c r="F795" s="195">
        <v>1810000</v>
      </c>
      <c r="G795" s="195">
        <v>1810000</v>
      </c>
      <c r="H795" s="143" t="str">
        <f t="shared" si="12"/>
        <v>07020110043020200</v>
      </c>
    </row>
    <row r="796" spans="1:8" ht="38.25" x14ac:dyDescent="0.2">
      <c r="A796" s="190" t="s">
        <v>1338</v>
      </c>
      <c r="B796" s="256" t="s">
        <v>220</v>
      </c>
      <c r="C796" s="256" t="s">
        <v>435</v>
      </c>
      <c r="D796" s="256" t="s">
        <v>814</v>
      </c>
      <c r="E796" s="256" t="s">
        <v>1339</v>
      </c>
      <c r="F796" s="195">
        <v>1810000</v>
      </c>
      <c r="G796" s="195">
        <v>1810000</v>
      </c>
      <c r="H796" s="143" t="str">
        <f t="shared" si="12"/>
        <v>07020110043020240</v>
      </c>
    </row>
    <row r="797" spans="1:8" x14ac:dyDescent="0.2">
      <c r="A797" s="190" t="s">
        <v>1379</v>
      </c>
      <c r="B797" s="256" t="s">
        <v>220</v>
      </c>
      <c r="C797" s="256" t="s">
        <v>435</v>
      </c>
      <c r="D797" s="256" t="s">
        <v>814</v>
      </c>
      <c r="E797" s="256" t="s">
        <v>368</v>
      </c>
      <c r="F797" s="195">
        <v>1810000</v>
      </c>
      <c r="G797" s="195">
        <v>1810000</v>
      </c>
      <c r="H797" s="143" t="str">
        <f t="shared" si="12"/>
        <v>07020110043020244</v>
      </c>
    </row>
    <row r="798" spans="1:8" ht="153" x14ac:dyDescent="0.2">
      <c r="A798" s="190" t="s">
        <v>625</v>
      </c>
      <c r="B798" s="256" t="s">
        <v>220</v>
      </c>
      <c r="C798" s="256" t="s">
        <v>435</v>
      </c>
      <c r="D798" s="256" t="s">
        <v>809</v>
      </c>
      <c r="E798" s="256" t="s">
        <v>1314</v>
      </c>
      <c r="F798" s="195">
        <v>1020000</v>
      </c>
      <c r="G798" s="195">
        <v>1020000</v>
      </c>
      <c r="H798" s="143" t="str">
        <f t="shared" si="12"/>
        <v>07020110047020</v>
      </c>
    </row>
    <row r="799" spans="1:8" ht="76.5" x14ac:dyDescent="0.2">
      <c r="A799" s="190" t="s">
        <v>1501</v>
      </c>
      <c r="B799" s="256" t="s">
        <v>220</v>
      </c>
      <c r="C799" s="256" t="s">
        <v>435</v>
      </c>
      <c r="D799" s="256" t="s">
        <v>809</v>
      </c>
      <c r="E799" s="256" t="s">
        <v>290</v>
      </c>
      <c r="F799" s="195">
        <v>1020000</v>
      </c>
      <c r="G799" s="195">
        <v>1020000</v>
      </c>
      <c r="H799" s="143" t="str">
        <f t="shared" si="12"/>
        <v>07020110047020100</v>
      </c>
    </row>
    <row r="800" spans="1:8" ht="25.5" x14ac:dyDescent="0.2">
      <c r="A800" s="190" t="s">
        <v>1331</v>
      </c>
      <c r="B800" s="256" t="s">
        <v>220</v>
      </c>
      <c r="C800" s="256" t="s">
        <v>435</v>
      </c>
      <c r="D800" s="256" t="s">
        <v>809</v>
      </c>
      <c r="E800" s="256" t="s">
        <v>140</v>
      </c>
      <c r="F800" s="195">
        <v>1020000</v>
      </c>
      <c r="G800" s="195">
        <v>1020000</v>
      </c>
      <c r="H800" s="143" t="str">
        <f t="shared" si="12"/>
        <v>07020110047020110</v>
      </c>
    </row>
    <row r="801" spans="1:8" ht="25.5" x14ac:dyDescent="0.2">
      <c r="A801" s="190" t="s">
        <v>1225</v>
      </c>
      <c r="B801" s="256" t="s">
        <v>220</v>
      </c>
      <c r="C801" s="256" t="s">
        <v>435</v>
      </c>
      <c r="D801" s="256" t="s">
        <v>809</v>
      </c>
      <c r="E801" s="256" t="s">
        <v>431</v>
      </c>
      <c r="F801" s="195">
        <v>1020000</v>
      </c>
      <c r="G801" s="195">
        <v>1020000</v>
      </c>
      <c r="H801" s="143" t="str">
        <f t="shared" si="12"/>
        <v>07020110047020112</v>
      </c>
    </row>
    <row r="802" spans="1:8" ht="165.75" x14ac:dyDescent="0.2">
      <c r="A802" s="190" t="s">
        <v>627</v>
      </c>
      <c r="B802" s="256" t="s">
        <v>220</v>
      </c>
      <c r="C802" s="256" t="s">
        <v>435</v>
      </c>
      <c r="D802" s="256" t="s">
        <v>810</v>
      </c>
      <c r="E802" s="256" t="s">
        <v>1314</v>
      </c>
      <c r="F802" s="195">
        <v>87977000</v>
      </c>
      <c r="G802" s="195">
        <v>87977000</v>
      </c>
      <c r="H802" s="143" t="str">
        <f t="shared" si="12"/>
        <v>0702011004Г020</v>
      </c>
    </row>
    <row r="803" spans="1:8" ht="38.25" x14ac:dyDescent="0.2">
      <c r="A803" s="190" t="s">
        <v>1502</v>
      </c>
      <c r="B803" s="256" t="s">
        <v>220</v>
      </c>
      <c r="C803" s="256" t="s">
        <v>435</v>
      </c>
      <c r="D803" s="256" t="s">
        <v>810</v>
      </c>
      <c r="E803" s="256" t="s">
        <v>1503</v>
      </c>
      <c r="F803" s="195">
        <v>87977000</v>
      </c>
      <c r="G803" s="195">
        <v>87977000</v>
      </c>
      <c r="H803" s="143" t="str">
        <f t="shared" si="12"/>
        <v>0702011004Г020200</v>
      </c>
    </row>
    <row r="804" spans="1:8" ht="38.25" x14ac:dyDescent="0.2">
      <c r="A804" s="190" t="s">
        <v>1338</v>
      </c>
      <c r="B804" s="256" t="s">
        <v>220</v>
      </c>
      <c r="C804" s="256" t="s">
        <v>435</v>
      </c>
      <c r="D804" s="256" t="s">
        <v>810</v>
      </c>
      <c r="E804" s="256" t="s">
        <v>1339</v>
      </c>
      <c r="F804" s="195">
        <v>87977000</v>
      </c>
      <c r="G804" s="195">
        <v>87977000</v>
      </c>
      <c r="H804" s="143" t="str">
        <f t="shared" si="12"/>
        <v>0702011004Г020240</v>
      </c>
    </row>
    <row r="805" spans="1:8" x14ac:dyDescent="0.2">
      <c r="A805" s="190" t="s">
        <v>2024</v>
      </c>
      <c r="B805" s="256" t="s">
        <v>220</v>
      </c>
      <c r="C805" s="256" t="s">
        <v>435</v>
      </c>
      <c r="D805" s="256" t="s">
        <v>810</v>
      </c>
      <c r="E805" s="256" t="s">
        <v>2025</v>
      </c>
      <c r="F805" s="195">
        <v>87977000</v>
      </c>
      <c r="G805" s="195">
        <v>87977000</v>
      </c>
      <c r="H805" s="143" t="str">
        <f t="shared" si="12"/>
        <v>0702011004Г020247</v>
      </c>
    </row>
    <row r="806" spans="1:8" ht="140.25" x14ac:dyDescent="0.2">
      <c r="A806" s="190" t="s">
        <v>629</v>
      </c>
      <c r="B806" s="256" t="s">
        <v>220</v>
      </c>
      <c r="C806" s="256" t="s">
        <v>435</v>
      </c>
      <c r="D806" s="256" t="s">
        <v>815</v>
      </c>
      <c r="E806" s="256" t="s">
        <v>1314</v>
      </c>
      <c r="F806" s="195">
        <v>5400000</v>
      </c>
      <c r="G806" s="195">
        <v>5400000</v>
      </c>
      <c r="H806" s="143" t="str">
        <f t="shared" ref="H806:H869" si="13">CONCATENATE(C806,,D806,E806)</f>
        <v>0702011004П020</v>
      </c>
    </row>
    <row r="807" spans="1:8" ht="38.25" x14ac:dyDescent="0.2">
      <c r="A807" s="190" t="s">
        <v>1502</v>
      </c>
      <c r="B807" s="256" t="s">
        <v>220</v>
      </c>
      <c r="C807" s="256" t="s">
        <v>435</v>
      </c>
      <c r="D807" s="256" t="s">
        <v>815</v>
      </c>
      <c r="E807" s="256" t="s">
        <v>1503</v>
      </c>
      <c r="F807" s="195">
        <v>5400000</v>
      </c>
      <c r="G807" s="195">
        <v>5400000</v>
      </c>
      <c r="H807" s="143" t="str">
        <f t="shared" si="13"/>
        <v>0702011004П020200</v>
      </c>
    </row>
    <row r="808" spans="1:8" ht="38.25" x14ac:dyDescent="0.2">
      <c r="A808" s="190" t="s">
        <v>1338</v>
      </c>
      <c r="B808" s="256" t="s">
        <v>220</v>
      </c>
      <c r="C808" s="256" t="s">
        <v>435</v>
      </c>
      <c r="D808" s="256" t="s">
        <v>815</v>
      </c>
      <c r="E808" s="256" t="s">
        <v>1339</v>
      </c>
      <c r="F808" s="195">
        <v>5400000</v>
      </c>
      <c r="G808" s="195">
        <v>5400000</v>
      </c>
      <c r="H808" s="143" t="str">
        <f t="shared" si="13"/>
        <v>0702011004П020240</v>
      </c>
    </row>
    <row r="809" spans="1:8" x14ac:dyDescent="0.2">
      <c r="A809" s="190" t="s">
        <v>1379</v>
      </c>
      <c r="B809" s="256" t="s">
        <v>220</v>
      </c>
      <c r="C809" s="256" t="s">
        <v>435</v>
      </c>
      <c r="D809" s="256" t="s">
        <v>815</v>
      </c>
      <c r="E809" s="256" t="s">
        <v>368</v>
      </c>
      <c r="F809" s="195">
        <v>5400000</v>
      </c>
      <c r="G809" s="195">
        <v>5400000</v>
      </c>
      <c r="H809" s="143" t="str">
        <f t="shared" si="13"/>
        <v>0702011004П020244</v>
      </c>
    </row>
    <row r="810" spans="1:8" ht="140.25" x14ac:dyDescent="0.2">
      <c r="A810" s="190" t="s">
        <v>1024</v>
      </c>
      <c r="B810" s="256" t="s">
        <v>220</v>
      </c>
      <c r="C810" s="256" t="s">
        <v>435</v>
      </c>
      <c r="D810" s="256" t="s">
        <v>1025</v>
      </c>
      <c r="E810" s="256" t="s">
        <v>1314</v>
      </c>
      <c r="F810" s="195">
        <v>10340000</v>
      </c>
      <c r="G810" s="195">
        <v>10340000</v>
      </c>
      <c r="H810" s="143" t="str">
        <f t="shared" si="13"/>
        <v>0702011004Э020</v>
      </c>
    </row>
    <row r="811" spans="1:8" ht="38.25" x14ac:dyDescent="0.2">
      <c r="A811" s="190" t="s">
        <v>1502</v>
      </c>
      <c r="B811" s="256" t="s">
        <v>220</v>
      </c>
      <c r="C811" s="256" t="s">
        <v>435</v>
      </c>
      <c r="D811" s="256" t="s">
        <v>1025</v>
      </c>
      <c r="E811" s="256" t="s">
        <v>1503</v>
      </c>
      <c r="F811" s="195">
        <v>10340000</v>
      </c>
      <c r="G811" s="195">
        <v>10340000</v>
      </c>
      <c r="H811" s="143" t="str">
        <f t="shared" si="13"/>
        <v>0702011004Э020200</v>
      </c>
    </row>
    <row r="812" spans="1:8" ht="38.25" x14ac:dyDescent="0.2">
      <c r="A812" s="190" t="s">
        <v>1338</v>
      </c>
      <c r="B812" s="256" t="s">
        <v>220</v>
      </c>
      <c r="C812" s="256" t="s">
        <v>435</v>
      </c>
      <c r="D812" s="256" t="s">
        <v>1025</v>
      </c>
      <c r="E812" s="256" t="s">
        <v>1339</v>
      </c>
      <c r="F812" s="195">
        <v>10340000</v>
      </c>
      <c r="G812" s="195">
        <v>10340000</v>
      </c>
      <c r="H812" s="143" t="str">
        <f t="shared" si="13"/>
        <v>0702011004Э020240</v>
      </c>
    </row>
    <row r="813" spans="1:8" x14ac:dyDescent="0.2">
      <c r="A813" s="190" t="s">
        <v>2024</v>
      </c>
      <c r="B813" s="256" t="s">
        <v>220</v>
      </c>
      <c r="C813" s="256" t="s">
        <v>435</v>
      </c>
      <c r="D813" s="256" t="s">
        <v>1025</v>
      </c>
      <c r="E813" s="256" t="s">
        <v>2025</v>
      </c>
      <c r="F813" s="195">
        <v>10340000</v>
      </c>
      <c r="G813" s="195">
        <v>10340000</v>
      </c>
      <c r="H813" s="143" t="str">
        <f t="shared" si="13"/>
        <v>0702011004Э020247</v>
      </c>
    </row>
    <row r="814" spans="1:8" ht="331.5" x14ac:dyDescent="0.2">
      <c r="A814" s="190" t="s">
        <v>1548</v>
      </c>
      <c r="B814" s="256" t="s">
        <v>220</v>
      </c>
      <c r="C814" s="256" t="s">
        <v>435</v>
      </c>
      <c r="D814" s="256" t="s">
        <v>806</v>
      </c>
      <c r="E814" s="256" t="s">
        <v>1314</v>
      </c>
      <c r="F814" s="195">
        <v>91381800</v>
      </c>
      <c r="G814" s="195">
        <v>91381800</v>
      </c>
      <c r="H814" s="143" t="str">
        <f t="shared" si="13"/>
        <v>07020110074090</v>
      </c>
    </row>
    <row r="815" spans="1:8" ht="76.5" x14ac:dyDescent="0.2">
      <c r="A815" s="190" t="s">
        <v>1501</v>
      </c>
      <c r="B815" s="256" t="s">
        <v>220</v>
      </c>
      <c r="C815" s="256" t="s">
        <v>435</v>
      </c>
      <c r="D815" s="256" t="s">
        <v>806</v>
      </c>
      <c r="E815" s="256" t="s">
        <v>290</v>
      </c>
      <c r="F815" s="195">
        <v>81585176</v>
      </c>
      <c r="G815" s="195">
        <v>81585176</v>
      </c>
      <c r="H815" s="143" t="str">
        <f t="shared" si="13"/>
        <v>07020110074090100</v>
      </c>
    </row>
    <row r="816" spans="1:8" ht="25.5" x14ac:dyDescent="0.2">
      <c r="A816" s="190" t="s">
        <v>1331</v>
      </c>
      <c r="B816" s="256" t="s">
        <v>220</v>
      </c>
      <c r="C816" s="256" t="s">
        <v>435</v>
      </c>
      <c r="D816" s="256" t="s">
        <v>806</v>
      </c>
      <c r="E816" s="256" t="s">
        <v>140</v>
      </c>
      <c r="F816" s="195">
        <v>81585176</v>
      </c>
      <c r="G816" s="195">
        <v>81585176</v>
      </c>
      <c r="H816" s="143" t="str">
        <f t="shared" si="13"/>
        <v>07020110074090110</v>
      </c>
    </row>
    <row r="817" spans="1:8" x14ac:dyDescent="0.2">
      <c r="A817" s="190" t="s">
        <v>1216</v>
      </c>
      <c r="B817" s="256" t="s">
        <v>220</v>
      </c>
      <c r="C817" s="256" t="s">
        <v>435</v>
      </c>
      <c r="D817" s="256" t="s">
        <v>806</v>
      </c>
      <c r="E817" s="256" t="s">
        <v>382</v>
      </c>
      <c r="F817" s="195">
        <v>60848000</v>
      </c>
      <c r="G817" s="195">
        <v>60848000</v>
      </c>
      <c r="H817" s="143" t="str">
        <f t="shared" si="13"/>
        <v>07020110074090111</v>
      </c>
    </row>
    <row r="818" spans="1:8" ht="25.5" x14ac:dyDescent="0.2">
      <c r="A818" s="190" t="s">
        <v>1225</v>
      </c>
      <c r="B818" s="256" t="s">
        <v>220</v>
      </c>
      <c r="C818" s="256" t="s">
        <v>435</v>
      </c>
      <c r="D818" s="256" t="s">
        <v>806</v>
      </c>
      <c r="E818" s="256" t="s">
        <v>431</v>
      </c>
      <c r="F818" s="195">
        <v>2651000</v>
      </c>
      <c r="G818" s="195">
        <v>2651000</v>
      </c>
      <c r="H818" s="143" t="str">
        <f t="shared" si="13"/>
        <v>07020110074090112</v>
      </c>
    </row>
    <row r="819" spans="1:8" ht="51" x14ac:dyDescent="0.2">
      <c r="A819" s="190" t="s">
        <v>1217</v>
      </c>
      <c r="B819" s="256" t="s">
        <v>220</v>
      </c>
      <c r="C819" s="256" t="s">
        <v>435</v>
      </c>
      <c r="D819" s="256" t="s">
        <v>806</v>
      </c>
      <c r="E819" s="256" t="s">
        <v>1117</v>
      </c>
      <c r="F819" s="195">
        <v>18086176</v>
      </c>
      <c r="G819" s="195">
        <v>18086176</v>
      </c>
      <c r="H819" s="143" t="str">
        <f t="shared" si="13"/>
        <v>07020110074090119</v>
      </c>
    </row>
    <row r="820" spans="1:8" ht="38.25" x14ac:dyDescent="0.2">
      <c r="A820" s="190" t="s">
        <v>1502</v>
      </c>
      <c r="B820" s="256" t="s">
        <v>220</v>
      </c>
      <c r="C820" s="256" t="s">
        <v>435</v>
      </c>
      <c r="D820" s="256" t="s">
        <v>806</v>
      </c>
      <c r="E820" s="256" t="s">
        <v>1503</v>
      </c>
      <c r="F820" s="195">
        <v>9796624</v>
      </c>
      <c r="G820" s="195">
        <v>9796624</v>
      </c>
      <c r="H820" s="143" t="str">
        <f t="shared" si="13"/>
        <v>07020110074090200</v>
      </c>
    </row>
    <row r="821" spans="1:8" ht="38.25" x14ac:dyDescent="0.2">
      <c r="A821" s="190" t="s">
        <v>1338</v>
      </c>
      <c r="B821" s="256" t="s">
        <v>220</v>
      </c>
      <c r="C821" s="256" t="s">
        <v>435</v>
      </c>
      <c r="D821" s="256" t="s">
        <v>806</v>
      </c>
      <c r="E821" s="256" t="s">
        <v>1339</v>
      </c>
      <c r="F821" s="195">
        <v>9796624</v>
      </c>
      <c r="G821" s="195">
        <v>9796624</v>
      </c>
      <c r="H821" s="143" t="str">
        <f t="shared" si="13"/>
        <v>07020110074090240</v>
      </c>
    </row>
    <row r="822" spans="1:8" x14ac:dyDescent="0.2">
      <c r="A822" s="190" t="s">
        <v>1379</v>
      </c>
      <c r="B822" s="256" t="s">
        <v>220</v>
      </c>
      <c r="C822" s="256" t="s">
        <v>435</v>
      </c>
      <c r="D822" s="256" t="s">
        <v>806</v>
      </c>
      <c r="E822" s="256" t="s">
        <v>368</v>
      </c>
      <c r="F822" s="195">
        <v>9796624</v>
      </c>
      <c r="G822" s="195">
        <v>9796624</v>
      </c>
      <c r="H822" s="143" t="str">
        <f t="shared" si="13"/>
        <v>07020110074090244</v>
      </c>
    </row>
    <row r="823" spans="1:8" ht="331.5" x14ac:dyDescent="0.2">
      <c r="A823" s="190" t="s">
        <v>1549</v>
      </c>
      <c r="B823" s="256" t="s">
        <v>220</v>
      </c>
      <c r="C823" s="256" t="s">
        <v>435</v>
      </c>
      <c r="D823" s="256" t="s">
        <v>804</v>
      </c>
      <c r="E823" s="256" t="s">
        <v>1314</v>
      </c>
      <c r="F823" s="195">
        <v>367132179</v>
      </c>
      <c r="G823" s="195">
        <v>367132179</v>
      </c>
      <c r="H823" s="143" t="str">
        <f t="shared" si="13"/>
        <v>07020110075640</v>
      </c>
    </row>
    <row r="824" spans="1:8" ht="76.5" x14ac:dyDescent="0.2">
      <c r="A824" s="190" t="s">
        <v>1501</v>
      </c>
      <c r="B824" s="256" t="s">
        <v>220</v>
      </c>
      <c r="C824" s="256" t="s">
        <v>435</v>
      </c>
      <c r="D824" s="256" t="s">
        <v>804</v>
      </c>
      <c r="E824" s="256" t="s">
        <v>290</v>
      </c>
      <c r="F824" s="195">
        <v>333355065</v>
      </c>
      <c r="G824" s="195">
        <v>333355065</v>
      </c>
      <c r="H824" s="143" t="str">
        <f t="shared" si="13"/>
        <v>07020110075640100</v>
      </c>
    </row>
    <row r="825" spans="1:8" ht="25.5" x14ac:dyDescent="0.2">
      <c r="A825" s="190" t="s">
        <v>1331</v>
      </c>
      <c r="B825" s="256" t="s">
        <v>220</v>
      </c>
      <c r="C825" s="256" t="s">
        <v>435</v>
      </c>
      <c r="D825" s="256" t="s">
        <v>804</v>
      </c>
      <c r="E825" s="256" t="s">
        <v>140</v>
      </c>
      <c r="F825" s="195">
        <v>333355065</v>
      </c>
      <c r="G825" s="195">
        <v>333355065</v>
      </c>
      <c r="H825" s="143" t="str">
        <f t="shared" si="13"/>
        <v>07020110075640110</v>
      </c>
    </row>
    <row r="826" spans="1:8" x14ac:dyDescent="0.2">
      <c r="A826" s="190" t="s">
        <v>1216</v>
      </c>
      <c r="B826" s="256" t="s">
        <v>220</v>
      </c>
      <c r="C826" s="256" t="s">
        <v>435</v>
      </c>
      <c r="D826" s="256" t="s">
        <v>804</v>
      </c>
      <c r="E826" s="256" t="s">
        <v>382</v>
      </c>
      <c r="F826" s="195">
        <v>253978470</v>
      </c>
      <c r="G826" s="195">
        <v>253978470</v>
      </c>
      <c r="H826" s="143" t="str">
        <f t="shared" si="13"/>
        <v>07020110075640111</v>
      </c>
    </row>
    <row r="827" spans="1:8" ht="25.5" x14ac:dyDescent="0.2">
      <c r="A827" s="190" t="s">
        <v>1225</v>
      </c>
      <c r="B827" s="256" t="s">
        <v>220</v>
      </c>
      <c r="C827" s="256" t="s">
        <v>435</v>
      </c>
      <c r="D827" s="256" t="s">
        <v>804</v>
      </c>
      <c r="E827" s="256" t="s">
        <v>431</v>
      </c>
      <c r="F827" s="195">
        <v>2988715</v>
      </c>
      <c r="G827" s="195">
        <v>2988715</v>
      </c>
      <c r="H827" s="143" t="str">
        <f t="shared" si="13"/>
        <v>07020110075640112</v>
      </c>
    </row>
    <row r="828" spans="1:8" ht="51" x14ac:dyDescent="0.2">
      <c r="A828" s="190" t="s">
        <v>1217</v>
      </c>
      <c r="B828" s="256" t="s">
        <v>220</v>
      </c>
      <c r="C828" s="256" t="s">
        <v>435</v>
      </c>
      <c r="D828" s="256" t="s">
        <v>804</v>
      </c>
      <c r="E828" s="256" t="s">
        <v>1117</v>
      </c>
      <c r="F828" s="195">
        <v>76387880</v>
      </c>
      <c r="G828" s="195">
        <v>76387880</v>
      </c>
      <c r="H828" s="143" t="str">
        <f t="shared" si="13"/>
        <v>07020110075640119</v>
      </c>
    </row>
    <row r="829" spans="1:8" ht="38.25" x14ac:dyDescent="0.2">
      <c r="A829" s="190" t="s">
        <v>1502</v>
      </c>
      <c r="B829" s="256" t="s">
        <v>220</v>
      </c>
      <c r="C829" s="256" t="s">
        <v>435</v>
      </c>
      <c r="D829" s="256" t="s">
        <v>804</v>
      </c>
      <c r="E829" s="256" t="s">
        <v>1503</v>
      </c>
      <c r="F829" s="195">
        <v>33777114</v>
      </c>
      <c r="G829" s="195">
        <v>33777114</v>
      </c>
      <c r="H829" s="143" t="str">
        <f t="shared" si="13"/>
        <v>07020110075640200</v>
      </c>
    </row>
    <row r="830" spans="1:8" ht="38.25" x14ac:dyDescent="0.2">
      <c r="A830" s="190" t="s">
        <v>1338</v>
      </c>
      <c r="B830" s="256" t="s">
        <v>220</v>
      </c>
      <c r="C830" s="256" t="s">
        <v>435</v>
      </c>
      <c r="D830" s="256" t="s">
        <v>804</v>
      </c>
      <c r="E830" s="256" t="s">
        <v>1339</v>
      </c>
      <c r="F830" s="195">
        <v>33777114</v>
      </c>
      <c r="G830" s="195">
        <v>33777114</v>
      </c>
      <c r="H830" s="143" t="str">
        <f t="shared" si="13"/>
        <v>07020110075640240</v>
      </c>
    </row>
    <row r="831" spans="1:8" x14ac:dyDescent="0.2">
      <c r="A831" s="190" t="s">
        <v>1379</v>
      </c>
      <c r="B831" s="256" t="s">
        <v>220</v>
      </c>
      <c r="C831" s="256" t="s">
        <v>435</v>
      </c>
      <c r="D831" s="256" t="s">
        <v>804</v>
      </c>
      <c r="E831" s="256" t="s">
        <v>368</v>
      </c>
      <c r="F831" s="195">
        <v>33777114</v>
      </c>
      <c r="G831" s="195">
        <v>33777114</v>
      </c>
      <c r="H831" s="143" t="str">
        <f t="shared" si="13"/>
        <v>07020110075640244</v>
      </c>
    </row>
    <row r="832" spans="1:8" ht="89.25" x14ac:dyDescent="0.2">
      <c r="A832" s="190" t="s">
        <v>451</v>
      </c>
      <c r="B832" s="256" t="s">
        <v>220</v>
      </c>
      <c r="C832" s="256" t="s">
        <v>435</v>
      </c>
      <c r="D832" s="256" t="s">
        <v>818</v>
      </c>
      <c r="E832" s="256" t="s">
        <v>1314</v>
      </c>
      <c r="F832" s="195">
        <v>905000</v>
      </c>
      <c r="G832" s="195">
        <v>905000</v>
      </c>
      <c r="H832" s="143" t="str">
        <f t="shared" si="13"/>
        <v>07020110080020</v>
      </c>
    </row>
    <row r="833" spans="1:8" ht="38.25" x14ac:dyDescent="0.2">
      <c r="A833" s="190" t="s">
        <v>1502</v>
      </c>
      <c r="B833" s="256" t="s">
        <v>220</v>
      </c>
      <c r="C833" s="256" t="s">
        <v>435</v>
      </c>
      <c r="D833" s="256" t="s">
        <v>818</v>
      </c>
      <c r="E833" s="256" t="s">
        <v>1503</v>
      </c>
      <c r="F833" s="195">
        <v>800000</v>
      </c>
      <c r="G833" s="195">
        <v>800000</v>
      </c>
      <c r="H833" s="143" t="str">
        <f t="shared" si="13"/>
        <v>07020110080020200</v>
      </c>
    </row>
    <row r="834" spans="1:8" ht="38.25" x14ac:dyDescent="0.2">
      <c r="A834" s="190" t="s">
        <v>1338</v>
      </c>
      <c r="B834" s="256" t="s">
        <v>220</v>
      </c>
      <c r="C834" s="256" t="s">
        <v>435</v>
      </c>
      <c r="D834" s="256" t="s">
        <v>818</v>
      </c>
      <c r="E834" s="256" t="s">
        <v>1339</v>
      </c>
      <c r="F834" s="195">
        <v>800000</v>
      </c>
      <c r="G834" s="195">
        <v>800000</v>
      </c>
      <c r="H834" s="143" t="str">
        <f t="shared" si="13"/>
        <v>07020110080020240</v>
      </c>
    </row>
    <row r="835" spans="1:8" x14ac:dyDescent="0.2">
      <c r="A835" s="190" t="s">
        <v>1379</v>
      </c>
      <c r="B835" s="256" t="s">
        <v>220</v>
      </c>
      <c r="C835" s="256" t="s">
        <v>435</v>
      </c>
      <c r="D835" s="256" t="s">
        <v>818</v>
      </c>
      <c r="E835" s="256" t="s">
        <v>368</v>
      </c>
      <c r="F835" s="195">
        <v>800000</v>
      </c>
      <c r="G835" s="195">
        <v>800000</v>
      </c>
      <c r="H835" s="143" t="str">
        <f t="shared" si="13"/>
        <v>07020110080020244</v>
      </c>
    </row>
    <row r="836" spans="1:8" ht="25.5" x14ac:dyDescent="0.2">
      <c r="A836" s="190" t="s">
        <v>1506</v>
      </c>
      <c r="B836" s="256" t="s">
        <v>220</v>
      </c>
      <c r="C836" s="256" t="s">
        <v>435</v>
      </c>
      <c r="D836" s="256" t="s">
        <v>818</v>
      </c>
      <c r="E836" s="256" t="s">
        <v>1507</v>
      </c>
      <c r="F836" s="195">
        <v>105000</v>
      </c>
      <c r="G836" s="195">
        <v>105000</v>
      </c>
      <c r="H836" s="143" t="str">
        <f t="shared" si="13"/>
        <v>07020110080020300</v>
      </c>
    </row>
    <row r="837" spans="1:8" x14ac:dyDescent="0.2">
      <c r="A837" s="190" t="s">
        <v>573</v>
      </c>
      <c r="B837" s="256" t="s">
        <v>220</v>
      </c>
      <c r="C837" s="256" t="s">
        <v>435</v>
      </c>
      <c r="D837" s="256" t="s">
        <v>818</v>
      </c>
      <c r="E837" s="256" t="s">
        <v>574</v>
      </c>
      <c r="F837" s="195">
        <v>105000</v>
      </c>
      <c r="G837" s="195">
        <v>105000</v>
      </c>
      <c r="H837" s="143" t="str">
        <f t="shared" si="13"/>
        <v>07020110080020360</v>
      </c>
    </row>
    <row r="838" spans="1:8" ht="89.25" x14ac:dyDescent="0.2">
      <c r="A838" s="190" t="s">
        <v>575</v>
      </c>
      <c r="B838" s="256" t="s">
        <v>220</v>
      </c>
      <c r="C838" s="256" t="s">
        <v>435</v>
      </c>
      <c r="D838" s="256" t="s">
        <v>821</v>
      </c>
      <c r="E838" s="256" t="s">
        <v>1314</v>
      </c>
      <c r="F838" s="195">
        <v>187200</v>
      </c>
      <c r="G838" s="195">
        <v>187200</v>
      </c>
      <c r="H838" s="143" t="str">
        <f t="shared" si="13"/>
        <v>07020110080040</v>
      </c>
    </row>
    <row r="839" spans="1:8" ht="25.5" x14ac:dyDescent="0.2">
      <c r="A839" s="190" t="s">
        <v>1506</v>
      </c>
      <c r="B839" s="256" t="s">
        <v>220</v>
      </c>
      <c r="C839" s="256" t="s">
        <v>435</v>
      </c>
      <c r="D839" s="256" t="s">
        <v>821</v>
      </c>
      <c r="E839" s="256" t="s">
        <v>1507</v>
      </c>
      <c r="F839" s="195">
        <v>187200</v>
      </c>
      <c r="G839" s="195">
        <v>187200</v>
      </c>
      <c r="H839" s="143" t="str">
        <f t="shared" si="13"/>
        <v>07020110080040300</v>
      </c>
    </row>
    <row r="840" spans="1:8" x14ac:dyDescent="0.2">
      <c r="A840" s="190" t="s">
        <v>573</v>
      </c>
      <c r="B840" s="256" t="s">
        <v>220</v>
      </c>
      <c r="C840" s="256" t="s">
        <v>435</v>
      </c>
      <c r="D840" s="256" t="s">
        <v>821</v>
      </c>
      <c r="E840" s="256" t="s">
        <v>574</v>
      </c>
      <c r="F840" s="195">
        <v>187200</v>
      </c>
      <c r="G840" s="195">
        <v>187200</v>
      </c>
      <c r="H840" s="143" t="str">
        <f t="shared" si="13"/>
        <v>07020110080040360</v>
      </c>
    </row>
    <row r="841" spans="1:8" ht="76.5" x14ac:dyDescent="0.2">
      <c r="A841" s="190" t="s">
        <v>631</v>
      </c>
      <c r="B841" s="256" t="s">
        <v>220</v>
      </c>
      <c r="C841" s="256" t="s">
        <v>435</v>
      </c>
      <c r="D841" s="256" t="s">
        <v>820</v>
      </c>
      <c r="E841" s="256" t="s">
        <v>1314</v>
      </c>
      <c r="F841" s="195">
        <v>40000</v>
      </c>
      <c r="G841" s="195">
        <v>40000</v>
      </c>
      <c r="H841" s="143" t="str">
        <f t="shared" si="13"/>
        <v>0702011008П020</v>
      </c>
    </row>
    <row r="842" spans="1:8" ht="38.25" x14ac:dyDescent="0.2">
      <c r="A842" s="190" t="s">
        <v>1502</v>
      </c>
      <c r="B842" s="256" t="s">
        <v>220</v>
      </c>
      <c r="C842" s="256" t="s">
        <v>435</v>
      </c>
      <c r="D842" s="256" t="s">
        <v>820</v>
      </c>
      <c r="E842" s="256" t="s">
        <v>1503</v>
      </c>
      <c r="F842" s="195">
        <v>40000</v>
      </c>
      <c r="G842" s="195">
        <v>40000</v>
      </c>
      <c r="H842" s="143" t="str">
        <f t="shared" si="13"/>
        <v>0702011008П020200</v>
      </c>
    </row>
    <row r="843" spans="1:8" ht="38.25" x14ac:dyDescent="0.2">
      <c r="A843" s="190" t="s">
        <v>1338</v>
      </c>
      <c r="B843" s="256" t="s">
        <v>220</v>
      </c>
      <c r="C843" s="256" t="s">
        <v>435</v>
      </c>
      <c r="D843" s="256" t="s">
        <v>820</v>
      </c>
      <c r="E843" s="256" t="s">
        <v>1339</v>
      </c>
      <c r="F843" s="195">
        <v>40000</v>
      </c>
      <c r="G843" s="195">
        <v>40000</v>
      </c>
      <c r="H843" s="143" t="str">
        <f t="shared" si="13"/>
        <v>0702011008П020240</v>
      </c>
    </row>
    <row r="844" spans="1:8" x14ac:dyDescent="0.2">
      <c r="A844" s="190" t="s">
        <v>1379</v>
      </c>
      <c r="B844" s="256" t="s">
        <v>220</v>
      </c>
      <c r="C844" s="256" t="s">
        <v>435</v>
      </c>
      <c r="D844" s="256" t="s">
        <v>820</v>
      </c>
      <c r="E844" s="256" t="s">
        <v>368</v>
      </c>
      <c r="F844" s="195">
        <v>40000</v>
      </c>
      <c r="G844" s="195">
        <v>40000</v>
      </c>
      <c r="H844" s="143" t="str">
        <f t="shared" si="13"/>
        <v>0702011008П020244</v>
      </c>
    </row>
    <row r="845" spans="1:8" ht="114.75" x14ac:dyDescent="0.2">
      <c r="A845" s="190" t="s">
        <v>1685</v>
      </c>
      <c r="B845" s="256" t="s">
        <v>220</v>
      </c>
      <c r="C845" s="256" t="s">
        <v>435</v>
      </c>
      <c r="D845" s="256" t="s">
        <v>1550</v>
      </c>
      <c r="E845" s="256" t="s">
        <v>1314</v>
      </c>
      <c r="F845" s="195">
        <v>8492000</v>
      </c>
      <c r="G845" s="195">
        <v>8492000</v>
      </c>
      <c r="H845" s="143" t="str">
        <f t="shared" si="13"/>
        <v>070201100S5630</v>
      </c>
    </row>
    <row r="846" spans="1:8" ht="38.25" x14ac:dyDescent="0.2">
      <c r="A846" s="190" t="s">
        <v>1502</v>
      </c>
      <c r="B846" s="256" t="s">
        <v>220</v>
      </c>
      <c r="C846" s="256" t="s">
        <v>435</v>
      </c>
      <c r="D846" s="256" t="s">
        <v>1550</v>
      </c>
      <c r="E846" s="256" t="s">
        <v>1503</v>
      </c>
      <c r="F846" s="195">
        <v>8492000</v>
      </c>
      <c r="G846" s="195">
        <v>8492000</v>
      </c>
      <c r="H846" s="143" t="str">
        <f t="shared" si="13"/>
        <v>070201100S5630200</v>
      </c>
    </row>
    <row r="847" spans="1:8" ht="38.25" x14ac:dyDescent="0.2">
      <c r="A847" s="190" t="s">
        <v>1338</v>
      </c>
      <c r="B847" s="256" t="s">
        <v>220</v>
      </c>
      <c r="C847" s="256" t="s">
        <v>435</v>
      </c>
      <c r="D847" s="256" t="s">
        <v>1550</v>
      </c>
      <c r="E847" s="256" t="s">
        <v>1339</v>
      </c>
      <c r="F847" s="195">
        <v>8492000</v>
      </c>
      <c r="G847" s="195">
        <v>8492000</v>
      </c>
      <c r="H847" s="143" t="str">
        <f t="shared" si="13"/>
        <v>070201100S5630240</v>
      </c>
    </row>
    <row r="848" spans="1:8" x14ac:dyDescent="0.2">
      <c r="A848" s="190" t="s">
        <v>1379</v>
      </c>
      <c r="B848" s="256" t="s">
        <v>220</v>
      </c>
      <c r="C848" s="256" t="s">
        <v>435</v>
      </c>
      <c r="D848" s="256" t="s">
        <v>1550</v>
      </c>
      <c r="E848" s="256" t="s">
        <v>368</v>
      </c>
      <c r="F848" s="195">
        <v>8492000</v>
      </c>
      <c r="G848" s="195">
        <v>8492000</v>
      </c>
      <c r="H848" s="143" t="str">
        <f t="shared" si="13"/>
        <v>070201100S5630244</v>
      </c>
    </row>
    <row r="849" spans="1:8" ht="153" x14ac:dyDescent="0.2">
      <c r="A849" s="190" t="s">
        <v>1687</v>
      </c>
      <c r="B849" s="256" t="s">
        <v>220</v>
      </c>
      <c r="C849" s="256" t="s">
        <v>435</v>
      </c>
      <c r="D849" s="256" t="s">
        <v>1926</v>
      </c>
      <c r="E849" s="256" t="s">
        <v>1314</v>
      </c>
      <c r="F849" s="195">
        <v>7711400</v>
      </c>
      <c r="G849" s="195">
        <v>458800</v>
      </c>
      <c r="H849" s="143" t="str">
        <f t="shared" si="13"/>
        <v>0702011E151690</v>
      </c>
    </row>
    <row r="850" spans="1:8" ht="38.25" x14ac:dyDescent="0.2">
      <c r="A850" s="190" t="s">
        <v>1502</v>
      </c>
      <c r="B850" s="256" t="s">
        <v>220</v>
      </c>
      <c r="C850" s="256" t="s">
        <v>435</v>
      </c>
      <c r="D850" s="256" t="s">
        <v>1926</v>
      </c>
      <c r="E850" s="256" t="s">
        <v>1503</v>
      </c>
      <c r="F850" s="195">
        <v>7711400</v>
      </c>
      <c r="G850" s="195">
        <v>458800</v>
      </c>
      <c r="H850" s="143" t="str">
        <f t="shared" si="13"/>
        <v>0702011E151690200</v>
      </c>
    </row>
    <row r="851" spans="1:8" ht="38.25" x14ac:dyDescent="0.2">
      <c r="A851" s="190" t="s">
        <v>1338</v>
      </c>
      <c r="B851" s="256" t="s">
        <v>220</v>
      </c>
      <c r="C851" s="256" t="s">
        <v>435</v>
      </c>
      <c r="D851" s="256" t="s">
        <v>1926</v>
      </c>
      <c r="E851" s="256" t="s">
        <v>1339</v>
      </c>
      <c r="F851" s="195">
        <v>7711400</v>
      </c>
      <c r="G851" s="195">
        <v>458800</v>
      </c>
      <c r="H851" s="143" t="str">
        <f t="shared" si="13"/>
        <v>0702011E151690240</v>
      </c>
    </row>
    <row r="852" spans="1:8" x14ac:dyDescent="0.2">
      <c r="A852" s="190" t="s">
        <v>1379</v>
      </c>
      <c r="B852" s="256" t="s">
        <v>220</v>
      </c>
      <c r="C852" s="256" t="s">
        <v>435</v>
      </c>
      <c r="D852" s="256" t="s">
        <v>1926</v>
      </c>
      <c r="E852" s="256" t="s">
        <v>368</v>
      </c>
      <c r="F852" s="195">
        <v>7711400</v>
      </c>
      <c r="G852" s="195">
        <v>458800</v>
      </c>
      <c r="H852" s="143" t="str">
        <f t="shared" si="13"/>
        <v>0702011E151690244</v>
      </c>
    </row>
    <row r="853" spans="1:8" ht="114.75" x14ac:dyDescent="0.2">
      <c r="A853" s="190" t="s">
        <v>1740</v>
      </c>
      <c r="B853" s="256" t="s">
        <v>220</v>
      </c>
      <c r="C853" s="256" t="s">
        <v>435</v>
      </c>
      <c r="D853" s="256" t="s">
        <v>1741</v>
      </c>
      <c r="E853" s="256" t="s">
        <v>1314</v>
      </c>
      <c r="F853" s="195">
        <v>2873500</v>
      </c>
      <c r="G853" s="195">
        <v>171000</v>
      </c>
      <c r="H853" s="143" t="str">
        <f t="shared" si="13"/>
        <v>0702011E452100</v>
      </c>
    </row>
    <row r="854" spans="1:8" ht="38.25" x14ac:dyDescent="0.2">
      <c r="A854" s="190" t="s">
        <v>1502</v>
      </c>
      <c r="B854" s="256" t="s">
        <v>220</v>
      </c>
      <c r="C854" s="256" t="s">
        <v>435</v>
      </c>
      <c r="D854" s="256" t="s">
        <v>1741</v>
      </c>
      <c r="E854" s="256" t="s">
        <v>1503</v>
      </c>
      <c r="F854" s="195">
        <v>2873500</v>
      </c>
      <c r="G854" s="195">
        <v>171000</v>
      </c>
      <c r="H854" s="143" t="str">
        <f t="shared" si="13"/>
        <v>0702011E452100200</v>
      </c>
    </row>
    <row r="855" spans="1:8" ht="38.25" x14ac:dyDescent="0.2">
      <c r="A855" s="190" t="s">
        <v>1338</v>
      </c>
      <c r="B855" s="256" t="s">
        <v>220</v>
      </c>
      <c r="C855" s="256" t="s">
        <v>435</v>
      </c>
      <c r="D855" s="256" t="s">
        <v>1741</v>
      </c>
      <c r="E855" s="256" t="s">
        <v>1339</v>
      </c>
      <c r="F855" s="195">
        <v>2873500</v>
      </c>
      <c r="G855" s="195">
        <v>171000</v>
      </c>
      <c r="H855" s="143" t="str">
        <f t="shared" si="13"/>
        <v>0702011E452100240</v>
      </c>
    </row>
    <row r="856" spans="1:8" x14ac:dyDescent="0.2">
      <c r="A856" s="190" t="s">
        <v>1379</v>
      </c>
      <c r="B856" s="256" t="s">
        <v>220</v>
      </c>
      <c r="C856" s="256" t="s">
        <v>435</v>
      </c>
      <c r="D856" s="256" t="s">
        <v>1741</v>
      </c>
      <c r="E856" s="256" t="s">
        <v>368</v>
      </c>
      <c r="F856" s="195">
        <v>2873500</v>
      </c>
      <c r="G856" s="195">
        <v>171000</v>
      </c>
      <c r="H856" s="143" t="str">
        <f t="shared" si="13"/>
        <v>0702011E452100244</v>
      </c>
    </row>
    <row r="857" spans="1:8" x14ac:dyDescent="0.2">
      <c r="A857" s="190" t="s">
        <v>1147</v>
      </c>
      <c r="B857" s="256" t="s">
        <v>220</v>
      </c>
      <c r="C857" s="256" t="s">
        <v>1148</v>
      </c>
      <c r="D857" s="256" t="s">
        <v>1314</v>
      </c>
      <c r="E857" s="256" t="s">
        <v>1314</v>
      </c>
      <c r="F857" s="195">
        <v>50782921</v>
      </c>
      <c r="G857" s="195">
        <v>50782921</v>
      </c>
      <c r="H857" s="143" t="str">
        <f t="shared" si="13"/>
        <v>0703</v>
      </c>
    </row>
    <row r="858" spans="1:8" ht="25.5" x14ac:dyDescent="0.2">
      <c r="A858" s="190" t="s">
        <v>483</v>
      </c>
      <c r="B858" s="256" t="s">
        <v>220</v>
      </c>
      <c r="C858" s="256" t="s">
        <v>1148</v>
      </c>
      <c r="D858" s="256" t="s">
        <v>1031</v>
      </c>
      <c r="E858" s="256" t="s">
        <v>1314</v>
      </c>
      <c r="F858" s="195">
        <v>50702921</v>
      </c>
      <c r="G858" s="195">
        <v>50702921</v>
      </c>
      <c r="H858" s="143" t="str">
        <f t="shared" si="13"/>
        <v>07030100000000</v>
      </c>
    </row>
    <row r="859" spans="1:8" ht="38.25" x14ac:dyDescent="0.2">
      <c r="A859" s="190" t="s">
        <v>484</v>
      </c>
      <c r="B859" s="256" t="s">
        <v>220</v>
      </c>
      <c r="C859" s="256" t="s">
        <v>1148</v>
      </c>
      <c r="D859" s="256" t="s">
        <v>1032</v>
      </c>
      <c r="E859" s="256" t="s">
        <v>1314</v>
      </c>
      <c r="F859" s="195">
        <v>50702921</v>
      </c>
      <c r="G859" s="195">
        <v>50702921</v>
      </c>
      <c r="H859" s="143" t="str">
        <f t="shared" si="13"/>
        <v>07030110000000</v>
      </c>
    </row>
    <row r="860" spans="1:8" ht="140.25" x14ac:dyDescent="0.2">
      <c r="A860" s="190" t="s">
        <v>454</v>
      </c>
      <c r="B860" s="256" t="s">
        <v>220</v>
      </c>
      <c r="C860" s="256" t="s">
        <v>1148</v>
      </c>
      <c r="D860" s="256" t="s">
        <v>811</v>
      </c>
      <c r="E860" s="256" t="s">
        <v>1314</v>
      </c>
      <c r="F860" s="195">
        <v>31116400</v>
      </c>
      <c r="G860" s="195">
        <v>31116400</v>
      </c>
      <c r="H860" s="143" t="str">
        <f t="shared" si="13"/>
        <v>07030110040030</v>
      </c>
    </row>
    <row r="861" spans="1:8" ht="76.5" x14ac:dyDescent="0.2">
      <c r="A861" s="190" t="s">
        <v>1501</v>
      </c>
      <c r="B861" s="256" t="s">
        <v>220</v>
      </c>
      <c r="C861" s="256" t="s">
        <v>1148</v>
      </c>
      <c r="D861" s="256" t="s">
        <v>811</v>
      </c>
      <c r="E861" s="256" t="s">
        <v>290</v>
      </c>
      <c r="F861" s="195">
        <v>16445000</v>
      </c>
      <c r="G861" s="195">
        <v>16445000</v>
      </c>
      <c r="H861" s="143" t="str">
        <f t="shared" si="13"/>
        <v>07030110040030100</v>
      </c>
    </row>
    <row r="862" spans="1:8" ht="25.5" x14ac:dyDescent="0.2">
      <c r="A862" s="190" t="s">
        <v>1331</v>
      </c>
      <c r="B862" s="256" t="s">
        <v>220</v>
      </c>
      <c r="C862" s="256" t="s">
        <v>1148</v>
      </c>
      <c r="D862" s="256" t="s">
        <v>811</v>
      </c>
      <c r="E862" s="256" t="s">
        <v>140</v>
      </c>
      <c r="F862" s="195">
        <v>16445000</v>
      </c>
      <c r="G862" s="195">
        <v>16445000</v>
      </c>
      <c r="H862" s="143" t="str">
        <f t="shared" si="13"/>
        <v>07030110040030110</v>
      </c>
    </row>
    <row r="863" spans="1:8" x14ac:dyDescent="0.2">
      <c r="A863" s="190" t="s">
        <v>1216</v>
      </c>
      <c r="B863" s="256" t="s">
        <v>220</v>
      </c>
      <c r="C863" s="256" t="s">
        <v>1148</v>
      </c>
      <c r="D863" s="256" t="s">
        <v>811</v>
      </c>
      <c r="E863" s="256" t="s">
        <v>382</v>
      </c>
      <c r="F863" s="195">
        <v>12540000</v>
      </c>
      <c r="G863" s="195">
        <v>12540000</v>
      </c>
      <c r="H863" s="143" t="str">
        <f t="shared" si="13"/>
        <v>07030110040030111</v>
      </c>
    </row>
    <row r="864" spans="1:8" ht="25.5" x14ac:dyDescent="0.2">
      <c r="A864" s="190" t="s">
        <v>1225</v>
      </c>
      <c r="B864" s="256" t="s">
        <v>220</v>
      </c>
      <c r="C864" s="256" t="s">
        <v>1148</v>
      </c>
      <c r="D864" s="256" t="s">
        <v>811</v>
      </c>
      <c r="E864" s="256" t="s">
        <v>431</v>
      </c>
      <c r="F864" s="195">
        <v>130000</v>
      </c>
      <c r="G864" s="195">
        <v>130000</v>
      </c>
      <c r="H864" s="143" t="str">
        <f t="shared" si="13"/>
        <v>07030110040030112</v>
      </c>
    </row>
    <row r="865" spans="1:8" ht="51" x14ac:dyDescent="0.2">
      <c r="A865" s="190" t="s">
        <v>1217</v>
      </c>
      <c r="B865" s="256" t="s">
        <v>220</v>
      </c>
      <c r="C865" s="256" t="s">
        <v>1148</v>
      </c>
      <c r="D865" s="256" t="s">
        <v>811</v>
      </c>
      <c r="E865" s="256" t="s">
        <v>1117</v>
      </c>
      <c r="F865" s="195">
        <v>3775000</v>
      </c>
      <c r="G865" s="195">
        <v>3775000</v>
      </c>
      <c r="H865" s="143" t="str">
        <f t="shared" si="13"/>
        <v>07030110040030119</v>
      </c>
    </row>
    <row r="866" spans="1:8" ht="38.25" x14ac:dyDescent="0.2">
      <c r="A866" s="190" t="s">
        <v>1502</v>
      </c>
      <c r="B866" s="256" t="s">
        <v>220</v>
      </c>
      <c r="C866" s="256" t="s">
        <v>1148</v>
      </c>
      <c r="D866" s="256" t="s">
        <v>811</v>
      </c>
      <c r="E866" s="256" t="s">
        <v>1503</v>
      </c>
      <c r="F866" s="195">
        <v>742500</v>
      </c>
      <c r="G866" s="195">
        <v>742500</v>
      </c>
      <c r="H866" s="143" t="str">
        <f t="shared" si="13"/>
        <v>07030110040030200</v>
      </c>
    </row>
    <row r="867" spans="1:8" ht="38.25" x14ac:dyDescent="0.2">
      <c r="A867" s="190" t="s">
        <v>1338</v>
      </c>
      <c r="B867" s="256" t="s">
        <v>220</v>
      </c>
      <c r="C867" s="256" t="s">
        <v>1148</v>
      </c>
      <c r="D867" s="256" t="s">
        <v>811</v>
      </c>
      <c r="E867" s="256" t="s">
        <v>1339</v>
      </c>
      <c r="F867" s="195">
        <v>742500</v>
      </c>
      <c r="G867" s="195">
        <v>742500</v>
      </c>
      <c r="H867" s="143" t="str">
        <f t="shared" si="13"/>
        <v>07030110040030240</v>
      </c>
    </row>
    <row r="868" spans="1:8" x14ac:dyDescent="0.2">
      <c r="A868" s="190" t="s">
        <v>1379</v>
      </c>
      <c r="B868" s="256" t="s">
        <v>220</v>
      </c>
      <c r="C868" s="256" t="s">
        <v>1148</v>
      </c>
      <c r="D868" s="256" t="s">
        <v>811</v>
      </c>
      <c r="E868" s="256" t="s">
        <v>368</v>
      </c>
      <c r="F868" s="195">
        <v>742500</v>
      </c>
      <c r="G868" s="195">
        <v>742500</v>
      </c>
      <c r="H868" s="143" t="str">
        <f t="shared" si="13"/>
        <v>07030110040030244</v>
      </c>
    </row>
    <row r="869" spans="1:8" ht="38.25" x14ac:dyDescent="0.2">
      <c r="A869" s="190" t="s">
        <v>1510</v>
      </c>
      <c r="B869" s="256" t="s">
        <v>220</v>
      </c>
      <c r="C869" s="256" t="s">
        <v>1148</v>
      </c>
      <c r="D869" s="256" t="s">
        <v>811</v>
      </c>
      <c r="E869" s="256" t="s">
        <v>1511</v>
      </c>
      <c r="F869" s="195">
        <v>13926900</v>
      </c>
      <c r="G869" s="195">
        <v>13926900</v>
      </c>
      <c r="H869" s="143" t="str">
        <f t="shared" si="13"/>
        <v>07030110040030600</v>
      </c>
    </row>
    <row r="870" spans="1:8" x14ac:dyDescent="0.2">
      <c r="A870" s="190" t="s">
        <v>1340</v>
      </c>
      <c r="B870" s="256" t="s">
        <v>220</v>
      </c>
      <c r="C870" s="256" t="s">
        <v>1148</v>
      </c>
      <c r="D870" s="256" t="s">
        <v>811</v>
      </c>
      <c r="E870" s="256" t="s">
        <v>1341</v>
      </c>
      <c r="F870" s="195">
        <v>13926900</v>
      </c>
      <c r="G870" s="195">
        <v>13926900</v>
      </c>
      <c r="H870" s="143" t="str">
        <f t="shared" ref="H870:H933" si="14">CONCATENATE(C870,,D870,E870)</f>
        <v>07030110040030610</v>
      </c>
    </row>
    <row r="871" spans="1:8" ht="76.5" x14ac:dyDescent="0.2">
      <c r="A871" s="190" t="s">
        <v>387</v>
      </c>
      <c r="B871" s="256" t="s">
        <v>220</v>
      </c>
      <c r="C871" s="256" t="s">
        <v>1148</v>
      </c>
      <c r="D871" s="256" t="s">
        <v>811</v>
      </c>
      <c r="E871" s="256" t="s">
        <v>388</v>
      </c>
      <c r="F871" s="195">
        <v>13926900</v>
      </c>
      <c r="G871" s="195">
        <v>13926900</v>
      </c>
      <c r="H871" s="143" t="str">
        <f t="shared" si="14"/>
        <v>07030110040030611</v>
      </c>
    </row>
    <row r="872" spans="1:8" x14ac:dyDescent="0.2">
      <c r="A872" s="190" t="s">
        <v>1504</v>
      </c>
      <c r="B872" s="256" t="s">
        <v>220</v>
      </c>
      <c r="C872" s="256" t="s">
        <v>1148</v>
      </c>
      <c r="D872" s="256" t="s">
        <v>811</v>
      </c>
      <c r="E872" s="256" t="s">
        <v>1505</v>
      </c>
      <c r="F872" s="195">
        <v>2000</v>
      </c>
      <c r="G872" s="195">
        <v>2000</v>
      </c>
      <c r="H872" s="143" t="str">
        <f t="shared" si="14"/>
        <v>07030110040030800</v>
      </c>
    </row>
    <row r="873" spans="1:8" x14ac:dyDescent="0.2">
      <c r="A873" s="190" t="s">
        <v>1343</v>
      </c>
      <c r="B873" s="256" t="s">
        <v>220</v>
      </c>
      <c r="C873" s="256" t="s">
        <v>1148</v>
      </c>
      <c r="D873" s="256" t="s">
        <v>811</v>
      </c>
      <c r="E873" s="256" t="s">
        <v>1344</v>
      </c>
      <c r="F873" s="195">
        <v>2000</v>
      </c>
      <c r="G873" s="195">
        <v>2000</v>
      </c>
      <c r="H873" s="143" t="str">
        <f t="shared" si="14"/>
        <v>07030110040030850</v>
      </c>
    </row>
    <row r="874" spans="1:8" x14ac:dyDescent="0.2">
      <c r="A874" s="190" t="s">
        <v>1118</v>
      </c>
      <c r="B874" s="256" t="s">
        <v>220</v>
      </c>
      <c r="C874" s="256" t="s">
        <v>1148</v>
      </c>
      <c r="D874" s="256" t="s">
        <v>811</v>
      </c>
      <c r="E874" s="256" t="s">
        <v>1119</v>
      </c>
      <c r="F874" s="195">
        <v>2000</v>
      </c>
      <c r="G874" s="195">
        <v>2000</v>
      </c>
      <c r="H874" s="143" t="str">
        <f t="shared" si="14"/>
        <v>07030110040030853</v>
      </c>
    </row>
    <row r="875" spans="1:8" ht="191.25" x14ac:dyDescent="0.2">
      <c r="A875" s="190" t="s">
        <v>1689</v>
      </c>
      <c r="B875" s="256" t="s">
        <v>220</v>
      </c>
      <c r="C875" s="256" t="s">
        <v>1148</v>
      </c>
      <c r="D875" s="256" t="s">
        <v>1690</v>
      </c>
      <c r="E875" s="256" t="s">
        <v>1314</v>
      </c>
      <c r="F875" s="195">
        <v>651000</v>
      </c>
      <c r="G875" s="195">
        <v>651000</v>
      </c>
      <c r="H875" s="143" t="str">
        <f t="shared" si="14"/>
        <v>07030110040032</v>
      </c>
    </row>
    <row r="876" spans="1:8" ht="76.5" x14ac:dyDescent="0.2">
      <c r="A876" s="190" t="s">
        <v>1501</v>
      </c>
      <c r="B876" s="256" t="s">
        <v>220</v>
      </c>
      <c r="C876" s="256" t="s">
        <v>1148</v>
      </c>
      <c r="D876" s="256" t="s">
        <v>1690</v>
      </c>
      <c r="E876" s="256" t="s">
        <v>290</v>
      </c>
      <c r="F876" s="195">
        <v>651000</v>
      </c>
      <c r="G876" s="195">
        <v>651000</v>
      </c>
      <c r="H876" s="143" t="str">
        <f t="shared" si="14"/>
        <v>07030110040032100</v>
      </c>
    </row>
    <row r="877" spans="1:8" ht="25.5" x14ac:dyDescent="0.2">
      <c r="A877" s="190" t="s">
        <v>1331</v>
      </c>
      <c r="B877" s="256" t="s">
        <v>220</v>
      </c>
      <c r="C877" s="256" t="s">
        <v>1148</v>
      </c>
      <c r="D877" s="256" t="s">
        <v>1690</v>
      </c>
      <c r="E877" s="256" t="s">
        <v>140</v>
      </c>
      <c r="F877" s="195">
        <v>651000</v>
      </c>
      <c r="G877" s="195">
        <v>651000</v>
      </c>
      <c r="H877" s="143" t="str">
        <f t="shared" si="14"/>
        <v>07030110040032110</v>
      </c>
    </row>
    <row r="878" spans="1:8" x14ac:dyDescent="0.2">
      <c r="A878" s="190" t="s">
        <v>1216</v>
      </c>
      <c r="B878" s="256" t="s">
        <v>220</v>
      </c>
      <c r="C878" s="256" t="s">
        <v>1148</v>
      </c>
      <c r="D878" s="256" t="s">
        <v>1690</v>
      </c>
      <c r="E878" s="256" t="s">
        <v>382</v>
      </c>
      <c r="F878" s="195">
        <v>500000</v>
      </c>
      <c r="G878" s="195">
        <v>500000</v>
      </c>
      <c r="H878" s="143" t="str">
        <f t="shared" si="14"/>
        <v>07030110040032111</v>
      </c>
    </row>
    <row r="879" spans="1:8" ht="51" x14ac:dyDescent="0.2">
      <c r="A879" s="190" t="s">
        <v>1217</v>
      </c>
      <c r="B879" s="256" t="s">
        <v>220</v>
      </c>
      <c r="C879" s="256" t="s">
        <v>1148</v>
      </c>
      <c r="D879" s="256" t="s">
        <v>1690</v>
      </c>
      <c r="E879" s="256" t="s">
        <v>1117</v>
      </c>
      <c r="F879" s="195">
        <v>151000</v>
      </c>
      <c r="G879" s="195">
        <v>151000</v>
      </c>
      <c r="H879" s="143" t="str">
        <f t="shared" si="14"/>
        <v>07030110040032119</v>
      </c>
    </row>
    <row r="880" spans="1:8" ht="229.5" x14ac:dyDescent="0.2">
      <c r="A880" s="190" t="s">
        <v>1691</v>
      </c>
      <c r="B880" s="256" t="s">
        <v>220</v>
      </c>
      <c r="C880" s="256" t="s">
        <v>1148</v>
      </c>
      <c r="D880" s="256" t="s">
        <v>1692</v>
      </c>
      <c r="E880" s="256" t="s">
        <v>1314</v>
      </c>
      <c r="F880" s="195">
        <v>1411400</v>
      </c>
      <c r="G880" s="195">
        <v>1411400</v>
      </c>
      <c r="H880" s="143" t="str">
        <f t="shared" si="14"/>
        <v>07030110040033</v>
      </c>
    </row>
    <row r="881" spans="1:8" ht="76.5" x14ac:dyDescent="0.2">
      <c r="A881" s="190" t="s">
        <v>1501</v>
      </c>
      <c r="B881" s="256" t="s">
        <v>220</v>
      </c>
      <c r="C881" s="256" t="s">
        <v>1148</v>
      </c>
      <c r="D881" s="256" t="s">
        <v>1692</v>
      </c>
      <c r="E881" s="256" t="s">
        <v>290</v>
      </c>
      <c r="F881" s="195">
        <v>911400</v>
      </c>
      <c r="G881" s="195">
        <v>911400</v>
      </c>
      <c r="H881" s="143" t="str">
        <f t="shared" si="14"/>
        <v>07030110040033100</v>
      </c>
    </row>
    <row r="882" spans="1:8" ht="25.5" x14ac:dyDescent="0.2">
      <c r="A882" s="190" t="s">
        <v>1331</v>
      </c>
      <c r="B882" s="256" t="s">
        <v>220</v>
      </c>
      <c r="C882" s="256" t="s">
        <v>1148</v>
      </c>
      <c r="D882" s="256" t="s">
        <v>1692</v>
      </c>
      <c r="E882" s="256" t="s">
        <v>140</v>
      </c>
      <c r="F882" s="195">
        <v>911400</v>
      </c>
      <c r="G882" s="195">
        <v>911400</v>
      </c>
      <c r="H882" s="143" t="str">
        <f t="shared" si="14"/>
        <v>07030110040033110</v>
      </c>
    </row>
    <row r="883" spans="1:8" x14ac:dyDescent="0.2">
      <c r="A883" s="190" t="s">
        <v>1216</v>
      </c>
      <c r="B883" s="256" t="s">
        <v>220</v>
      </c>
      <c r="C883" s="256" t="s">
        <v>1148</v>
      </c>
      <c r="D883" s="256" t="s">
        <v>1692</v>
      </c>
      <c r="E883" s="256" t="s">
        <v>382</v>
      </c>
      <c r="F883" s="195">
        <v>700000</v>
      </c>
      <c r="G883" s="195">
        <v>700000</v>
      </c>
      <c r="H883" s="143" t="str">
        <f t="shared" si="14"/>
        <v>07030110040033111</v>
      </c>
    </row>
    <row r="884" spans="1:8" ht="51" x14ac:dyDescent="0.2">
      <c r="A884" s="190" t="s">
        <v>1217</v>
      </c>
      <c r="B884" s="256" t="s">
        <v>220</v>
      </c>
      <c r="C884" s="256" t="s">
        <v>1148</v>
      </c>
      <c r="D884" s="256" t="s">
        <v>1692</v>
      </c>
      <c r="E884" s="256" t="s">
        <v>1117</v>
      </c>
      <c r="F884" s="195">
        <v>211400</v>
      </c>
      <c r="G884" s="195">
        <v>211400</v>
      </c>
      <c r="H884" s="143" t="str">
        <f t="shared" si="14"/>
        <v>07030110040033119</v>
      </c>
    </row>
    <row r="885" spans="1:8" ht="38.25" x14ac:dyDescent="0.2">
      <c r="A885" s="190" t="s">
        <v>1510</v>
      </c>
      <c r="B885" s="256" t="s">
        <v>220</v>
      </c>
      <c r="C885" s="256" t="s">
        <v>1148</v>
      </c>
      <c r="D885" s="256" t="s">
        <v>1692</v>
      </c>
      <c r="E885" s="256" t="s">
        <v>1511</v>
      </c>
      <c r="F885" s="195">
        <v>500000</v>
      </c>
      <c r="G885" s="195">
        <v>500000</v>
      </c>
      <c r="H885" s="143" t="str">
        <f t="shared" si="14"/>
        <v>07030110040033600</v>
      </c>
    </row>
    <row r="886" spans="1:8" x14ac:dyDescent="0.2">
      <c r="A886" s="190" t="s">
        <v>1340</v>
      </c>
      <c r="B886" s="256" t="s">
        <v>220</v>
      </c>
      <c r="C886" s="256" t="s">
        <v>1148</v>
      </c>
      <c r="D886" s="256" t="s">
        <v>1692</v>
      </c>
      <c r="E886" s="256" t="s">
        <v>1341</v>
      </c>
      <c r="F886" s="195">
        <v>500000</v>
      </c>
      <c r="G886" s="195">
        <v>500000</v>
      </c>
      <c r="H886" s="143" t="str">
        <f t="shared" si="14"/>
        <v>07030110040033610</v>
      </c>
    </row>
    <row r="887" spans="1:8" ht="76.5" x14ac:dyDescent="0.2">
      <c r="A887" s="190" t="s">
        <v>387</v>
      </c>
      <c r="B887" s="256" t="s">
        <v>220</v>
      </c>
      <c r="C887" s="256" t="s">
        <v>1148</v>
      </c>
      <c r="D887" s="256" t="s">
        <v>1692</v>
      </c>
      <c r="E887" s="256" t="s">
        <v>388</v>
      </c>
      <c r="F887" s="195">
        <v>500000</v>
      </c>
      <c r="G887" s="195">
        <v>500000</v>
      </c>
      <c r="H887" s="143" t="str">
        <f t="shared" si="14"/>
        <v>07030110040033611</v>
      </c>
    </row>
    <row r="888" spans="1:8" ht="191.25" x14ac:dyDescent="0.2">
      <c r="A888" s="190" t="s">
        <v>623</v>
      </c>
      <c r="B888" s="256" t="s">
        <v>220</v>
      </c>
      <c r="C888" s="256" t="s">
        <v>1148</v>
      </c>
      <c r="D888" s="256" t="s">
        <v>812</v>
      </c>
      <c r="E888" s="256" t="s">
        <v>1314</v>
      </c>
      <c r="F888" s="195">
        <v>3653000</v>
      </c>
      <c r="G888" s="195">
        <v>3653000</v>
      </c>
      <c r="H888" s="143" t="str">
        <f t="shared" si="14"/>
        <v>07030110041030</v>
      </c>
    </row>
    <row r="889" spans="1:8" ht="76.5" x14ac:dyDescent="0.2">
      <c r="A889" s="190" t="s">
        <v>1501</v>
      </c>
      <c r="B889" s="256" t="s">
        <v>220</v>
      </c>
      <c r="C889" s="256" t="s">
        <v>1148</v>
      </c>
      <c r="D889" s="256" t="s">
        <v>812</v>
      </c>
      <c r="E889" s="256" t="s">
        <v>290</v>
      </c>
      <c r="F889" s="195">
        <v>1953000</v>
      </c>
      <c r="G889" s="195">
        <v>1953000</v>
      </c>
      <c r="H889" s="143" t="str">
        <f t="shared" si="14"/>
        <v>07030110041030100</v>
      </c>
    </row>
    <row r="890" spans="1:8" ht="25.5" x14ac:dyDescent="0.2">
      <c r="A890" s="190" t="s">
        <v>1331</v>
      </c>
      <c r="B890" s="256" t="s">
        <v>220</v>
      </c>
      <c r="C890" s="256" t="s">
        <v>1148</v>
      </c>
      <c r="D890" s="256" t="s">
        <v>812</v>
      </c>
      <c r="E890" s="256" t="s">
        <v>140</v>
      </c>
      <c r="F890" s="195">
        <v>1953000</v>
      </c>
      <c r="G890" s="195">
        <v>1953000</v>
      </c>
      <c r="H890" s="143" t="str">
        <f t="shared" si="14"/>
        <v>07030110041030110</v>
      </c>
    </row>
    <row r="891" spans="1:8" x14ac:dyDescent="0.2">
      <c r="A891" s="190" t="s">
        <v>1216</v>
      </c>
      <c r="B891" s="256" t="s">
        <v>220</v>
      </c>
      <c r="C891" s="256" t="s">
        <v>1148</v>
      </c>
      <c r="D891" s="256" t="s">
        <v>812</v>
      </c>
      <c r="E891" s="256" t="s">
        <v>382</v>
      </c>
      <c r="F891" s="195">
        <v>1500000</v>
      </c>
      <c r="G891" s="195">
        <v>1500000</v>
      </c>
      <c r="H891" s="143" t="str">
        <f t="shared" si="14"/>
        <v>07030110041030111</v>
      </c>
    </row>
    <row r="892" spans="1:8" ht="51" x14ac:dyDescent="0.2">
      <c r="A892" s="190" t="s">
        <v>1217</v>
      </c>
      <c r="B892" s="256" t="s">
        <v>220</v>
      </c>
      <c r="C892" s="256" t="s">
        <v>1148</v>
      </c>
      <c r="D892" s="256" t="s">
        <v>812</v>
      </c>
      <c r="E892" s="256" t="s">
        <v>1117</v>
      </c>
      <c r="F892" s="195">
        <v>453000</v>
      </c>
      <c r="G892" s="195">
        <v>453000</v>
      </c>
      <c r="H892" s="143" t="str">
        <f t="shared" si="14"/>
        <v>07030110041030119</v>
      </c>
    </row>
    <row r="893" spans="1:8" ht="38.25" x14ac:dyDescent="0.2">
      <c r="A893" s="190" t="s">
        <v>1510</v>
      </c>
      <c r="B893" s="256" t="s">
        <v>220</v>
      </c>
      <c r="C893" s="256" t="s">
        <v>1148</v>
      </c>
      <c r="D893" s="256" t="s">
        <v>812</v>
      </c>
      <c r="E893" s="256" t="s">
        <v>1511</v>
      </c>
      <c r="F893" s="195">
        <v>1700000</v>
      </c>
      <c r="G893" s="195">
        <v>1700000</v>
      </c>
      <c r="H893" s="143" t="str">
        <f t="shared" si="14"/>
        <v>07030110041030600</v>
      </c>
    </row>
    <row r="894" spans="1:8" x14ac:dyDescent="0.2">
      <c r="A894" s="190" t="s">
        <v>1340</v>
      </c>
      <c r="B894" s="256" t="s">
        <v>220</v>
      </c>
      <c r="C894" s="256" t="s">
        <v>1148</v>
      </c>
      <c r="D894" s="256" t="s">
        <v>812</v>
      </c>
      <c r="E894" s="256" t="s">
        <v>1341</v>
      </c>
      <c r="F894" s="195">
        <v>1700000</v>
      </c>
      <c r="G894" s="195">
        <v>1700000</v>
      </c>
      <c r="H894" s="143" t="str">
        <f t="shared" si="14"/>
        <v>07030110041030610</v>
      </c>
    </row>
    <row r="895" spans="1:8" ht="76.5" x14ac:dyDescent="0.2">
      <c r="A895" s="190" t="s">
        <v>387</v>
      </c>
      <c r="B895" s="256" t="s">
        <v>220</v>
      </c>
      <c r="C895" s="256" t="s">
        <v>1148</v>
      </c>
      <c r="D895" s="256" t="s">
        <v>812</v>
      </c>
      <c r="E895" s="256" t="s">
        <v>388</v>
      </c>
      <c r="F895" s="195">
        <v>1700000</v>
      </c>
      <c r="G895" s="195">
        <v>1700000</v>
      </c>
      <c r="H895" s="143" t="str">
        <f t="shared" si="14"/>
        <v>07030110041030611</v>
      </c>
    </row>
    <row r="896" spans="1:8" ht="153" x14ac:dyDescent="0.2">
      <c r="A896" s="190" t="s">
        <v>624</v>
      </c>
      <c r="B896" s="256" t="s">
        <v>220</v>
      </c>
      <c r="C896" s="256" t="s">
        <v>1148</v>
      </c>
      <c r="D896" s="256" t="s">
        <v>813</v>
      </c>
      <c r="E896" s="256" t="s">
        <v>1314</v>
      </c>
      <c r="F896" s="195">
        <v>78700</v>
      </c>
      <c r="G896" s="195">
        <v>78700</v>
      </c>
      <c r="H896" s="143" t="str">
        <f t="shared" si="14"/>
        <v>07030110045030</v>
      </c>
    </row>
    <row r="897" spans="1:8" ht="76.5" x14ac:dyDescent="0.2">
      <c r="A897" s="190" t="s">
        <v>1501</v>
      </c>
      <c r="B897" s="256" t="s">
        <v>220</v>
      </c>
      <c r="C897" s="256" t="s">
        <v>1148</v>
      </c>
      <c r="D897" s="256" t="s">
        <v>813</v>
      </c>
      <c r="E897" s="256" t="s">
        <v>290</v>
      </c>
      <c r="F897" s="195">
        <v>23500</v>
      </c>
      <c r="G897" s="195">
        <v>23500</v>
      </c>
      <c r="H897" s="143" t="str">
        <f t="shared" si="14"/>
        <v>07030110045030100</v>
      </c>
    </row>
    <row r="898" spans="1:8" ht="25.5" x14ac:dyDescent="0.2">
      <c r="A898" s="190" t="s">
        <v>1331</v>
      </c>
      <c r="B898" s="256" t="s">
        <v>220</v>
      </c>
      <c r="C898" s="256" t="s">
        <v>1148</v>
      </c>
      <c r="D898" s="256" t="s">
        <v>813</v>
      </c>
      <c r="E898" s="256" t="s">
        <v>140</v>
      </c>
      <c r="F898" s="195">
        <v>23500</v>
      </c>
      <c r="G898" s="195">
        <v>23500</v>
      </c>
      <c r="H898" s="143" t="str">
        <f t="shared" si="14"/>
        <v>07030110045030110</v>
      </c>
    </row>
    <row r="899" spans="1:8" x14ac:dyDescent="0.2">
      <c r="A899" s="190" t="s">
        <v>1216</v>
      </c>
      <c r="B899" s="256" t="s">
        <v>220</v>
      </c>
      <c r="C899" s="256" t="s">
        <v>1148</v>
      </c>
      <c r="D899" s="256" t="s">
        <v>813</v>
      </c>
      <c r="E899" s="256" t="s">
        <v>382</v>
      </c>
      <c r="F899" s="195">
        <v>18000</v>
      </c>
      <c r="G899" s="195">
        <v>18000</v>
      </c>
      <c r="H899" s="143" t="str">
        <f t="shared" si="14"/>
        <v>07030110045030111</v>
      </c>
    </row>
    <row r="900" spans="1:8" ht="51" x14ac:dyDescent="0.2">
      <c r="A900" s="190" t="s">
        <v>1217</v>
      </c>
      <c r="B900" s="256" t="s">
        <v>220</v>
      </c>
      <c r="C900" s="256" t="s">
        <v>1148</v>
      </c>
      <c r="D900" s="256" t="s">
        <v>813</v>
      </c>
      <c r="E900" s="256" t="s">
        <v>1117</v>
      </c>
      <c r="F900" s="195">
        <v>5500</v>
      </c>
      <c r="G900" s="195">
        <v>5500</v>
      </c>
      <c r="H900" s="143" t="str">
        <f t="shared" si="14"/>
        <v>07030110045030119</v>
      </c>
    </row>
    <row r="901" spans="1:8" ht="38.25" x14ac:dyDescent="0.2">
      <c r="A901" s="190" t="s">
        <v>1510</v>
      </c>
      <c r="B901" s="256" t="s">
        <v>220</v>
      </c>
      <c r="C901" s="256" t="s">
        <v>1148</v>
      </c>
      <c r="D901" s="256" t="s">
        <v>813</v>
      </c>
      <c r="E901" s="256" t="s">
        <v>1511</v>
      </c>
      <c r="F901" s="195">
        <v>55200</v>
      </c>
      <c r="G901" s="195">
        <v>55200</v>
      </c>
      <c r="H901" s="143" t="str">
        <f t="shared" si="14"/>
        <v>07030110045030600</v>
      </c>
    </row>
    <row r="902" spans="1:8" x14ac:dyDescent="0.2">
      <c r="A902" s="190" t="s">
        <v>1340</v>
      </c>
      <c r="B902" s="256" t="s">
        <v>220</v>
      </c>
      <c r="C902" s="256" t="s">
        <v>1148</v>
      </c>
      <c r="D902" s="256" t="s">
        <v>813</v>
      </c>
      <c r="E902" s="256" t="s">
        <v>1341</v>
      </c>
      <c r="F902" s="195">
        <v>55200</v>
      </c>
      <c r="G902" s="195">
        <v>55200</v>
      </c>
      <c r="H902" s="143" t="str">
        <f t="shared" si="14"/>
        <v>07030110045030610</v>
      </c>
    </row>
    <row r="903" spans="1:8" ht="76.5" x14ac:dyDescent="0.2">
      <c r="A903" s="190" t="s">
        <v>387</v>
      </c>
      <c r="B903" s="256" t="s">
        <v>220</v>
      </c>
      <c r="C903" s="256" t="s">
        <v>1148</v>
      </c>
      <c r="D903" s="256" t="s">
        <v>813</v>
      </c>
      <c r="E903" s="256" t="s">
        <v>388</v>
      </c>
      <c r="F903" s="195">
        <v>55200</v>
      </c>
      <c r="G903" s="195">
        <v>55200</v>
      </c>
      <c r="H903" s="143" t="str">
        <f t="shared" si="14"/>
        <v>07030110045030611</v>
      </c>
    </row>
    <row r="904" spans="1:8" ht="140.25" x14ac:dyDescent="0.2">
      <c r="A904" s="190" t="s">
        <v>626</v>
      </c>
      <c r="B904" s="256" t="s">
        <v>220</v>
      </c>
      <c r="C904" s="256" t="s">
        <v>1148</v>
      </c>
      <c r="D904" s="256" t="s">
        <v>816</v>
      </c>
      <c r="E904" s="256" t="s">
        <v>1314</v>
      </c>
      <c r="F904" s="195">
        <v>310000</v>
      </c>
      <c r="G904" s="195">
        <v>310000</v>
      </c>
      <c r="H904" s="143" t="str">
        <f t="shared" si="14"/>
        <v>07030110047030</v>
      </c>
    </row>
    <row r="905" spans="1:8" ht="76.5" x14ac:dyDescent="0.2">
      <c r="A905" s="190" t="s">
        <v>1501</v>
      </c>
      <c r="B905" s="256" t="s">
        <v>220</v>
      </c>
      <c r="C905" s="256" t="s">
        <v>1148</v>
      </c>
      <c r="D905" s="256" t="s">
        <v>816</v>
      </c>
      <c r="E905" s="256" t="s">
        <v>290</v>
      </c>
      <c r="F905" s="195">
        <v>150000</v>
      </c>
      <c r="G905" s="195">
        <v>150000</v>
      </c>
      <c r="H905" s="143" t="str">
        <f t="shared" si="14"/>
        <v>07030110047030100</v>
      </c>
    </row>
    <row r="906" spans="1:8" ht="25.5" x14ac:dyDescent="0.2">
      <c r="A906" s="190" t="s">
        <v>1331</v>
      </c>
      <c r="B906" s="256" t="s">
        <v>220</v>
      </c>
      <c r="C906" s="256" t="s">
        <v>1148</v>
      </c>
      <c r="D906" s="256" t="s">
        <v>816</v>
      </c>
      <c r="E906" s="256" t="s">
        <v>140</v>
      </c>
      <c r="F906" s="195">
        <v>150000</v>
      </c>
      <c r="G906" s="195">
        <v>150000</v>
      </c>
      <c r="H906" s="143" t="str">
        <f t="shared" si="14"/>
        <v>07030110047030110</v>
      </c>
    </row>
    <row r="907" spans="1:8" ht="25.5" x14ac:dyDescent="0.2">
      <c r="A907" s="190" t="s">
        <v>1225</v>
      </c>
      <c r="B907" s="256" t="s">
        <v>220</v>
      </c>
      <c r="C907" s="256" t="s">
        <v>1148</v>
      </c>
      <c r="D907" s="256" t="s">
        <v>816</v>
      </c>
      <c r="E907" s="256" t="s">
        <v>431</v>
      </c>
      <c r="F907" s="195">
        <v>150000</v>
      </c>
      <c r="G907" s="195">
        <v>150000</v>
      </c>
      <c r="H907" s="143" t="str">
        <f t="shared" si="14"/>
        <v>07030110047030112</v>
      </c>
    </row>
    <row r="908" spans="1:8" ht="38.25" x14ac:dyDescent="0.2">
      <c r="A908" s="190" t="s">
        <v>1510</v>
      </c>
      <c r="B908" s="256" t="s">
        <v>220</v>
      </c>
      <c r="C908" s="256" t="s">
        <v>1148</v>
      </c>
      <c r="D908" s="256" t="s">
        <v>816</v>
      </c>
      <c r="E908" s="256" t="s">
        <v>1511</v>
      </c>
      <c r="F908" s="195">
        <v>160000</v>
      </c>
      <c r="G908" s="195">
        <v>160000</v>
      </c>
      <c r="H908" s="143" t="str">
        <f t="shared" si="14"/>
        <v>07030110047030600</v>
      </c>
    </row>
    <row r="909" spans="1:8" x14ac:dyDescent="0.2">
      <c r="A909" s="190" t="s">
        <v>1340</v>
      </c>
      <c r="B909" s="256" t="s">
        <v>220</v>
      </c>
      <c r="C909" s="256" t="s">
        <v>1148</v>
      </c>
      <c r="D909" s="256" t="s">
        <v>816</v>
      </c>
      <c r="E909" s="256" t="s">
        <v>1341</v>
      </c>
      <c r="F909" s="195">
        <v>160000</v>
      </c>
      <c r="G909" s="195">
        <v>160000</v>
      </c>
      <c r="H909" s="143" t="str">
        <f t="shared" si="14"/>
        <v>07030110047030610</v>
      </c>
    </row>
    <row r="910" spans="1:8" ht="25.5" x14ac:dyDescent="0.2">
      <c r="A910" s="190" t="s">
        <v>406</v>
      </c>
      <c r="B910" s="256" t="s">
        <v>220</v>
      </c>
      <c r="C910" s="256" t="s">
        <v>1148</v>
      </c>
      <c r="D910" s="256" t="s">
        <v>816</v>
      </c>
      <c r="E910" s="256" t="s">
        <v>407</v>
      </c>
      <c r="F910" s="195">
        <v>160000</v>
      </c>
      <c r="G910" s="195">
        <v>160000</v>
      </c>
      <c r="H910" s="143" t="str">
        <f t="shared" si="14"/>
        <v>07030110047030612</v>
      </c>
    </row>
    <row r="911" spans="1:8" ht="153" x14ac:dyDescent="0.2">
      <c r="A911" s="190" t="s">
        <v>628</v>
      </c>
      <c r="B911" s="256" t="s">
        <v>220</v>
      </c>
      <c r="C911" s="256" t="s">
        <v>1148</v>
      </c>
      <c r="D911" s="256" t="s">
        <v>817</v>
      </c>
      <c r="E911" s="256" t="s">
        <v>1314</v>
      </c>
      <c r="F911" s="195">
        <v>2103400</v>
      </c>
      <c r="G911" s="195">
        <v>2103400</v>
      </c>
      <c r="H911" s="143" t="str">
        <f t="shared" si="14"/>
        <v>0703011004Г030</v>
      </c>
    </row>
    <row r="912" spans="1:8" ht="38.25" x14ac:dyDescent="0.2">
      <c r="A912" s="190" t="s">
        <v>1502</v>
      </c>
      <c r="B912" s="256" t="s">
        <v>220</v>
      </c>
      <c r="C912" s="256" t="s">
        <v>1148</v>
      </c>
      <c r="D912" s="256" t="s">
        <v>817</v>
      </c>
      <c r="E912" s="256" t="s">
        <v>1503</v>
      </c>
      <c r="F912" s="195">
        <v>1232000</v>
      </c>
      <c r="G912" s="195">
        <v>1232000</v>
      </c>
      <c r="H912" s="143" t="str">
        <f t="shared" si="14"/>
        <v>0703011004Г030200</v>
      </c>
    </row>
    <row r="913" spans="1:8" ht="38.25" x14ac:dyDescent="0.2">
      <c r="A913" s="190" t="s">
        <v>1338</v>
      </c>
      <c r="B913" s="256" t="s">
        <v>220</v>
      </c>
      <c r="C913" s="256" t="s">
        <v>1148</v>
      </c>
      <c r="D913" s="256" t="s">
        <v>817</v>
      </c>
      <c r="E913" s="256" t="s">
        <v>1339</v>
      </c>
      <c r="F913" s="195">
        <v>1232000</v>
      </c>
      <c r="G913" s="195">
        <v>1232000</v>
      </c>
      <c r="H913" s="143" t="str">
        <f t="shared" si="14"/>
        <v>0703011004Г030240</v>
      </c>
    </row>
    <row r="914" spans="1:8" x14ac:dyDescent="0.2">
      <c r="A914" s="190" t="s">
        <v>2024</v>
      </c>
      <c r="B914" s="256" t="s">
        <v>220</v>
      </c>
      <c r="C914" s="256" t="s">
        <v>1148</v>
      </c>
      <c r="D914" s="256" t="s">
        <v>817</v>
      </c>
      <c r="E914" s="256" t="s">
        <v>2025</v>
      </c>
      <c r="F914" s="195">
        <v>1232000</v>
      </c>
      <c r="G914" s="195">
        <v>1232000</v>
      </c>
      <c r="H914" s="143" t="str">
        <f t="shared" si="14"/>
        <v>0703011004Г030247</v>
      </c>
    </row>
    <row r="915" spans="1:8" ht="38.25" x14ac:dyDescent="0.2">
      <c r="A915" s="190" t="s">
        <v>1510</v>
      </c>
      <c r="B915" s="256" t="s">
        <v>220</v>
      </c>
      <c r="C915" s="256" t="s">
        <v>1148</v>
      </c>
      <c r="D915" s="256" t="s">
        <v>817</v>
      </c>
      <c r="E915" s="256" t="s">
        <v>1511</v>
      </c>
      <c r="F915" s="195">
        <v>871400</v>
      </c>
      <c r="G915" s="195">
        <v>871400</v>
      </c>
      <c r="H915" s="143" t="str">
        <f t="shared" si="14"/>
        <v>0703011004Г030600</v>
      </c>
    </row>
    <row r="916" spans="1:8" x14ac:dyDescent="0.2">
      <c r="A916" s="190" t="s">
        <v>1340</v>
      </c>
      <c r="B916" s="256" t="s">
        <v>220</v>
      </c>
      <c r="C916" s="256" t="s">
        <v>1148</v>
      </c>
      <c r="D916" s="256" t="s">
        <v>817</v>
      </c>
      <c r="E916" s="256" t="s">
        <v>1341</v>
      </c>
      <c r="F916" s="195">
        <v>871400</v>
      </c>
      <c r="G916" s="195">
        <v>871400</v>
      </c>
      <c r="H916" s="143" t="str">
        <f t="shared" si="14"/>
        <v>0703011004Г030610</v>
      </c>
    </row>
    <row r="917" spans="1:8" ht="76.5" x14ac:dyDescent="0.2">
      <c r="A917" s="190" t="s">
        <v>387</v>
      </c>
      <c r="B917" s="256" t="s">
        <v>220</v>
      </c>
      <c r="C917" s="256" t="s">
        <v>1148</v>
      </c>
      <c r="D917" s="256" t="s">
        <v>817</v>
      </c>
      <c r="E917" s="256" t="s">
        <v>388</v>
      </c>
      <c r="F917" s="195">
        <v>871400</v>
      </c>
      <c r="G917" s="195">
        <v>871400</v>
      </c>
      <c r="H917" s="143" t="str">
        <f t="shared" si="14"/>
        <v>0703011004Г030611</v>
      </c>
    </row>
    <row r="918" spans="1:8" ht="127.5" x14ac:dyDescent="0.2">
      <c r="A918" s="190" t="s">
        <v>1026</v>
      </c>
      <c r="B918" s="256" t="s">
        <v>220</v>
      </c>
      <c r="C918" s="256" t="s">
        <v>1148</v>
      </c>
      <c r="D918" s="256" t="s">
        <v>1027</v>
      </c>
      <c r="E918" s="256" t="s">
        <v>1314</v>
      </c>
      <c r="F918" s="195">
        <v>327500</v>
      </c>
      <c r="G918" s="195">
        <v>327500</v>
      </c>
      <c r="H918" s="143" t="str">
        <f t="shared" si="14"/>
        <v>0703011004Э030</v>
      </c>
    </row>
    <row r="919" spans="1:8" ht="38.25" x14ac:dyDescent="0.2">
      <c r="A919" s="190" t="s">
        <v>1502</v>
      </c>
      <c r="B919" s="256" t="s">
        <v>220</v>
      </c>
      <c r="C919" s="256" t="s">
        <v>1148</v>
      </c>
      <c r="D919" s="256" t="s">
        <v>1027</v>
      </c>
      <c r="E919" s="256" t="s">
        <v>1503</v>
      </c>
      <c r="F919" s="195">
        <v>270000</v>
      </c>
      <c r="G919" s="195">
        <v>270000</v>
      </c>
      <c r="H919" s="143" t="str">
        <f t="shared" si="14"/>
        <v>0703011004Э030200</v>
      </c>
    </row>
    <row r="920" spans="1:8" ht="38.25" x14ac:dyDescent="0.2">
      <c r="A920" s="190" t="s">
        <v>1338</v>
      </c>
      <c r="B920" s="256" t="s">
        <v>220</v>
      </c>
      <c r="C920" s="256" t="s">
        <v>1148</v>
      </c>
      <c r="D920" s="256" t="s">
        <v>1027</v>
      </c>
      <c r="E920" s="256" t="s">
        <v>1339</v>
      </c>
      <c r="F920" s="195">
        <v>270000</v>
      </c>
      <c r="G920" s="195">
        <v>270000</v>
      </c>
      <c r="H920" s="143" t="str">
        <f t="shared" si="14"/>
        <v>0703011004Э030240</v>
      </c>
    </row>
    <row r="921" spans="1:8" x14ac:dyDescent="0.2">
      <c r="A921" s="190" t="s">
        <v>2024</v>
      </c>
      <c r="B921" s="256" t="s">
        <v>220</v>
      </c>
      <c r="C921" s="256" t="s">
        <v>1148</v>
      </c>
      <c r="D921" s="256" t="s">
        <v>1027</v>
      </c>
      <c r="E921" s="256" t="s">
        <v>2025</v>
      </c>
      <c r="F921" s="195">
        <v>270000</v>
      </c>
      <c r="G921" s="195">
        <v>270000</v>
      </c>
      <c r="H921" s="143" t="str">
        <f t="shared" si="14"/>
        <v>0703011004Э030247</v>
      </c>
    </row>
    <row r="922" spans="1:8" ht="38.25" x14ac:dyDescent="0.2">
      <c r="A922" s="190" t="s">
        <v>1510</v>
      </c>
      <c r="B922" s="256" t="s">
        <v>220</v>
      </c>
      <c r="C922" s="256" t="s">
        <v>1148</v>
      </c>
      <c r="D922" s="256" t="s">
        <v>1027</v>
      </c>
      <c r="E922" s="256" t="s">
        <v>1511</v>
      </c>
      <c r="F922" s="195">
        <v>57500</v>
      </c>
      <c r="G922" s="195">
        <v>57500</v>
      </c>
      <c r="H922" s="143" t="str">
        <f t="shared" si="14"/>
        <v>0703011004Э030600</v>
      </c>
    </row>
    <row r="923" spans="1:8" x14ac:dyDescent="0.2">
      <c r="A923" s="190" t="s">
        <v>1340</v>
      </c>
      <c r="B923" s="256" t="s">
        <v>220</v>
      </c>
      <c r="C923" s="256" t="s">
        <v>1148</v>
      </c>
      <c r="D923" s="256" t="s">
        <v>1027</v>
      </c>
      <c r="E923" s="256" t="s">
        <v>1341</v>
      </c>
      <c r="F923" s="195">
        <v>57500</v>
      </c>
      <c r="G923" s="195">
        <v>57500</v>
      </c>
      <c r="H923" s="143" t="str">
        <f t="shared" si="14"/>
        <v>0703011004Э030610</v>
      </c>
    </row>
    <row r="924" spans="1:8" ht="76.5" x14ac:dyDescent="0.2">
      <c r="A924" s="190" t="s">
        <v>387</v>
      </c>
      <c r="B924" s="256" t="s">
        <v>220</v>
      </c>
      <c r="C924" s="256" t="s">
        <v>1148</v>
      </c>
      <c r="D924" s="256" t="s">
        <v>1027</v>
      </c>
      <c r="E924" s="256" t="s">
        <v>388</v>
      </c>
      <c r="F924" s="195">
        <v>57500</v>
      </c>
      <c r="G924" s="195">
        <v>57500</v>
      </c>
      <c r="H924" s="143" t="str">
        <f t="shared" si="14"/>
        <v>0703011004Э030611</v>
      </c>
    </row>
    <row r="925" spans="1:8" ht="331.5" x14ac:dyDescent="0.2">
      <c r="A925" s="190" t="s">
        <v>1549</v>
      </c>
      <c r="B925" s="256" t="s">
        <v>220</v>
      </c>
      <c r="C925" s="256" t="s">
        <v>1148</v>
      </c>
      <c r="D925" s="256" t="s">
        <v>804</v>
      </c>
      <c r="E925" s="256" t="s">
        <v>1314</v>
      </c>
      <c r="F925" s="195">
        <v>10751521</v>
      </c>
      <c r="G925" s="195">
        <v>10751521</v>
      </c>
      <c r="H925" s="143" t="str">
        <f t="shared" si="14"/>
        <v>07030110075640</v>
      </c>
    </row>
    <row r="926" spans="1:8" ht="76.5" x14ac:dyDescent="0.2">
      <c r="A926" s="190" t="s">
        <v>1501</v>
      </c>
      <c r="B926" s="256" t="s">
        <v>220</v>
      </c>
      <c r="C926" s="256" t="s">
        <v>1148</v>
      </c>
      <c r="D926" s="256" t="s">
        <v>804</v>
      </c>
      <c r="E926" s="256" t="s">
        <v>290</v>
      </c>
      <c r="F926" s="195">
        <v>4708032</v>
      </c>
      <c r="G926" s="195">
        <v>4708032</v>
      </c>
      <c r="H926" s="143" t="str">
        <f t="shared" si="14"/>
        <v>07030110075640100</v>
      </c>
    </row>
    <row r="927" spans="1:8" ht="25.5" x14ac:dyDescent="0.2">
      <c r="A927" s="190" t="s">
        <v>1331</v>
      </c>
      <c r="B927" s="256" t="s">
        <v>220</v>
      </c>
      <c r="C927" s="256" t="s">
        <v>1148</v>
      </c>
      <c r="D927" s="256" t="s">
        <v>804</v>
      </c>
      <c r="E927" s="256" t="s">
        <v>140</v>
      </c>
      <c r="F927" s="195">
        <v>4708032</v>
      </c>
      <c r="G927" s="195">
        <v>4708032</v>
      </c>
      <c r="H927" s="143" t="str">
        <f t="shared" si="14"/>
        <v>07030110075640110</v>
      </c>
    </row>
    <row r="928" spans="1:8" x14ac:dyDescent="0.2">
      <c r="A928" s="190" t="s">
        <v>1216</v>
      </c>
      <c r="B928" s="256" t="s">
        <v>220</v>
      </c>
      <c r="C928" s="256" t="s">
        <v>1148</v>
      </c>
      <c r="D928" s="256" t="s">
        <v>804</v>
      </c>
      <c r="E928" s="256" t="s">
        <v>382</v>
      </c>
      <c r="F928" s="195">
        <v>3616000</v>
      </c>
      <c r="G928" s="195">
        <v>3616000</v>
      </c>
      <c r="H928" s="143" t="str">
        <f t="shared" si="14"/>
        <v>07030110075640111</v>
      </c>
    </row>
    <row r="929" spans="1:8" ht="51" x14ac:dyDescent="0.2">
      <c r="A929" s="190" t="s">
        <v>1217</v>
      </c>
      <c r="B929" s="256" t="s">
        <v>220</v>
      </c>
      <c r="C929" s="256" t="s">
        <v>1148</v>
      </c>
      <c r="D929" s="256" t="s">
        <v>804</v>
      </c>
      <c r="E929" s="256" t="s">
        <v>1117</v>
      </c>
      <c r="F929" s="195">
        <v>1092032</v>
      </c>
      <c r="G929" s="195">
        <v>1092032</v>
      </c>
      <c r="H929" s="143" t="str">
        <f t="shared" si="14"/>
        <v>07030110075640119</v>
      </c>
    </row>
    <row r="930" spans="1:8" ht="38.25" x14ac:dyDescent="0.2">
      <c r="A930" s="190" t="s">
        <v>1502</v>
      </c>
      <c r="B930" s="256" t="s">
        <v>220</v>
      </c>
      <c r="C930" s="256" t="s">
        <v>1148</v>
      </c>
      <c r="D930" s="256" t="s">
        <v>804</v>
      </c>
      <c r="E930" s="256" t="s">
        <v>1503</v>
      </c>
      <c r="F930" s="195">
        <v>6043489</v>
      </c>
      <c r="G930" s="195">
        <v>6043489</v>
      </c>
      <c r="H930" s="143" t="str">
        <f t="shared" si="14"/>
        <v>07030110075640200</v>
      </c>
    </row>
    <row r="931" spans="1:8" ht="38.25" x14ac:dyDescent="0.2">
      <c r="A931" s="190" t="s">
        <v>1338</v>
      </c>
      <c r="B931" s="256" t="s">
        <v>220</v>
      </c>
      <c r="C931" s="256" t="s">
        <v>1148</v>
      </c>
      <c r="D931" s="256" t="s">
        <v>804</v>
      </c>
      <c r="E931" s="256" t="s">
        <v>1339</v>
      </c>
      <c r="F931" s="195">
        <v>6043489</v>
      </c>
      <c r="G931" s="195">
        <v>6043489</v>
      </c>
      <c r="H931" s="143" t="str">
        <f t="shared" si="14"/>
        <v>07030110075640240</v>
      </c>
    </row>
    <row r="932" spans="1:8" x14ac:dyDescent="0.2">
      <c r="A932" s="190" t="s">
        <v>1379</v>
      </c>
      <c r="B932" s="256" t="s">
        <v>220</v>
      </c>
      <c r="C932" s="256" t="s">
        <v>1148</v>
      </c>
      <c r="D932" s="256" t="s">
        <v>804</v>
      </c>
      <c r="E932" s="256" t="s">
        <v>368</v>
      </c>
      <c r="F932" s="195">
        <v>6043489</v>
      </c>
      <c r="G932" s="195">
        <v>6043489</v>
      </c>
      <c r="H932" s="143" t="str">
        <f t="shared" si="14"/>
        <v>07030110075640244</v>
      </c>
    </row>
    <row r="933" spans="1:8" ht="89.25" x14ac:dyDescent="0.2">
      <c r="A933" s="190" t="s">
        <v>451</v>
      </c>
      <c r="B933" s="256" t="s">
        <v>220</v>
      </c>
      <c r="C933" s="256" t="s">
        <v>1148</v>
      </c>
      <c r="D933" s="256" t="s">
        <v>818</v>
      </c>
      <c r="E933" s="256" t="s">
        <v>1314</v>
      </c>
      <c r="F933" s="195">
        <v>300000</v>
      </c>
      <c r="G933" s="195">
        <v>300000</v>
      </c>
      <c r="H933" s="143" t="str">
        <f t="shared" si="14"/>
        <v>07030110080020</v>
      </c>
    </row>
    <row r="934" spans="1:8" ht="38.25" x14ac:dyDescent="0.2">
      <c r="A934" s="190" t="s">
        <v>1502</v>
      </c>
      <c r="B934" s="256" t="s">
        <v>220</v>
      </c>
      <c r="C934" s="256" t="s">
        <v>1148</v>
      </c>
      <c r="D934" s="256" t="s">
        <v>818</v>
      </c>
      <c r="E934" s="256" t="s">
        <v>1503</v>
      </c>
      <c r="F934" s="195">
        <v>300000</v>
      </c>
      <c r="G934" s="195">
        <v>300000</v>
      </c>
      <c r="H934" s="143" t="str">
        <f t="shared" ref="H934:H997" si="15">CONCATENATE(C934,,D934,E934)</f>
        <v>07030110080020200</v>
      </c>
    </row>
    <row r="935" spans="1:8" ht="38.25" x14ac:dyDescent="0.2">
      <c r="A935" s="190" t="s">
        <v>1338</v>
      </c>
      <c r="B935" s="256" t="s">
        <v>220</v>
      </c>
      <c r="C935" s="256" t="s">
        <v>1148</v>
      </c>
      <c r="D935" s="256" t="s">
        <v>818</v>
      </c>
      <c r="E935" s="256" t="s">
        <v>1339</v>
      </c>
      <c r="F935" s="195">
        <v>300000</v>
      </c>
      <c r="G935" s="195">
        <v>300000</v>
      </c>
      <c r="H935" s="143" t="str">
        <f t="shared" si="15"/>
        <v>07030110080020240</v>
      </c>
    </row>
    <row r="936" spans="1:8" x14ac:dyDescent="0.2">
      <c r="A936" s="190" t="s">
        <v>1379</v>
      </c>
      <c r="B936" s="256" t="s">
        <v>220</v>
      </c>
      <c r="C936" s="256" t="s">
        <v>1148</v>
      </c>
      <c r="D936" s="256" t="s">
        <v>818</v>
      </c>
      <c r="E936" s="256" t="s">
        <v>368</v>
      </c>
      <c r="F936" s="195">
        <v>300000</v>
      </c>
      <c r="G936" s="195">
        <v>300000</v>
      </c>
      <c r="H936" s="143" t="str">
        <f t="shared" si="15"/>
        <v>07030110080020244</v>
      </c>
    </row>
    <row r="937" spans="1:8" ht="38.25" x14ac:dyDescent="0.2">
      <c r="A937" s="190" t="s">
        <v>524</v>
      </c>
      <c r="B937" s="256" t="s">
        <v>220</v>
      </c>
      <c r="C937" s="256" t="s">
        <v>1148</v>
      </c>
      <c r="D937" s="256" t="s">
        <v>1054</v>
      </c>
      <c r="E937" s="256" t="s">
        <v>1314</v>
      </c>
      <c r="F937" s="195">
        <v>80000</v>
      </c>
      <c r="G937" s="195">
        <v>80000</v>
      </c>
      <c r="H937" s="143" t="str">
        <f t="shared" si="15"/>
        <v>07030900000000</v>
      </c>
    </row>
    <row r="938" spans="1:8" ht="25.5" x14ac:dyDescent="0.2">
      <c r="A938" s="190" t="s">
        <v>529</v>
      </c>
      <c r="B938" s="256" t="s">
        <v>220</v>
      </c>
      <c r="C938" s="256" t="s">
        <v>1148</v>
      </c>
      <c r="D938" s="256" t="s">
        <v>1057</v>
      </c>
      <c r="E938" s="256" t="s">
        <v>1314</v>
      </c>
      <c r="F938" s="195">
        <v>80000</v>
      </c>
      <c r="G938" s="195">
        <v>80000</v>
      </c>
      <c r="H938" s="143" t="str">
        <f t="shared" si="15"/>
        <v>07030930000000</v>
      </c>
    </row>
    <row r="939" spans="1:8" ht="76.5" x14ac:dyDescent="0.2">
      <c r="A939" s="190" t="s">
        <v>447</v>
      </c>
      <c r="B939" s="256" t="s">
        <v>220</v>
      </c>
      <c r="C939" s="256" t="s">
        <v>1148</v>
      </c>
      <c r="D939" s="256" t="s">
        <v>2072</v>
      </c>
      <c r="E939" s="256" t="s">
        <v>1314</v>
      </c>
      <c r="F939" s="195">
        <v>80000</v>
      </c>
      <c r="G939" s="195">
        <v>80000</v>
      </c>
      <c r="H939" s="143" t="str">
        <f t="shared" si="15"/>
        <v>07030930080000</v>
      </c>
    </row>
    <row r="940" spans="1:8" ht="38.25" x14ac:dyDescent="0.2">
      <c r="A940" s="190" t="s">
        <v>1502</v>
      </c>
      <c r="B940" s="256" t="s">
        <v>220</v>
      </c>
      <c r="C940" s="256" t="s">
        <v>1148</v>
      </c>
      <c r="D940" s="256" t="s">
        <v>2072</v>
      </c>
      <c r="E940" s="256" t="s">
        <v>1503</v>
      </c>
      <c r="F940" s="195">
        <v>80000</v>
      </c>
      <c r="G940" s="195">
        <v>80000</v>
      </c>
      <c r="H940" s="143" t="str">
        <f t="shared" si="15"/>
        <v>07030930080000200</v>
      </c>
    </row>
    <row r="941" spans="1:8" ht="38.25" x14ac:dyDescent="0.2">
      <c r="A941" s="190" t="s">
        <v>1338</v>
      </c>
      <c r="B941" s="256" t="s">
        <v>220</v>
      </c>
      <c r="C941" s="256" t="s">
        <v>1148</v>
      </c>
      <c r="D941" s="256" t="s">
        <v>2072</v>
      </c>
      <c r="E941" s="256" t="s">
        <v>1339</v>
      </c>
      <c r="F941" s="195">
        <v>80000</v>
      </c>
      <c r="G941" s="195">
        <v>80000</v>
      </c>
      <c r="H941" s="143" t="str">
        <f t="shared" si="15"/>
        <v>07030930080000240</v>
      </c>
    </row>
    <row r="942" spans="1:8" x14ac:dyDescent="0.2">
      <c r="A942" s="190" t="s">
        <v>1379</v>
      </c>
      <c r="B942" s="256" t="s">
        <v>220</v>
      </c>
      <c r="C942" s="256" t="s">
        <v>1148</v>
      </c>
      <c r="D942" s="256" t="s">
        <v>2072</v>
      </c>
      <c r="E942" s="256" t="s">
        <v>368</v>
      </c>
      <c r="F942" s="195">
        <v>80000</v>
      </c>
      <c r="G942" s="195">
        <v>80000</v>
      </c>
      <c r="H942" s="143" t="str">
        <f t="shared" si="15"/>
        <v>07030930080000244</v>
      </c>
    </row>
    <row r="943" spans="1:8" x14ac:dyDescent="0.2">
      <c r="A943" s="190" t="s">
        <v>1145</v>
      </c>
      <c r="B943" s="256" t="s">
        <v>220</v>
      </c>
      <c r="C943" s="256" t="s">
        <v>405</v>
      </c>
      <c r="D943" s="256" t="s">
        <v>1314</v>
      </c>
      <c r="E943" s="256" t="s">
        <v>1314</v>
      </c>
      <c r="F943" s="195">
        <v>18543928</v>
      </c>
      <c r="G943" s="195">
        <v>18543928</v>
      </c>
      <c r="H943" s="143" t="str">
        <f t="shared" si="15"/>
        <v>0707</v>
      </c>
    </row>
    <row r="944" spans="1:8" ht="25.5" x14ac:dyDescent="0.2">
      <c r="A944" s="190" t="s">
        <v>483</v>
      </c>
      <c r="B944" s="256" t="s">
        <v>220</v>
      </c>
      <c r="C944" s="256" t="s">
        <v>405</v>
      </c>
      <c r="D944" s="256" t="s">
        <v>1031</v>
      </c>
      <c r="E944" s="256" t="s">
        <v>1314</v>
      </c>
      <c r="F944" s="195">
        <v>18543928</v>
      </c>
      <c r="G944" s="195">
        <v>18543928</v>
      </c>
      <c r="H944" s="143" t="str">
        <f t="shared" si="15"/>
        <v>07070100000000</v>
      </c>
    </row>
    <row r="945" spans="1:8" ht="38.25" x14ac:dyDescent="0.2">
      <c r="A945" s="190" t="s">
        <v>484</v>
      </c>
      <c r="B945" s="256" t="s">
        <v>220</v>
      </c>
      <c r="C945" s="256" t="s">
        <v>405</v>
      </c>
      <c r="D945" s="256" t="s">
        <v>1032</v>
      </c>
      <c r="E945" s="256" t="s">
        <v>1314</v>
      </c>
      <c r="F945" s="195">
        <v>18270838</v>
      </c>
      <c r="G945" s="195">
        <v>18270838</v>
      </c>
      <c r="H945" s="143" t="str">
        <f t="shared" si="15"/>
        <v>07070110000000</v>
      </c>
    </row>
    <row r="946" spans="1:8" ht="140.25" x14ac:dyDescent="0.2">
      <c r="A946" s="190" t="s">
        <v>457</v>
      </c>
      <c r="B946" s="256" t="s">
        <v>220</v>
      </c>
      <c r="C946" s="256" t="s">
        <v>405</v>
      </c>
      <c r="D946" s="256" t="s">
        <v>824</v>
      </c>
      <c r="E946" s="256" t="s">
        <v>1314</v>
      </c>
      <c r="F946" s="195">
        <v>1008000</v>
      </c>
      <c r="G946" s="195">
        <v>1008000</v>
      </c>
      <c r="H946" s="143" t="str">
        <f t="shared" si="15"/>
        <v>07070110040040</v>
      </c>
    </row>
    <row r="947" spans="1:8" ht="38.25" x14ac:dyDescent="0.2">
      <c r="A947" s="190" t="s">
        <v>1510</v>
      </c>
      <c r="B947" s="256" t="s">
        <v>220</v>
      </c>
      <c r="C947" s="256" t="s">
        <v>405</v>
      </c>
      <c r="D947" s="256" t="s">
        <v>824</v>
      </c>
      <c r="E947" s="256" t="s">
        <v>1511</v>
      </c>
      <c r="F947" s="195">
        <v>1008000</v>
      </c>
      <c r="G947" s="195">
        <v>1008000</v>
      </c>
      <c r="H947" s="143" t="str">
        <f t="shared" si="15"/>
        <v>07070110040040600</v>
      </c>
    </row>
    <row r="948" spans="1:8" x14ac:dyDescent="0.2">
      <c r="A948" s="190" t="s">
        <v>1340</v>
      </c>
      <c r="B948" s="256" t="s">
        <v>220</v>
      </c>
      <c r="C948" s="256" t="s">
        <v>405</v>
      </c>
      <c r="D948" s="256" t="s">
        <v>824</v>
      </c>
      <c r="E948" s="256" t="s">
        <v>1341</v>
      </c>
      <c r="F948" s="195">
        <v>1008000</v>
      </c>
      <c r="G948" s="195">
        <v>1008000</v>
      </c>
      <c r="H948" s="143" t="str">
        <f t="shared" si="15"/>
        <v>07070110040040610</v>
      </c>
    </row>
    <row r="949" spans="1:8" ht="76.5" x14ac:dyDescent="0.2">
      <c r="A949" s="190" t="s">
        <v>387</v>
      </c>
      <c r="B949" s="256" t="s">
        <v>220</v>
      </c>
      <c r="C949" s="256" t="s">
        <v>405</v>
      </c>
      <c r="D949" s="256" t="s">
        <v>824</v>
      </c>
      <c r="E949" s="256" t="s">
        <v>388</v>
      </c>
      <c r="F949" s="195">
        <v>1008000</v>
      </c>
      <c r="G949" s="195">
        <v>1008000</v>
      </c>
      <c r="H949" s="143" t="str">
        <f t="shared" si="15"/>
        <v>07070110040040611</v>
      </c>
    </row>
    <row r="950" spans="1:8" ht="191.25" x14ac:dyDescent="0.2">
      <c r="A950" s="190" t="s">
        <v>458</v>
      </c>
      <c r="B950" s="256" t="s">
        <v>220</v>
      </c>
      <c r="C950" s="256" t="s">
        <v>405</v>
      </c>
      <c r="D950" s="256" t="s">
        <v>825</v>
      </c>
      <c r="E950" s="256" t="s">
        <v>1314</v>
      </c>
      <c r="F950" s="195">
        <v>850000</v>
      </c>
      <c r="G950" s="195">
        <v>850000</v>
      </c>
      <c r="H950" s="143" t="str">
        <f t="shared" si="15"/>
        <v>07070110041040</v>
      </c>
    </row>
    <row r="951" spans="1:8" ht="38.25" x14ac:dyDescent="0.2">
      <c r="A951" s="190" t="s">
        <v>1510</v>
      </c>
      <c r="B951" s="256" t="s">
        <v>220</v>
      </c>
      <c r="C951" s="256" t="s">
        <v>405</v>
      </c>
      <c r="D951" s="256" t="s">
        <v>825</v>
      </c>
      <c r="E951" s="256" t="s">
        <v>1511</v>
      </c>
      <c r="F951" s="195">
        <v>850000</v>
      </c>
      <c r="G951" s="195">
        <v>850000</v>
      </c>
      <c r="H951" s="143" t="str">
        <f t="shared" si="15"/>
        <v>07070110041040600</v>
      </c>
    </row>
    <row r="952" spans="1:8" x14ac:dyDescent="0.2">
      <c r="A952" s="190" t="s">
        <v>1340</v>
      </c>
      <c r="B952" s="256" t="s">
        <v>220</v>
      </c>
      <c r="C952" s="256" t="s">
        <v>405</v>
      </c>
      <c r="D952" s="256" t="s">
        <v>825</v>
      </c>
      <c r="E952" s="256" t="s">
        <v>1341</v>
      </c>
      <c r="F952" s="195">
        <v>850000</v>
      </c>
      <c r="G952" s="195">
        <v>850000</v>
      </c>
      <c r="H952" s="143" t="str">
        <f t="shared" si="15"/>
        <v>07070110041040610</v>
      </c>
    </row>
    <row r="953" spans="1:8" ht="76.5" x14ac:dyDescent="0.2">
      <c r="A953" s="190" t="s">
        <v>387</v>
      </c>
      <c r="B953" s="256" t="s">
        <v>220</v>
      </c>
      <c r="C953" s="256" t="s">
        <v>405</v>
      </c>
      <c r="D953" s="256" t="s">
        <v>825</v>
      </c>
      <c r="E953" s="256" t="s">
        <v>388</v>
      </c>
      <c r="F953" s="195">
        <v>850000</v>
      </c>
      <c r="G953" s="195">
        <v>850000</v>
      </c>
      <c r="H953" s="143" t="str">
        <f t="shared" si="15"/>
        <v>07070110041040611</v>
      </c>
    </row>
    <row r="954" spans="1:8" ht="153" x14ac:dyDescent="0.2">
      <c r="A954" s="190" t="s">
        <v>826</v>
      </c>
      <c r="B954" s="256" t="s">
        <v>220</v>
      </c>
      <c r="C954" s="256" t="s">
        <v>405</v>
      </c>
      <c r="D954" s="256" t="s">
        <v>827</v>
      </c>
      <c r="E954" s="256" t="s">
        <v>1314</v>
      </c>
      <c r="F954" s="195">
        <v>93000</v>
      </c>
      <c r="G954" s="195">
        <v>93000</v>
      </c>
      <c r="H954" s="143" t="str">
        <f t="shared" si="15"/>
        <v>07070110047040</v>
      </c>
    </row>
    <row r="955" spans="1:8" ht="38.25" x14ac:dyDescent="0.2">
      <c r="A955" s="190" t="s">
        <v>1510</v>
      </c>
      <c r="B955" s="256" t="s">
        <v>220</v>
      </c>
      <c r="C955" s="256" t="s">
        <v>405</v>
      </c>
      <c r="D955" s="256" t="s">
        <v>827</v>
      </c>
      <c r="E955" s="256" t="s">
        <v>1511</v>
      </c>
      <c r="F955" s="195">
        <v>93000</v>
      </c>
      <c r="G955" s="195">
        <v>93000</v>
      </c>
      <c r="H955" s="143" t="str">
        <f t="shared" si="15"/>
        <v>07070110047040600</v>
      </c>
    </row>
    <row r="956" spans="1:8" x14ac:dyDescent="0.2">
      <c r="A956" s="190" t="s">
        <v>1340</v>
      </c>
      <c r="B956" s="256" t="s">
        <v>220</v>
      </c>
      <c r="C956" s="256" t="s">
        <v>405</v>
      </c>
      <c r="D956" s="256" t="s">
        <v>827</v>
      </c>
      <c r="E956" s="256" t="s">
        <v>1341</v>
      </c>
      <c r="F956" s="195">
        <v>93000</v>
      </c>
      <c r="G956" s="195">
        <v>93000</v>
      </c>
      <c r="H956" s="143" t="str">
        <f t="shared" si="15"/>
        <v>07070110047040610</v>
      </c>
    </row>
    <row r="957" spans="1:8" ht="25.5" x14ac:dyDescent="0.2">
      <c r="A957" s="190" t="s">
        <v>406</v>
      </c>
      <c r="B957" s="256" t="s">
        <v>220</v>
      </c>
      <c r="C957" s="256" t="s">
        <v>405</v>
      </c>
      <c r="D957" s="256" t="s">
        <v>827</v>
      </c>
      <c r="E957" s="256" t="s">
        <v>407</v>
      </c>
      <c r="F957" s="195">
        <v>93000</v>
      </c>
      <c r="G957" s="195">
        <v>93000</v>
      </c>
      <c r="H957" s="143" t="str">
        <f t="shared" si="15"/>
        <v>07070110047040612</v>
      </c>
    </row>
    <row r="958" spans="1:8" ht="153" x14ac:dyDescent="0.2">
      <c r="A958" s="190" t="s">
        <v>1228</v>
      </c>
      <c r="B958" s="256" t="s">
        <v>220</v>
      </c>
      <c r="C958" s="256" t="s">
        <v>405</v>
      </c>
      <c r="D958" s="256" t="s">
        <v>1229</v>
      </c>
      <c r="E958" s="256" t="s">
        <v>1314</v>
      </c>
      <c r="F958" s="195">
        <v>102700</v>
      </c>
      <c r="G958" s="195">
        <v>102700</v>
      </c>
      <c r="H958" s="143" t="str">
        <f t="shared" si="15"/>
        <v>0707011004Г040</v>
      </c>
    </row>
    <row r="959" spans="1:8" ht="38.25" x14ac:dyDescent="0.2">
      <c r="A959" s="190" t="s">
        <v>1510</v>
      </c>
      <c r="B959" s="256" t="s">
        <v>220</v>
      </c>
      <c r="C959" s="256" t="s">
        <v>405</v>
      </c>
      <c r="D959" s="256" t="s">
        <v>1229</v>
      </c>
      <c r="E959" s="256" t="s">
        <v>1511</v>
      </c>
      <c r="F959" s="195">
        <v>102700</v>
      </c>
      <c r="G959" s="195">
        <v>102700</v>
      </c>
      <c r="H959" s="143" t="str">
        <f t="shared" si="15"/>
        <v>0707011004Г040600</v>
      </c>
    </row>
    <row r="960" spans="1:8" x14ac:dyDescent="0.2">
      <c r="A960" s="190" t="s">
        <v>1340</v>
      </c>
      <c r="B960" s="256" t="s">
        <v>220</v>
      </c>
      <c r="C960" s="256" t="s">
        <v>405</v>
      </c>
      <c r="D960" s="256" t="s">
        <v>1229</v>
      </c>
      <c r="E960" s="256" t="s">
        <v>1341</v>
      </c>
      <c r="F960" s="195">
        <v>102700</v>
      </c>
      <c r="G960" s="195">
        <v>102700</v>
      </c>
      <c r="H960" s="143" t="str">
        <f t="shared" si="15"/>
        <v>0707011004Г040610</v>
      </c>
    </row>
    <row r="961" spans="1:8" ht="76.5" x14ac:dyDescent="0.2">
      <c r="A961" s="190" t="s">
        <v>387</v>
      </c>
      <c r="B961" s="256" t="s">
        <v>220</v>
      </c>
      <c r="C961" s="256" t="s">
        <v>405</v>
      </c>
      <c r="D961" s="256" t="s">
        <v>1229</v>
      </c>
      <c r="E961" s="256" t="s">
        <v>388</v>
      </c>
      <c r="F961" s="195">
        <v>102700</v>
      </c>
      <c r="G961" s="195">
        <v>102700</v>
      </c>
      <c r="H961" s="143" t="str">
        <f t="shared" si="15"/>
        <v>0707011004Г040611</v>
      </c>
    </row>
    <row r="962" spans="1:8" ht="140.25" x14ac:dyDescent="0.2">
      <c r="A962" s="190" t="s">
        <v>1230</v>
      </c>
      <c r="B962" s="256" t="s">
        <v>220</v>
      </c>
      <c r="C962" s="256" t="s">
        <v>405</v>
      </c>
      <c r="D962" s="256" t="s">
        <v>1231</v>
      </c>
      <c r="E962" s="256" t="s">
        <v>1314</v>
      </c>
      <c r="F962" s="195">
        <v>308700</v>
      </c>
      <c r="G962" s="195">
        <v>308700</v>
      </c>
      <c r="H962" s="143" t="str">
        <f t="shared" si="15"/>
        <v>0707011004Э040</v>
      </c>
    </row>
    <row r="963" spans="1:8" ht="38.25" x14ac:dyDescent="0.2">
      <c r="A963" s="190" t="s">
        <v>1510</v>
      </c>
      <c r="B963" s="256" t="s">
        <v>220</v>
      </c>
      <c r="C963" s="256" t="s">
        <v>405</v>
      </c>
      <c r="D963" s="256" t="s">
        <v>1231</v>
      </c>
      <c r="E963" s="256" t="s">
        <v>1511</v>
      </c>
      <c r="F963" s="195">
        <v>308700</v>
      </c>
      <c r="G963" s="195">
        <v>308700</v>
      </c>
      <c r="H963" s="143" t="str">
        <f t="shared" si="15"/>
        <v>0707011004Э040600</v>
      </c>
    </row>
    <row r="964" spans="1:8" x14ac:dyDescent="0.2">
      <c r="A964" s="190" t="s">
        <v>1340</v>
      </c>
      <c r="B964" s="256" t="s">
        <v>220</v>
      </c>
      <c r="C964" s="256" t="s">
        <v>405</v>
      </c>
      <c r="D964" s="256" t="s">
        <v>1231</v>
      </c>
      <c r="E964" s="256" t="s">
        <v>1341</v>
      </c>
      <c r="F964" s="195">
        <v>308700</v>
      </c>
      <c r="G964" s="195">
        <v>308700</v>
      </c>
      <c r="H964" s="143" t="str">
        <f t="shared" si="15"/>
        <v>0707011004Э040610</v>
      </c>
    </row>
    <row r="965" spans="1:8" ht="76.5" x14ac:dyDescent="0.2">
      <c r="A965" s="190" t="s">
        <v>387</v>
      </c>
      <c r="B965" s="256" t="s">
        <v>220</v>
      </c>
      <c r="C965" s="256" t="s">
        <v>405</v>
      </c>
      <c r="D965" s="256" t="s">
        <v>1231</v>
      </c>
      <c r="E965" s="256" t="s">
        <v>388</v>
      </c>
      <c r="F965" s="195">
        <v>308700</v>
      </c>
      <c r="G965" s="195">
        <v>308700</v>
      </c>
      <c r="H965" s="143" t="str">
        <f t="shared" si="15"/>
        <v>0707011004Э040611</v>
      </c>
    </row>
    <row r="966" spans="1:8" ht="89.25" x14ac:dyDescent="0.2">
      <c r="A966" s="190" t="s">
        <v>1329</v>
      </c>
      <c r="B966" s="256" t="s">
        <v>220</v>
      </c>
      <c r="C966" s="256" t="s">
        <v>405</v>
      </c>
      <c r="D966" s="256" t="s">
        <v>1330</v>
      </c>
      <c r="E966" s="256" t="s">
        <v>1314</v>
      </c>
      <c r="F966" s="195">
        <v>11374500</v>
      </c>
      <c r="G966" s="195">
        <v>11374500</v>
      </c>
      <c r="H966" s="143" t="str">
        <f t="shared" si="15"/>
        <v>07070110076490</v>
      </c>
    </row>
    <row r="967" spans="1:8" ht="38.25" x14ac:dyDescent="0.2">
      <c r="A967" s="190" t="s">
        <v>1510</v>
      </c>
      <c r="B967" s="256" t="s">
        <v>220</v>
      </c>
      <c r="C967" s="256" t="s">
        <v>405</v>
      </c>
      <c r="D967" s="256" t="s">
        <v>1330</v>
      </c>
      <c r="E967" s="256" t="s">
        <v>1511</v>
      </c>
      <c r="F967" s="195">
        <v>11374500</v>
      </c>
      <c r="G967" s="195">
        <v>11374500</v>
      </c>
      <c r="H967" s="143" t="str">
        <f t="shared" si="15"/>
        <v>07070110076490600</v>
      </c>
    </row>
    <row r="968" spans="1:8" x14ac:dyDescent="0.2">
      <c r="A968" s="190" t="s">
        <v>1340</v>
      </c>
      <c r="B968" s="256" t="s">
        <v>220</v>
      </c>
      <c r="C968" s="256" t="s">
        <v>405</v>
      </c>
      <c r="D968" s="256" t="s">
        <v>1330</v>
      </c>
      <c r="E968" s="256" t="s">
        <v>1341</v>
      </c>
      <c r="F968" s="195">
        <v>11374500</v>
      </c>
      <c r="G968" s="195">
        <v>11374500</v>
      </c>
      <c r="H968" s="143" t="str">
        <f t="shared" si="15"/>
        <v>07070110076490610</v>
      </c>
    </row>
    <row r="969" spans="1:8" ht="76.5" x14ac:dyDescent="0.2">
      <c r="A969" s="190" t="s">
        <v>387</v>
      </c>
      <c r="B969" s="256" t="s">
        <v>220</v>
      </c>
      <c r="C969" s="256" t="s">
        <v>405</v>
      </c>
      <c r="D969" s="256" t="s">
        <v>1330</v>
      </c>
      <c r="E969" s="256" t="s">
        <v>388</v>
      </c>
      <c r="F969" s="195">
        <v>11374500</v>
      </c>
      <c r="G969" s="195">
        <v>11374500</v>
      </c>
      <c r="H969" s="143" t="str">
        <f t="shared" si="15"/>
        <v>07070110076490611</v>
      </c>
    </row>
    <row r="970" spans="1:8" ht="89.25" x14ac:dyDescent="0.2">
      <c r="A970" s="190" t="s">
        <v>433</v>
      </c>
      <c r="B970" s="256" t="s">
        <v>220</v>
      </c>
      <c r="C970" s="256" t="s">
        <v>405</v>
      </c>
      <c r="D970" s="256" t="s">
        <v>833</v>
      </c>
      <c r="E970" s="256" t="s">
        <v>1314</v>
      </c>
      <c r="F970" s="195">
        <v>4185690</v>
      </c>
      <c r="G970" s="195">
        <v>4185690</v>
      </c>
      <c r="H970" s="143" t="str">
        <f t="shared" si="15"/>
        <v>07070110080030</v>
      </c>
    </row>
    <row r="971" spans="1:8" ht="38.25" x14ac:dyDescent="0.2">
      <c r="A971" s="190" t="s">
        <v>1510</v>
      </c>
      <c r="B971" s="256" t="s">
        <v>220</v>
      </c>
      <c r="C971" s="256" t="s">
        <v>405</v>
      </c>
      <c r="D971" s="256" t="s">
        <v>833</v>
      </c>
      <c r="E971" s="256" t="s">
        <v>1511</v>
      </c>
      <c r="F971" s="195">
        <v>4185690</v>
      </c>
      <c r="G971" s="195">
        <v>4185690</v>
      </c>
      <c r="H971" s="143" t="str">
        <f t="shared" si="15"/>
        <v>07070110080030600</v>
      </c>
    </row>
    <row r="972" spans="1:8" x14ac:dyDescent="0.2">
      <c r="A972" s="190" t="s">
        <v>1340</v>
      </c>
      <c r="B972" s="256" t="s">
        <v>220</v>
      </c>
      <c r="C972" s="256" t="s">
        <v>405</v>
      </c>
      <c r="D972" s="256" t="s">
        <v>833</v>
      </c>
      <c r="E972" s="256" t="s">
        <v>1341</v>
      </c>
      <c r="F972" s="195">
        <v>4185690</v>
      </c>
      <c r="G972" s="195">
        <v>4185690</v>
      </c>
      <c r="H972" s="143" t="str">
        <f t="shared" si="15"/>
        <v>07070110080030610</v>
      </c>
    </row>
    <row r="973" spans="1:8" ht="76.5" x14ac:dyDescent="0.2">
      <c r="A973" s="190" t="s">
        <v>387</v>
      </c>
      <c r="B973" s="256" t="s">
        <v>220</v>
      </c>
      <c r="C973" s="256" t="s">
        <v>405</v>
      </c>
      <c r="D973" s="256" t="s">
        <v>833</v>
      </c>
      <c r="E973" s="256" t="s">
        <v>388</v>
      </c>
      <c r="F973" s="195">
        <v>4185690</v>
      </c>
      <c r="G973" s="195">
        <v>4185690</v>
      </c>
      <c r="H973" s="143" t="str">
        <f t="shared" si="15"/>
        <v>07070110080030611</v>
      </c>
    </row>
    <row r="974" spans="1:8" ht="229.5" x14ac:dyDescent="0.2">
      <c r="A974" s="190" t="s">
        <v>1693</v>
      </c>
      <c r="B974" s="256" t="s">
        <v>220</v>
      </c>
      <c r="C974" s="256" t="s">
        <v>405</v>
      </c>
      <c r="D974" s="256" t="s">
        <v>831</v>
      </c>
      <c r="E974" s="256" t="s">
        <v>1314</v>
      </c>
      <c r="F974" s="195">
        <v>348248</v>
      </c>
      <c r="G974" s="195">
        <v>348248</v>
      </c>
      <c r="H974" s="143" t="str">
        <f t="shared" si="15"/>
        <v>070701100S3970</v>
      </c>
    </row>
    <row r="975" spans="1:8" ht="38.25" x14ac:dyDescent="0.2">
      <c r="A975" s="190" t="s">
        <v>1510</v>
      </c>
      <c r="B975" s="256" t="s">
        <v>220</v>
      </c>
      <c r="C975" s="256" t="s">
        <v>405</v>
      </c>
      <c r="D975" s="256" t="s">
        <v>831</v>
      </c>
      <c r="E975" s="256" t="s">
        <v>1511</v>
      </c>
      <c r="F975" s="195">
        <v>348248</v>
      </c>
      <c r="G975" s="195">
        <v>348248</v>
      </c>
      <c r="H975" s="143" t="str">
        <f t="shared" si="15"/>
        <v>070701100S3970600</v>
      </c>
    </row>
    <row r="976" spans="1:8" x14ac:dyDescent="0.2">
      <c r="A976" s="190" t="s">
        <v>1340</v>
      </c>
      <c r="B976" s="256" t="s">
        <v>220</v>
      </c>
      <c r="C976" s="256" t="s">
        <v>405</v>
      </c>
      <c r="D976" s="256" t="s">
        <v>831</v>
      </c>
      <c r="E976" s="256" t="s">
        <v>1341</v>
      </c>
      <c r="F976" s="195">
        <v>348248</v>
      </c>
      <c r="G976" s="195">
        <v>348248</v>
      </c>
      <c r="H976" s="143" t="str">
        <f t="shared" si="15"/>
        <v>070701100S3970610</v>
      </c>
    </row>
    <row r="977" spans="1:8" ht="76.5" x14ac:dyDescent="0.2">
      <c r="A977" s="190" t="s">
        <v>387</v>
      </c>
      <c r="B977" s="256" t="s">
        <v>220</v>
      </c>
      <c r="C977" s="256" t="s">
        <v>405</v>
      </c>
      <c r="D977" s="256" t="s">
        <v>831</v>
      </c>
      <c r="E977" s="256" t="s">
        <v>388</v>
      </c>
      <c r="F977" s="195">
        <v>348248</v>
      </c>
      <c r="G977" s="195">
        <v>348248</v>
      </c>
      <c r="H977" s="143" t="str">
        <f t="shared" si="15"/>
        <v>070701100S3970611</v>
      </c>
    </row>
    <row r="978" spans="1:8" ht="38.25" x14ac:dyDescent="0.2">
      <c r="A978" s="190" t="s">
        <v>663</v>
      </c>
      <c r="B978" s="256" t="s">
        <v>220</v>
      </c>
      <c r="C978" s="256" t="s">
        <v>405</v>
      </c>
      <c r="D978" s="256" t="s">
        <v>1033</v>
      </c>
      <c r="E978" s="256" t="s">
        <v>1314</v>
      </c>
      <c r="F978" s="195">
        <v>273090</v>
      </c>
      <c r="G978" s="195">
        <v>273090</v>
      </c>
      <c r="H978" s="143" t="str">
        <f t="shared" si="15"/>
        <v>07070130000000</v>
      </c>
    </row>
    <row r="979" spans="1:8" ht="89.25" x14ac:dyDescent="0.2">
      <c r="A979" s="190" t="s">
        <v>655</v>
      </c>
      <c r="B979" s="256" t="s">
        <v>220</v>
      </c>
      <c r="C979" s="256" t="s">
        <v>405</v>
      </c>
      <c r="D979" s="256" t="s">
        <v>2073</v>
      </c>
      <c r="E979" s="256" t="s">
        <v>1314</v>
      </c>
      <c r="F979" s="195">
        <v>73090</v>
      </c>
      <c r="G979" s="195">
        <v>73090</v>
      </c>
      <c r="H979" s="143" t="str">
        <f t="shared" si="15"/>
        <v>07070130080030</v>
      </c>
    </row>
    <row r="980" spans="1:8" ht="76.5" x14ac:dyDescent="0.2">
      <c r="A980" s="190" t="s">
        <v>1501</v>
      </c>
      <c r="B980" s="256" t="s">
        <v>220</v>
      </c>
      <c r="C980" s="256" t="s">
        <v>405</v>
      </c>
      <c r="D980" s="256" t="s">
        <v>2073</v>
      </c>
      <c r="E980" s="256" t="s">
        <v>290</v>
      </c>
      <c r="F980" s="195">
        <v>69590</v>
      </c>
      <c r="G980" s="195">
        <v>69590</v>
      </c>
      <c r="H980" s="143" t="str">
        <f t="shared" si="15"/>
        <v>07070130080030100</v>
      </c>
    </row>
    <row r="981" spans="1:8" ht="25.5" x14ac:dyDescent="0.2">
      <c r="A981" s="190" t="s">
        <v>1331</v>
      </c>
      <c r="B981" s="256" t="s">
        <v>220</v>
      </c>
      <c r="C981" s="256" t="s">
        <v>405</v>
      </c>
      <c r="D981" s="256" t="s">
        <v>2073</v>
      </c>
      <c r="E981" s="256" t="s">
        <v>140</v>
      </c>
      <c r="F981" s="195">
        <v>69590</v>
      </c>
      <c r="G981" s="195">
        <v>69590</v>
      </c>
      <c r="H981" s="143" t="str">
        <f t="shared" si="15"/>
        <v>07070130080030110</v>
      </c>
    </row>
    <row r="982" spans="1:8" x14ac:dyDescent="0.2">
      <c r="A982" s="190" t="s">
        <v>1216</v>
      </c>
      <c r="B982" s="256" t="s">
        <v>220</v>
      </c>
      <c r="C982" s="256" t="s">
        <v>405</v>
      </c>
      <c r="D982" s="256" t="s">
        <v>2073</v>
      </c>
      <c r="E982" s="256" t="s">
        <v>382</v>
      </c>
      <c r="F982" s="195">
        <v>53449</v>
      </c>
      <c r="G982" s="195">
        <v>53449</v>
      </c>
      <c r="H982" s="143" t="str">
        <f t="shared" si="15"/>
        <v>07070130080030111</v>
      </c>
    </row>
    <row r="983" spans="1:8" ht="51" x14ac:dyDescent="0.2">
      <c r="A983" s="190" t="s">
        <v>1217</v>
      </c>
      <c r="B983" s="256" t="s">
        <v>220</v>
      </c>
      <c r="C983" s="256" t="s">
        <v>405</v>
      </c>
      <c r="D983" s="256" t="s">
        <v>2073</v>
      </c>
      <c r="E983" s="256" t="s">
        <v>1117</v>
      </c>
      <c r="F983" s="195">
        <v>16141</v>
      </c>
      <c r="G983" s="195">
        <v>16141</v>
      </c>
      <c r="H983" s="143" t="str">
        <f t="shared" si="15"/>
        <v>07070130080030119</v>
      </c>
    </row>
    <row r="984" spans="1:8" ht="38.25" x14ac:dyDescent="0.2">
      <c r="A984" s="190" t="s">
        <v>1502</v>
      </c>
      <c r="B984" s="256" t="s">
        <v>220</v>
      </c>
      <c r="C984" s="256" t="s">
        <v>405</v>
      </c>
      <c r="D984" s="256" t="s">
        <v>2073</v>
      </c>
      <c r="E984" s="256" t="s">
        <v>1503</v>
      </c>
      <c r="F984" s="195">
        <v>3500</v>
      </c>
      <c r="G984" s="195">
        <v>3500</v>
      </c>
      <c r="H984" s="143" t="str">
        <f t="shared" si="15"/>
        <v>07070130080030200</v>
      </c>
    </row>
    <row r="985" spans="1:8" ht="38.25" x14ac:dyDescent="0.2">
      <c r="A985" s="190" t="s">
        <v>1338</v>
      </c>
      <c r="B985" s="256" t="s">
        <v>220</v>
      </c>
      <c r="C985" s="256" t="s">
        <v>405</v>
      </c>
      <c r="D985" s="256" t="s">
        <v>2073</v>
      </c>
      <c r="E985" s="256" t="s">
        <v>1339</v>
      </c>
      <c r="F985" s="195">
        <v>3500</v>
      </c>
      <c r="G985" s="195">
        <v>3500</v>
      </c>
      <c r="H985" s="143" t="str">
        <f t="shared" si="15"/>
        <v>07070130080030240</v>
      </c>
    </row>
    <row r="986" spans="1:8" x14ac:dyDescent="0.2">
      <c r="A986" s="190" t="s">
        <v>1379</v>
      </c>
      <c r="B986" s="256" t="s">
        <v>220</v>
      </c>
      <c r="C986" s="256" t="s">
        <v>405</v>
      </c>
      <c r="D986" s="256" t="s">
        <v>2073</v>
      </c>
      <c r="E986" s="256" t="s">
        <v>368</v>
      </c>
      <c r="F986" s="195">
        <v>3500</v>
      </c>
      <c r="G986" s="195">
        <v>3500</v>
      </c>
      <c r="H986" s="143" t="str">
        <f t="shared" si="15"/>
        <v>07070130080030244</v>
      </c>
    </row>
    <row r="987" spans="1:8" ht="114.75" x14ac:dyDescent="0.2">
      <c r="A987" s="190" t="s">
        <v>656</v>
      </c>
      <c r="B987" s="256" t="s">
        <v>220</v>
      </c>
      <c r="C987" s="256" t="s">
        <v>405</v>
      </c>
      <c r="D987" s="256" t="s">
        <v>2074</v>
      </c>
      <c r="E987" s="256" t="s">
        <v>1314</v>
      </c>
      <c r="F987" s="195">
        <v>200000</v>
      </c>
      <c r="G987" s="195">
        <v>200000</v>
      </c>
      <c r="H987" s="143" t="str">
        <f t="shared" si="15"/>
        <v>0707013008П030</v>
      </c>
    </row>
    <row r="988" spans="1:8" ht="38.25" x14ac:dyDescent="0.2">
      <c r="A988" s="190" t="s">
        <v>1502</v>
      </c>
      <c r="B988" s="256" t="s">
        <v>220</v>
      </c>
      <c r="C988" s="256" t="s">
        <v>405</v>
      </c>
      <c r="D988" s="256" t="s">
        <v>2074</v>
      </c>
      <c r="E988" s="256" t="s">
        <v>1503</v>
      </c>
      <c r="F988" s="195">
        <v>200000</v>
      </c>
      <c r="G988" s="195">
        <v>200000</v>
      </c>
      <c r="H988" s="143" t="str">
        <f t="shared" si="15"/>
        <v>0707013008П030200</v>
      </c>
    </row>
    <row r="989" spans="1:8" ht="38.25" x14ac:dyDescent="0.2">
      <c r="A989" s="190" t="s">
        <v>1338</v>
      </c>
      <c r="B989" s="256" t="s">
        <v>220</v>
      </c>
      <c r="C989" s="256" t="s">
        <v>405</v>
      </c>
      <c r="D989" s="256" t="s">
        <v>2074</v>
      </c>
      <c r="E989" s="256" t="s">
        <v>1339</v>
      </c>
      <c r="F989" s="195">
        <v>200000</v>
      </c>
      <c r="G989" s="195">
        <v>200000</v>
      </c>
      <c r="H989" s="143" t="str">
        <f t="shared" si="15"/>
        <v>0707013008П030240</v>
      </c>
    </row>
    <row r="990" spans="1:8" x14ac:dyDescent="0.2">
      <c r="A990" s="190" t="s">
        <v>1379</v>
      </c>
      <c r="B990" s="256" t="s">
        <v>220</v>
      </c>
      <c r="C990" s="256" t="s">
        <v>405</v>
      </c>
      <c r="D990" s="256" t="s">
        <v>2074</v>
      </c>
      <c r="E990" s="256" t="s">
        <v>368</v>
      </c>
      <c r="F990" s="195">
        <v>200000</v>
      </c>
      <c r="G990" s="195">
        <v>200000</v>
      </c>
      <c r="H990" s="143" t="str">
        <f t="shared" si="15"/>
        <v>0707013008П030244</v>
      </c>
    </row>
    <row r="991" spans="1:8" x14ac:dyDescent="0.2">
      <c r="A991" s="190" t="s">
        <v>4</v>
      </c>
      <c r="B991" s="256" t="s">
        <v>220</v>
      </c>
      <c r="C991" s="256" t="s">
        <v>460</v>
      </c>
      <c r="D991" s="256" t="s">
        <v>1314</v>
      </c>
      <c r="E991" s="256" t="s">
        <v>1314</v>
      </c>
      <c r="F991" s="195">
        <v>83210714</v>
      </c>
      <c r="G991" s="195">
        <v>83210714</v>
      </c>
      <c r="H991" s="143" t="str">
        <f t="shared" si="15"/>
        <v>0709</v>
      </c>
    </row>
    <row r="992" spans="1:8" ht="25.5" x14ac:dyDescent="0.2">
      <c r="A992" s="190" t="s">
        <v>483</v>
      </c>
      <c r="B992" s="256" t="s">
        <v>220</v>
      </c>
      <c r="C992" s="256" t="s">
        <v>460</v>
      </c>
      <c r="D992" s="256" t="s">
        <v>1031</v>
      </c>
      <c r="E992" s="256" t="s">
        <v>1314</v>
      </c>
      <c r="F992" s="195">
        <v>83210714</v>
      </c>
      <c r="G992" s="195">
        <v>83210714</v>
      </c>
      <c r="H992" s="143" t="str">
        <f t="shared" si="15"/>
        <v>07090100000000</v>
      </c>
    </row>
    <row r="993" spans="1:8" ht="38.25" x14ac:dyDescent="0.2">
      <c r="A993" s="190" t="s">
        <v>484</v>
      </c>
      <c r="B993" s="256" t="s">
        <v>220</v>
      </c>
      <c r="C993" s="256" t="s">
        <v>460</v>
      </c>
      <c r="D993" s="256" t="s">
        <v>1032</v>
      </c>
      <c r="E993" s="256" t="s">
        <v>1314</v>
      </c>
      <c r="F993" s="195">
        <v>220000</v>
      </c>
      <c r="G993" s="195">
        <v>220000</v>
      </c>
      <c r="H993" s="143" t="str">
        <f t="shared" si="15"/>
        <v>07090110000000</v>
      </c>
    </row>
    <row r="994" spans="1:8" ht="89.25" x14ac:dyDescent="0.2">
      <c r="A994" s="190" t="s">
        <v>451</v>
      </c>
      <c r="B994" s="256" t="s">
        <v>220</v>
      </c>
      <c r="C994" s="256" t="s">
        <v>460</v>
      </c>
      <c r="D994" s="256" t="s">
        <v>818</v>
      </c>
      <c r="E994" s="256" t="s">
        <v>1314</v>
      </c>
      <c r="F994" s="195">
        <v>220000</v>
      </c>
      <c r="G994" s="195">
        <v>220000</v>
      </c>
      <c r="H994" s="143" t="str">
        <f t="shared" si="15"/>
        <v>07090110080020</v>
      </c>
    </row>
    <row r="995" spans="1:8" ht="38.25" x14ac:dyDescent="0.2">
      <c r="A995" s="190" t="s">
        <v>1502</v>
      </c>
      <c r="B995" s="256" t="s">
        <v>220</v>
      </c>
      <c r="C995" s="256" t="s">
        <v>460</v>
      </c>
      <c r="D995" s="256" t="s">
        <v>818</v>
      </c>
      <c r="E995" s="256" t="s">
        <v>1503</v>
      </c>
      <c r="F995" s="195">
        <v>220000</v>
      </c>
      <c r="G995" s="195">
        <v>220000</v>
      </c>
      <c r="H995" s="143" t="str">
        <f t="shared" si="15"/>
        <v>07090110080020200</v>
      </c>
    </row>
    <row r="996" spans="1:8" ht="38.25" x14ac:dyDescent="0.2">
      <c r="A996" s="190" t="s">
        <v>1338</v>
      </c>
      <c r="B996" s="256" t="s">
        <v>220</v>
      </c>
      <c r="C996" s="256" t="s">
        <v>460</v>
      </c>
      <c r="D996" s="256" t="s">
        <v>818</v>
      </c>
      <c r="E996" s="256" t="s">
        <v>1339</v>
      </c>
      <c r="F996" s="195">
        <v>220000</v>
      </c>
      <c r="G996" s="195">
        <v>220000</v>
      </c>
      <c r="H996" s="143" t="str">
        <f t="shared" si="15"/>
        <v>07090110080020240</v>
      </c>
    </row>
    <row r="997" spans="1:8" x14ac:dyDescent="0.2">
      <c r="A997" s="190" t="s">
        <v>1379</v>
      </c>
      <c r="B997" s="256" t="s">
        <v>220</v>
      </c>
      <c r="C997" s="256" t="s">
        <v>460</v>
      </c>
      <c r="D997" s="256" t="s">
        <v>818</v>
      </c>
      <c r="E997" s="256" t="s">
        <v>368</v>
      </c>
      <c r="F997" s="195">
        <v>220000</v>
      </c>
      <c r="G997" s="195">
        <v>220000</v>
      </c>
      <c r="H997" s="143" t="str">
        <f t="shared" si="15"/>
        <v>07090110080020244</v>
      </c>
    </row>
    <row r="998" spans="1:8" ht="51" x14ac:dyDescent="0.2">
      <c r="A998" s="190" t="s">
        <v>486</v>
      </c>
      <c r="B998" s="256" t="s">
        <v>220</v>
      </c>
      <c r="C998" s="256" t="s">
        <v>460</v>
      </c>
      <c r="D998" s="256" t="s">
        <v>1211</v>
      </c>
      <c r="E998" s="256" t="s">
        <v>1314</v>
      </c>
      <c r="F998" s="195">
        <v>6045800</v>
      </c>
      <c r="G998" s="195">
        <v>6045800</v>
      </c>
      <c r="H998" s="143" t="str">
        <f t="shared" ref="H998:H1061" si="16">CONCATENATE(C998,,D998,E998)</f>
        <v>07090120000000</v>
      </c>
    </row>
    <row r="999" spans="1:8" ht="127.5" x14ac:dyDescent="0.2">
      <c r="A999" s="190" t="s">
        <v>461</v>
      </c>
      <c r="B999" s="256" t="s">
        <v>220</v>
      </c>
      <c r="C999" s="256" t="s">
        <v>460</v>
      </c>
      <c r="D999" s="256" t="s">
        <v>1203</v>
      </c>
      <c r="E999" s="256" t="s">
        <v>1314</v>
      </c>
      <c r="F999" s="195">
        <v>6045800</v>
      </c>
      <c r="G999" s="195">
        <v>6045800</v>
      </c>
      <c r="H999" s="143" t="str">
        <f t="shared" si="16"/>
        <v>07090120075520</v>
      </c>
    </row>
    <row r="1000" spans="1:8" ht="76.5" x14ac:dyDescent="0.2">
      <c r="A1000" s="190" t="s">
        <v>1501</v>
      </c>
      <c r="B1000" s="256" t="s">
        <v>220</v>
      </c>
      <c r="C1000" s="256" t="s">
        <v>460</v>
      </c>
      <c r="D1000" s="256" t="s">
        <v>1203</v>
      </c>
      <c r="E1000" s="256" t="s">
        <v>290</v>
      </c>
      <c r="F1000" s="195">
        <v>4994006</v>
      </c>
      <c r="G1000" s="195">
        <v>4994006</v>
      </c>
      <c r="H1000" s="143" t="str">
        <f t="shared" si="16"/>
        <v>07090120075520100</v>
      </c>
    </row>
    <row r="1001" spans="1:8" ht="38.25" x14ac:dyDescent="0.2">
      <c r="A1001" s="190" t="s">
        <v>1345</v>
      </c>
      <c r="B1001" s="256" t="s">
        <v>220</v>
      </c>
      <c r="C1001" s="256" t="s">
        <v>460</v>
      </c>
      <c r="D1001" s="256" t="s">
        <v>1203</v>
      </c>
      <c r="E1001" s="256" t="s">
        <v>30</v>
      </c>
      <c r="F1001" s="195">
        <v>4994006</v>
      </c>
      <c r="G1001" s="195">
        <v>4994006</v>
      </c>
      <c r="H1001" s="143" t="str">
        <f t="shared" si="16"/>
        <v>07090120075520120</v>
      </c>
    </row>
    <row r="1002" spans="1:8" ht="25.5" x14ac:dyDescent="0.2">
      <c r="A1002" s="190" t="s">
        <v>1010</v>
      </c>
      <c r="B1002" s="256" t="s">
        <v>220</v>
      </c>
      <c r="C1002" s="256" t="s">
        <v>460</v>
      </c>
      <c r="D1002" s="256" t="s">
        <v>1203</v>
      </c>
      <c r="E1002" s="256" t="s">
        <v>363</v>
      </c>
      <c r="F1002" s="195">
        <v>3585675</v>
      </c>
      <c r="G1002" s="195">
        <v>3585675</v>
      </c>
      <c r="H1002" s="143" t="str">
        <f t="shared" si="16"/>
        <v>07090120075520121</v>
      </c>
    </row>
    <row r="1003" spans="1:8" ht="51" x14ac:dyDescent="0.2">
      <c r="A1003" s="190" t="s">
        <v>364</v>
      </c>
      <c r="B1003" s="256" t="s">
        <v>220</v>
      </c>
      <c r="C1003" s="256" t="s">
        <v>460</v>
      </c>
      <c r="D1003" s="256" t="s">
        <v>1203</v>
      </c>
      <c r="E1003" s="256" t="s">
        <v>365</v>
      </c>
      <c r="F1003" s="195">
        <v>331081</v>
      </c>
      <c r="G1003" s="195">
        <v>331081</v>
      </c>
      <c r="H1003" s="143" t="str">
        <f t="shared" si="16"/>
        <v>07090120075520122</v>
      </c>
    </row>
    <row r="1004" spans="1:8" ht="63.75" x14ac:dyDescent="0.2">
      <c r="A1004" s="190" t="s">
        <v>1115</v>
      </c>
      <c r="B1004" s="256" t="s">
        <v>220</v>
      </c>
      <c r="C1004" s="256" t="s">
        <v>460</v>
      </c>
      <c r="D1004" s="256" t="s">
        <v>1203</v>
      </c>
      <c r="E1004" s="256" t="s">
        <v>1116</v>
      </c>
      <c r="F1004" s="195">
        <v>1077250</v>
      </c>
      <c r="G1004" s="195">
        <v>1077250</v>
      </c>
      <c r="H1004" s="143" t="str">
        <f t="shared" si="16"/>
        <v>07090120075520129</v>
      </c>
    </row>
    <row r="1005" spans="1:8" ht="38.25" x14ac:dyDescent="0.2">
      <c r="A1005" s="190" t="s">
        <v>1502</v>
      </c>
      <c r="B1005" s="256" t="s">
        <v>220</v>
      </c>
      <c r="C1005" s="256" t="s">
        <v>460</v>
      </c>
      <c r="D1005" s="256" t="s">
        <v>1203</v>
      </c>
      <c r="E1005" s="256" t="s">
        <v>1503</v>
      </c>
      <c r="F1005" s="195">
        <v>1051794</v>
      </c>
      <c r="G1005" s="195">
        <v>1051794</v>
      </c>
      <c r="H1005" s="143" t="str">
        <f t="shared" si="16"/>
        <v>07090120075520200</v>
      </c>
    </row>
    <row r="1006" spans="1:8" ht="38.25" x14ac:dyDescent="0.2">
      <c r="A1006" s="190" t="s">
        <v>1338</v>
      </c>
      <c r="B1006" s="256" t="s">
        <v>220</v>
      </c>
      <c r="C1006" s="256" t="s">
        <v>460</v>
      </c>
      <c r="D1006" s="256" t="s">
        <v>1203</v>
      </c>
      <c r="E1006" s="256" t="s">
        <v>1339</v>
      </c>
      <c r="F1006" s="195">
        <v>1051794</v>
      </c>
      <c r="G1006" s="195">
        <v>1051794</v>
      </c>
      <c r="H1006" s="143" t="str">
        <f t="shared" si="16"/>
        <v>07090120075520240</v>
      </c>
    </row>
    <row r="1007" spans="1:8" x14ac:dyDescent="0.2">
      <c r="A1007" s="190" t="s">
        <v>1379</v>
      </c>
      <c r="B1007" s="256" t="s">
        <v>220</v>
      </c>
      <c r="C1007" s="256" t="s">
        <v>460</v>
      </c>
      <c r="D1007" s="256" t="s">
        <v>1203</v>
      </c>
      <c r="E1007" s="256" t="s">
        <v>368</v>
      </c>
      <c r="F1007" s="195">
        <v>1051794</v>
      </c>
      <c r="G1007" s="195">
        <v>1051794</v>
      </c>
      <c r="H1007" s="143" t="str">
        <f t="shared" si="16"/>
        <v>07090120075520244</v>
      </c>
    </row>
    <row r="1008" spans="1:8" ht="38.25" x14ac:dyDescent="0.2">
      <c r="A1008" s="190" t="s">
        <v>663</v>
      </c>
      <c r="B1008" s="256" t="s">
        <v>220</v>
      </c>
      <c r="C1008" s="256" t="s">
        <v>460</v>
      </c>
      <c r="D1008" s="256" t="s">
        <v>1033</v>
      </c>
      <c r="E1008" s="256" t="s">
        <v>1314</v>
      </c>
      <c r="F1008" s="195">
        <v>76944914</v>
      </c>
      <c r="G1008" s="195">
        <v>76944914</v>
      </c>
      <c r="H1008" s="143" t="str">
        <f t="shared" si="16"/>
        <v>07090130000000</v>
      </c>
    </row>
    <row r="1009" spans="1:8" ht="102" x14ac:dyDescent="0.2">
      <c r="A1009" s="190" t="s">
        <v>657</v>
      </c>
      <c r="B1009" s="256" t="s">
        <v>220</v>
      </c>
      <c r="C1009" s="256" t="s">
        <v>460</v>
      </c>
      <c r="D1009" s="256" t="s">
        <v>1204</v>
      </c>
      <c r="E1009" s="256" t="s">
        <v>1314</v>
      </c>
      <c r="F1009" s="195">
        <v>50432000</v>
      </c>
      <c r="G1009" s="195">
        <v>50432000</v>
      </c>
      <c r="H1009" s="143" t="str">
        <f t="shared" si="16"/>
        <v>07090130040000</v>
      </c>
    </row>
    <row r="1010" spans="1:8" ht="76.5" x14ac:dyDescent="0.2">
      <c r="A1010" s="190" t="s">
        <v>1501</v>
      </c>
      <c r="B1010" s="256" t="s">
        <v>220</v>
      </c>
      <c r="C1010" s="256" t="s">
        <v>460</v>
      </c>
      <c r="D1010" s="256" t="s">
        <v>1204</v>
      </c>
      <c r="E1010" s="256" t="s">
        <v>290</v>
      </c>
      <c r="F1010" s="195">
        <v>47012000</v>
      </c>
      <c r="G1010" s="195">
        <v>47012000</v>
      </c>
      <c r="H1010" s="143" t="str">
        <f t="shared" si="16"/>
        <v>07090130040000100</v>
      </c>
    </row>
    <row r="1011" spans="1:8" ht="25.5" x14ac:dyDescent="0.2">
      <c r="A1011" s="190" t="s">
        <v>1331</v>
      </c>
      <c r="B1011" s="256" t="s">
        <v>220</v>
      </c>
      <c r="C1011" s="256" t="s">
        <v>460</v>
      </c>
      <c r="D1011" s="256" t="s">
        <v>1204</v>
      </c>
      <c r="E1011" s="256" t="s">
        <v>140</v>
      </c>
      <c r="F1011" s="195">
        <v>47012000</v>
      </c>
      <c r="G1011" s="195">
        <v>47012000</v>
      </c>
      <c r="H1011" s="143" t="str">
        <f t="shared" si="16"/>
        <v>07090130040000110</v>
      </c>
    </row>
    <row r="1012" spans="1:8" x14ac:dyDescent="0.2">
      <c r="A1012" s="190" t="s">
        <v>1216</v>
      </c>
      <c r="B1012" s="256" t="s">
        <v>220</v>
      </c>
      <c r="C1012" s="256" t="s">
        <v>460</v>
      </c>
      <c r="D1012" s="256" t="s">
        <v>1204</v>
      </c>
      <c r="E1012" s="256" t="s">
        <v>382</v>
      </c>
      <c r="F1012" s="195">
        <v>36000000</v>
      </c>
      <c r="G1012" s="195">
        <v>36000000</v>
      </c>
      <c r="H1012" s="143" t="str">
        <f t="shared" si="16"/>
        <v>07090130040000111</v>
      </c>
    </row>
    <row r="1013" spans="1:8" ht="25.5" x14ac:dyDescent="0.2">
      <c r="A1013" s="190" t="s">
        <v>1225</v>
      </c>
      <c r="B1013" s="256" t="s">
        <v>220</v>
      </c>
      <c r="C1013" s="256" t="s">
        <v>460</v>
      </c>
      <c r="D1013" s="256" t="s">
        <v>1204</v>
      </c>
      <c r="E1013" s="256" t="s">
        <v>431</v>
      </c>
      <c r="F1013" s="195">
        <v>140000</v>
      </c>
      <c r="G1013" s="195">
        <v>140000</v>
      </c>
      <c r="H1013" s="143" t="str">
        <f t="shared" si="16"/>
        <v>07090130040000112</v>
      </c>
    </row>
    <row r="1014" spans="1:8" ht="51" x14ac:dyDescent="0.2">
      <c r="A1014" s="190" t="s">
        <v>1217</v>
      </c>
      <c r="B1014" s="256" t="s">
        <v>220</v>
      </c>
      <c r="C1014" s="256" t="s">
        <v>460</v>
      </c>
      <c r="D1014" s="256" t="s">
        <v>1204</v>
      </c>
      <c r="E1014" s="256" t="s">
        <v>1117</v>
      </c>
      <c r="F1014" s="195">
        <v>10872000</v>
      </c>
      <c r="G1014" s="195">
        <v>10872000</v>
      </c>
      <c r="H1014" s="143" t="str">
        <f t="shared" si="16"/>
        <v>07090130040000119</v>
      </c>
    </row>
    <row r="1015" spans="1:8" ht="38.25" x14ac:dyDescent="0.2">
      <c r="A1015" s="190" t="s">
        <v>1502</v>
      </c>
      <c r="B1015" s="256" t="s">
        <v>220</v>
      </c>
      <c r="C1015" s="256" t="s">
        <v>460</v>
      </c>
      <c r="D1015" s="256" t="s">
        <v>1204</v>
      </c>
      <c r="E1015" s="256" t="s">
        <v>1503</v>
      </c>
      <c r="F1015" s="195">
        <v>3420000</v>
      </c>
      <c r="G1015" s="195">
        <v>3420000</v>
      </c>
      <c r="H1015" s="143" t="str">
        <f t="shared" si="16"/>
        <v>07090130040000200</v>
      </c>
    </row>
    <row r="1016" spans="1:8" ht="38.25" x14ac:dyDescent="0.2">
      <c r="A1016" s="190" t="s">
        <v>1338</v>
      </c>
      <c r="B1016" s="256" t="s">
        <v>220</v>
      </c>
      <c r="C1016" s="256" t="s">
        <v>460</v>
      </c>
      <c r="D1016" s="256" t="s">
        <v>1204</v>
      </c>
      <c r="E1016" s="256" t="s">
        <v>1339</v>
      </c>
      <c r="F1016" s="195">
        <v>3420000</v>
      </c>
      <c r="G1016" s="195">
        <v>3420000</v>
      </c>
      <c r="H1016" s="143" t="str">
        <f t="shared" si="16"/>
        <v>07090130040000240</v>
      </c>
    </row>
    <row r="1017" spans="1:8" x14ac:dyDescent="0.2">
      <c r="A1017" s="190" t="s">
        <v>1379</v>
      </c>
      <c r="B1017" s="256" t="s">
        <v>220</v>
      </c>
      <c r="C1017" s="256" t="s">
        <v>460</v>
      </c>
      <c r="D1017" s="256" t="s">
        <v>1204</v>
      </c>
      <c r="E1017" s="256" t="s">
        <v>368</v>
      </c>
      <c r="F1017" s="195">
        <v>3420000</v>
      </c>
      <c r="G1017" s="195">
        <v>3420000</v>
      </c>
      <c r="H1017" s="143" t="str">
        <f t="shared" si="16"/>
        <v>07090130040000244</v>
      </c>
    </row>
    <row r="1018" spans="1:8" ht="102" x14ac:dyDescent="0.2">
      <c r="A1018" s="190" t="s">
        <v>658</v>
      </c>
      <c r="B1018" s="256" t="s">
        <v>220</v>
      </c>
      <c r="C1018" s="256" t="s">
        <v>460</v>
      </c>
      <c r="D1018" s="256" t="s">
        <v>1210</v>
      </c>
      <c r="E1018" s="256" t="s">
        <v>1314</v>
      </c>
      <c r="F1018" s="195">
        <v>1148364</v>
      </c>
      <c r="G1018" s="195">
        <v>1148364</v>
      </c>
      <c r="H1018" s="143" t="str">
        <f t="shared" si="16"/>
        <v>07090130040050</v>
      </c>
    </row>
    <row r="1019" spans="1:8" ht="76.5" x14ac:dyDescent="0.2">
      <c r="A1019" s="190" t="s">
        <v>1501</v>
      </c>
      <c r="B1019" s="256" t="s">
        <v>220</v>
      </c>
      <c r="C1019" s="256" t="s">
        <v>460</v>
      </c>
      <c r="D1019" s="256" t="s">
        <v>1210</v>
      </c>
      <c r="E1019" s="256" t="s">
        <v>290</v>
      </c>
      <c r="F1019" s="195">
        <v>1148364</v>
      </c>
      <c r="G1019" s="195">
        <v>1148364</v>
      </c>
      <c r="H1019" s="143" t="str">
        <f t="shared" si="16"/>
        <v>07090130040050100</v>
      </c>
    </row>
    <row r="1020" spans="1:8" ht="25.5" x14ac:dyDescent="0.2">
      <c r="A1020" s="190" t="s">
        <v>1331</v>
      </c>
      <c r="B1020" s="256" t="s">
        <v>220</v>
      </c>
      <c r="C1020" s="256" t="s">
        <v>460</v>
      </c>
      <c r="D1020" s="256" t="s">
        <v>1210</v>
      </c>
      <c r="E1020" s="256" t="s">
        <v>140</v>
      </c>
      <c r="F1020" s="195">
        <v>1148364</v>
      </c>
      <c r="G1020" s="195">
        <v>1148364</v>
      </c>
      <c r="H1020" s="143" t="str">
        <f t="shared" si="16"/>
        <v>07090130040050110</v>
      </c>
    </row>
    <row r="1021" spans="1:8" x14ac:dyDescent="0.2">
      <c r="A1021" s="190" t="s">
        <v>1216</v>
      </c>
      <c r="B1021" s="256" t="s">
        <v>220</v>
      </c>
      <c r="C1021" s="256" t="s">
        <v>460</v>
      </c>
      <c r="D1021" s="256" t="s">
        <v>1210</v>
      </c>
      <c r="E1021" s="256" t="s">
        <v>382</v>
      </c>
      <c r="F1021" s="195">
        <v>882000</v>
      </c>
      <c r="G1021" s="195">
        <v>882000</v>
      </c>
      <c r="H1021" s="143" t="str">
        <f t="shared" si="16"/>
        <v>07090130040050111</v>
      </c>
    </row>
    <row r="1022" spans="1:8" ht="51" x14ac:dyDescent="0.2">
      <c r="A1022" s="190" t="s">
        <v>1217</v>
      </c>
      <c r="B1022" s="256" t="s">
        <v>220</v>
      </c>
      <c r="C1022" s="256" t="s">
        <v>460</v>
      </c>
      <c r="D1022" s="256" t="s">
        <v>1210</v>
      </c>
      <c r="E1022" s="256" t="s">
        <v>1117</v>
      </c>
      <c r="F1022" s="195">
        <v>266364</v>
      </c>
      <c r="G1022" s="195">
        <v>266364</v>
      </c>
      <c r="H1022" s="143" t="str">
        <f t="shared" si="16"/>
        <v>07090130040050119</v>
      </c>
    </row>
    <row r="1023" spans="1:8" ht="140.25" x14ac:dyDescent="0.2">
      <c r="A1023" s="190" t="s">
        <v>670</v>
      </c>
      <c r="B1023" s="256" t="s">
        <v>220</v>
      </c>
      <c r="C1023" s="256" t="s">
        <v>460</v>
      </c>
      <c r="D1023" s="256" t="s">
        <v>1205</v>
      </c>
      <c r="E1023" s="256" t="s">
        <v>1314</v>
      </c>
      <c r="F1023" s="195">
        <v>14322000</v>
      </c>
      <c r="G1023" s="195">
        <v>14322000</v>
      </c>
      <c r="H1023" s="143" t="str">
        <f t="shared" si="16"/>
        <v>07090130041000</v>
      </c>
    </row>
    <row r="1024" spans="1:8" ht="76.5" x14ac:dyDescent="0.2">
      <c r="A1024" s="190" t="s">
        <v>1501</v>
      </c>
      <c r="B1024" s="256" t="s">
        <v>220</v>
      </c>
      <c r="C1024" s="256" t="s">
        <v>460</v>
      </c>
      <c r="D1024" s="256" t="s">
        <v>1205</v>
      </c>
      <c r="E1024" s="256" t="s">
        <v>290</v>
      </c>
      <c r="F1024" s="195">
        <v>14322000</v>
      </c>
      <c r="G1024" s="195">
        <v>14322000</v>
      </c>
      <c r="H1024" s="143" t="str">
        <f t="shared" si="16"/>
        <v>07090130041000100</v>
      </c>
    </row>
    <row r="1025" spans="1:8" ht="25.5" x14ac:dyDescent="0.2">
      <c r="A1025" s="190" t="s">
        <v>1331</v>
      </c>
      <c r="B1025" s="256" t="s">
        <v>220</v>
      </c>
      <c r="C1025" s="256" t="s">
        <v>460</v>
      </c>
      <c r="D1025" s="256" t="s">
        <v>1205</v>
      </c>
      <c r="E1025" s="256" t="s">
        <v>140</v>
      </c>
      <c r="F1025" s="195">
        <v>14322000</v>
      </c>
      <c r="G1025" s="195">
        <v>14322000</v>
      </c>
      <c r="H1025" s="143" t="str">
        <f t="shared" si="16"/>
        <v>07090130041000110</v>
      </c>
    </row>
    <row r="1026" spans="1:8" x14ac:dyDescent="0.2">
      <c r="A1026" s="190" t="s">
        <v>1216</v>
      </c>
      <c r="B1026" s="256" t="s">
        <v>220</v>
      </c>
      <c r="C1026" s="256" t="s">
        <v>460</v>
      </c>
      <c r="D1026" s="256" t="s">
        <v>1205</v>
      </c>
      <c r="E1026" s="256" t="s">
        <v>382</v>
      </c>
      <c r="F1026" s="195">
        <v>11000000</v>
      </c>
      <c r="G1026" s="195">
        <v>11000000</v>
      </c>
      <c r="H1026" s="143" t="str">
        <f t="shared" si="16"/>
        <v>07090130041000111</v>
      </c>
    </row>
    <row r="1027" spans="1:8" ht="51" x14ac:dyDescent="0.2">
      <c r="A1027" s="190" t="s">
        <v>1217</v>
      </c>
      <c r="B1027" s="256" t="s">
        <v>220</v>
      </c>
      <c r="C1027" s="256" t="s">
        <v>460</v>
      </c>
      <c r="D1027" s="256" t="s">
        <v>1205</v>
      </c>
      <c r="E1027" s="256" t="s">
        <v>1117</v>
      </c>
      <c r="F1027" s="195">
        <v>3322000</v>
      </c>
      <c r="G1027" s="195">
        <v>3322000</v>
      </c>
      <c r="H1027" s="143" t="str">
        <f t="shared" si="16"/>
        <v>07090130041000119</v>
      </c>
    </row>
    <row r="1028" spans="1:8" ht="114.75" x14ac:dyDescent="0.2">
      <c r="A1028" s="190" t="s">
        <v>659</v>
      </c>
      <c r="B1028" s="256" t="s">
        <v>220</v>
      </c>
      <c r="C1028" s="256" t="s">
        <v>460</v>
      </c>
      <c r="D1028" s="256" t="s">
        <v>1206</v>
      </c>
      <c r="E1028" s="256" t="s">
        <v>1314</v>
      </c>
      <c r="F1028" s="195">
        <v>450000</v>
      </c>
      <c r="G1028" s="195">
        <v>450000</v>
      </c>
      <c r="H1028" s="143" t="str">
        <f t="shared" si="16"/>
        <v>07090130047000</v>
      </c>
    </row>
    <row r="1029" spans="1:8" ht="76.5" x14ac:dyDescent="0.2">
      <c r="A1029" s="190" t="s">
        <v>1501</v>
      </c>
      <c r="B1029" s="256" t="s">
        <v>220</v>
      </c>
      <c r="C1029" s="256" t="s">
        <v>460</v>
      </c>
      <c r="D1029" s="256" t="s">
        <v>1206</v>
      </c>
      <c r="E1029" s="256" t="s">
        <v>290</v>
      </c>
      <c r="F1029" s="195">
        <v>450000</v>
      </c>
      <c r="G1029" s="195">
        <v>450000</v>
      </c>
      <c r="H1029" s="143" t="str">
        <f t="shared" si="16"/>
        <v>07090130047000100</v>
      </c>
    </row>
    <row r="1030" spans="1:8" ht="25.5" x14ac:dyDescent="0.2">
      <c r="A1030" s="190" t="s">
        <v>1331</v>
      </c>
      <c r="B1030" s="256" t="s">
        <v>220</v>
      </c>
      <c r="C1030" s="256" t="s">
        <v>460</v>
      </c>
      <c r="D1030" s="256" t="s">
        <v>1206</v>
      </c>
      <c r="E1030" s="256" t="s">
        <v>140</v>
      </c>
      <c r="F1030" s="195">
        <v>450000</v>
      </c>
      <c r="G1030" s="195">
        <v>450000</v>
      </c>
      <c r="H1030" s="143" t="str">
        <f t="shared" si="16"/>
        <v>07090130047000110</v>
      </c>
    </row>
    <row r="1031" spans="1:8" ht="25.5" x14ac:dyDescent="0.2">
      <c r="A1031" s="190" t="s">
        <v>1225</v>
      </c>
      <c r="B1031" s="256" t="s">
        <v>220</v>
      </c>
      <c r="C1031" s="256" t="s">
        <v>460</v>
      </c>
      <c r="D1031" s="256" t="s">
        <v>1206</v>
      </c>
      <c r="E1031" s="256" t="s">
        <v>431</v>
      </c>
      <c r="F1031" s="195">
        <v>450000</v>
      </c>
      <c r="G1031" s="195">
        <v>450000</v>
      </c>
      <c r="H1031" s="143" t="str">
        <f t="shared" si="16"/>
        <v>07090130047000112</v>
      </c>
    </row>
    <row r="1032" spans="1:8" ht="89.25" x14ac:dyDescent="0.2">
      <c r="A1032" s="190" t="s">
        <v>660</v>
      </c>
      <c r="B1032" s="256" t="s">
        <v>220</v>
      </c>
      <c r="C1032" s="256" t="s">
        <v>460</v>
      </c>
      <c r="D1032" s="256" t="s">
        <v>1207</v>
      </c>
      <c r="E1032" s="256" t="s">
        <v>1314</v>
      </c>
      <c r="F1032" s="195">
        <v>423000</v>
      </c>
      <c r="G1032" s="195">
        <v>423000</v>
      </c>
      <c r="H1032" s="143" t="str">
        <f t="shared" si="16"/>
        <v>0709013004Г000</v>
      </c>
    </row>
    <row r="1033" spans="1:8" ht="38.25" x14ac:dyDescent="0.2">
      <c r="A1033" s="190" t="s">
        <v>1502</v>
      </c>
      <c r="B1033" s="256" t="s">
        <v>220</v>
      </c>
      <c r="C1033" s="256" t="s">
        <v>460</v>
      </c>
      <c r="D1033" s="256" t="s">
        <v>1207</v>
      </c>
      <c r="E1033" s="256" t="s">
        <v>1503</v>
      </c>
      <c r="F1033" s="195">
        <v>423000</v>
      </c>
      <c r="G1033" s="195">
        <v>423000</v>
      </c>
      <c r="H1033" s="143" t="str">
        <f t="shared" si="16"/>
        <v>0709013004Г000200</v>
      </c>
    </row>
    <row r="1034" spans="1:8" ht="38.25" x14ac:dyDescent="0.2">
      <c r="A1034" s="190" t="s">
        <v>1338</v>
      </c>
      <c r="B1034" s="256" t="s">
        <v>220</v>
      </c>
      <c r="C1034" s="256" t="s">
        <v>460</v>
      </c>
      <c r="D1034" s="256" t="s">
        <v>1207</v>
      </c>
      <c r="E1034" s="256" t="s">
        <v>1339</v>
      </c>
      <c r="F1034" s="195">
        <v>423000</v>
      </c>
      <c r="G1034" s="195">
        <v>423000</v>
      </c>
      <c r="H1034" s="143" t="str">
        <f t="shared" si="16"/>
        <v>0709013004Г000240</v>
      </c>
    </row>
    <row r="1035" spans="1:8" x14ac:dyDescent="0.2">
      <c r="A1035" s="190" t="s">
        <v>2024</v>
      </c>
      <c r="B1035" s="256" t="s">
        <v>220</v>
      </c>
      <c r="C1035" s="256" t="s">
        <v>460</v>
      </c>
      <c r="D1035" s="256" t="s">
        <v>1207</v>
      </c>
      <c r="E1035" s="256" t="s">
        <v>2025</v>
      </c>
      <c r="F1035" s="195">
        <v>423000</v>
      </c>
      <c r="G1035" s="195">
        <v>423000</v>
      </c>
      <c r="H1035" s="143" t="str">
        <f t="shared" si="16"/>
        <v>0709013004Г000247</v>
      </c>
    </row>
    <row r="1036" spans="1:8" ht="76.5" x14ac:dyDescent="0.2">
      <c r="A1036" s="190" t="s">
        <v>1028</v>
      </c>
      <c r="B1036" s="256" t="s">
        <v>220</v>
      </c>
      <c r="C1036" s="256" t="s">
        <v>460</v>
      </c>
      <c r="D1036" s="256" t="s">
        <v>1232</v>
      </c>
      <c r="E1036" s="256" t="s">
        <v>1314</v>
      </c>
      <c r="F1036" s="195">
        <v>2900000</v>
      </c>
      <c r="G1036" s="195">
        <v>2900000</v>
      </c>
      <c r="H1036" s="143" t="str">
        <f t="shared" si="16"/>
        <v>0709013004Э000</v>
      </c>
    </row>
    <row r="1037" spans="1:8" ht="38.25" x14ac:dyDescent="0.2">
      <c r="A1037" s="190" t="s">
        <v>1502</v>
      </c>
      <c r="B1037" s="256" t="s">
        <v>220</v>
      </c>
      <c r="C1037" s="256" t="s">
        <v>460</v>
      </c>
      <c r="D1037" s="256" t="s">
        <v>1232</v>
      </c>
      <c r="E1037" s="256" t="s">
        <v>1503</v>
      </c>
      <c r="F1037" s="195">
        <v>2900000</v>
      </c>
      <c r="G1037" s="195">
        <v>2900000</v>
      </c>
      <c r="H1037" s="143" t="str">
        <f t="shared" si="16"/>
        <v>0709013004Э000200</v>
      </c>
    </row>
    <row r="1038" spans="1:8" ht="38.25" x14ac:dyDescent="0.2">
      <c r="A1038" s="190" t="s">
        <v>1338</v>
      </c>
      <c r="B1038" s="256" t="s">
        <v>220</v>
      </c>
      <c r="C1038" s="256" t="s">
        <v>460</v>
      </c>
      <c r="D1038" s="256" t="s">
        <v>1232</v>
      </c>
      <c r="E1038" s="256" t="s">
        <v>1339</v>
      </c>
      <c r="F1038" s="195">
        <v>2900000</v>
      </c>
      <c r="G1038" s="195">
        <v>2900000</v>
      </c>
      <c r="H1038" s="143" t="str">
        <f t="shared" si="16"/>
        <v>0709013004Э000240</v>
      </c>
    </row>
    <row r="1039" spans="1:8" x14ac:dyDescent="0.2">
      <c r="A1039" s="190" t="s">
        <v>2024</v>
      </c>
      <c r="B1039" s="256" t="s">
        <v>220</v>
      </c>
      <c r="C1039" s="256" t="s">
        <v>460</v>
      </c>
      <c r="D1039" s="256" t="s">
        <v>1232</v>
      </c>
      <c r="E1039" s="256" t="s">
        <v>2025</v>
      </c>
      <c r="F1039" s="195">
        <v>2900000</v>
      </c>
      <c r="G1039" s="195">
        <v>2900000</v>
      </c>
      <c r="H1039" s="143" t="str">
        <f t="shared" si="16"/>
        <v>0709013004Э000247</v>
      </c>
    </row>
    <row r="1040" spans="1:8" ht="102" x14ac:dyDescent="0.2">
      <c r="A1040" s="190" t="s">
        <v>661</v>
      </c>
      <c r="B1040" s="256" t="s">
        <v>220</v>
      </c>
      <c r="C1040" s="256" t="s">
        <v>460</v>
      </c>
      <c r="D1040" s="256" t="s">
        <v>1208</v>
      </c>
      <c r="E1040" s="256" t="s">
        <v>1314</v>
      </c>
      <c r="F1040" s="195">
        <v>7019550</v>
      </c>
      <c r="G1040" s="195">
        <v>7019550</v>
      </c>
      <c r="H1040" s="143" t="str">
        <f t="shared" si="16"/>
        <v>07090130060000</v>
      </c>
    </row>
    <row r="1041" spans="1:8" ht="76.5" x14ac:dyDescent="0.2">
      <c r="A1041" s="190" t="s">
        <v>1501</v>
      </c>
      <c r="B1041" s="256" t="s">
        <v>220</v>
      </c>
      <c r="C1041" s="256" t="s">
        <v>460</v>
      </c>
      <c r="D1041" s="256" t="s">
        <v>1208</v>
      </c>
      <c r="E1041" s="256" t="s">
        <v>290</v>
      </c>
      <c r="F1041" s="195">
        <v>6782800</v>
      </c>
      <c r="G1041" s="195">
        <v>6782800</v>
      </c>
      <c r="H1041" s="143" t="str">
        <f t="shared" si="16"/>
        <v>07090130060000100</v>
      </c>
    </row>
    <row r="1042" spans="1:8" ht="38.25" x14ac:dyDescent="0.2">
      <c r="A1042" s="190" t="s">
        <v>1345</v>
      </c>
      <c r="B1042" s="256" t="s">
        <v>220</v>
      </c>
      <c r="C1042" s="256" t="s">
        <v>460</v>
      </c>
      <c r="D1042" s="256" t="s">
        <v>1208</v>
      </c>
      <c r="E1042" s="256" t="s">
        <v>30</v>
      </c>
      <c r="F1042" s="195">
        <v>6782800</v>
      </c>
      <c r="G1042" s="195">
        <v>6782800</v>
      </c>
      <c r="H1042" s="143" t="str">
        <f t="shared" si="16"/>
        <v>07090130060000120</v>
      </c>
    </row>
    <row r="1043" spans="1:8" ht="25.5" x14ac:dyDescent="0.2">
      <c r="A1043" s="190" t="s">
        <v>1010</v>
      </c>
      <c r="B1043" s="256" t="s">
        <v>220</v>
      </c>
      <c r="C1043" s="256" t="s">
        <v>460</v>
      </c>
      <c r="D1043" s="256" t="s">
        <v>1208</v>
      </c>
      <c r="E1043" s="256" t="s">
        <v>363</v>
      </c>
      <c r="F1043" s="195">
        <v>5145770</v>
      </c>
      <c r="G1043" s="195">
        <v>5145770</v>
      </c>
      <c r="H1043" s="143" t="str">
        <f t="shared" si="16"/>
        <v>07090130060000121</v>
      </c>
    </row>
    <row r="1044" spans="1:8" ht="51" x14ac:dyDescent="0.2">
      <c r="A1044" s="190" t="s">
        <v>364</v>
      </c>
      <c r="B1044" s="256" t="s">
        <v>220</v>
      </c>
      <c r="C1044" s="256" t="s">
        <v>460</v>
      </c>
      <c r="D1044" s="256" t="s">
        <v>1208</v>
      </c>
      <c r="E1044" s="256" t="s">
        <v>365</v>
      </c>
      <c r="F1044" s="195">
        <v>83000</v>
      </c>
      <c r="G1044" s="195">
        <v>83000</v>
      </c>
      <c r="H1044" s="143" t="str">
        <f t="shared" si="16"/>
        <v>07090130060000122</v>
      </c>
    </row>
    <row r="1045" spans="1:8" ht="63.75" x14ac:dyDescent="0.2">
      <c r="A1045" s="190" t="s">
        <v>1115</v>
      </c>
      <c r="B1045" s="256" t="s">
        <v>220</v>
      </c>
      <c r="C1045" s="256" t="s">
        <v>460</v>
      </c>
      <c r="D1045" s="256" t="s">
        <v>1208</v>
      </c>
      <c r="E1045" s="256" t="s">
        <v>1116</v>
      </c>
      <c r="F1045" s="195">
        <v>1554030</v>
      </c>
      <c r="G1045" s="195">
        <v>1554030</v>
      </c>
      <c r="H1045" s="143" t="str">
        <f t="shared" si="16"/>
        <v>07090130060000129</v>
      </c>
    </row>
    <row r="1046" spans="1:8" ht="38.25" x14ac:dyDescent="0.2">
      <c r="A1046" s="190" t="s">
        <v>1502</v>
      </c>
      <c r="B1046" s="256" t="s">
        <v>220</v>
      </c>
      <c r="C1046" s="256" t="s">
        <v>460</v>
      </c>
      <c r="D1046" s="256" t="s">
        <v>1208</v>
      </c>
      <c r="E1046" s="256" t="s">
        <v>1503</v>
      </c>
      <c r="F1046" s="195">
        <v>236750</v>
      </c>
      <c r="G1046" s="195">
        <v>236750</v>
      </c>
      <c r="H1046" s="143" t="str">
        <f t="shared" si="16"/>
        <v>07090130060000200</v>
      </c>
    </row>
    <row r="1047" spans="1:8" ht="38.25" x14ac:dyDescent="0.2">
      <c r="A1047" s="190" t="s">
        <v>1338</v>
      </c>
      <c r="B1047" s="256" t="s">
        <v>220</v>
      </c>
      <c r="C1047" s="256" t="s">
        <v>460</v>
      </c>
      <c r="D1047" s="256" t="s">
        <v>1208</v>
      </c>
      <c r="E1047" s="256" t="s">
        <v>1339</v>
      </c>
      <c r="F1047" s="195">
        <v>236750</v>
      </c>
      <c r="G1047" s="195">
        <v>236750</v>
      </c>
      <c r="H1047" s="143" t="str">
        <f t="shared" si="16"/>
        <v>07090130060000240</v>
      </c>
    </row>
    <row r="1048" spans="1:8" x14ac:dyDescent="0.2">
      <c r="A1048" s="190" t="s">
        <v>1379</v>
      </c>
      <c r="B1048" s="256" t="s">
        <v>220</v>
      </c>
      <c r="C1048" s="256" t="s">
        <v>460</v>
      </c>
      <c r="D1048" s="256" t="s">
        <v>1208</v>
      </c>
      <c r="E1048" s="256" t="s">
        <v>368</v>
      </c>
      <c r="F1048" s="195">
        <v>236750</v>
      </c>
      <c r="G1048" s="195">
        <v>236750</v>
      </c>
      <c r="H1048" s="143" t="str">
        <f t="shared" si="16"/>
        <v>07090130060000244</v>
      </c>
    </row>
    <row r="1049" spans="1:8" ht="127.5" x14ac:dyDescent="0.2">
      <c r="A1049" s="190" t="s">
        <v>662</v>
      </c>
      <c r="B1049" s="256" t="s">
        <v>220</v>
      </c>
      <c r="C1049" s="256" t="s">
        <v>460</v>
      </c>
      <c r="D1049" s="256" t="s">
        <v>1209</v>
      </c>
      <c r="E1049" s="256" t="s">
        <v>1314</v>
      </c>
      <c r="F1049" s="195">
        <v>250000</v>
      </c>
      <c r="G1049" s="195">
        <v>250000</v>
      </c>
      <c r="H1049" s="143" t="str">
        <f t="shared" si="16"/>
        <v>07090130067000</v>
      </c>
    </row>
    <row r="1050" spans="1:8" ht="76.5" x14ac:dyDescent="0.2">
      <c r="A1050" s="190" t="s">
        <v>1501</v>
      </c>
      <c r="B1050" s="256" t="s">
        <v>220</v>
      </c>
      <c r="C1050" s="256" t="s">
        <v>460</v>
      </c>
      <c r="D1050" s="256" t="s">
        <v>1209</v>
      </c>
      <c r="E1050" s="256" t="s">
        <v>290</v>
      </c>
      <c r="F1050" s="195">
        <v>250000</v>
      </c>
      <c r="G1050" s="195">
        <v>250000</v>
      </c>
      <c r="H1050" s="143" t="str">
        <f t="shared" si="16"/>
        <v>07090130067000100</v>
      </c>
    </row>
    <row r="1051" spans="1:8" ht="38.25" x14ac:dyDescent="0.2">
      <c r="A1051" s="190" t="s">
        <v>1345</v>
      </c>
      <c r="B1051" s="256" t="s">
        <v>220</v>
      </c>
      <c r="C1051" s="256" t="s">
        <v>460</v>
      </c>
      <c r="D1051" s="256" t="s">
        <v>1209</v>
      </c>
      <c r="E1051" s="256" t="s">
        <v>30</v>
      </c>
      <c r="F1051" s="195">
        <v>250000</v>
      </c>
      <c r="G1051" s="195">
        <v>250000</v>
      </c>
      <c r="H1051" s="143" t="str">
        <f t="shared" si="16"/>
        <v>07090130067000120</v>
      </c>
    </row>
    <row r="1052" spans="1:8" ht="51" x14ac:dyDescent="0.2">
      <c r="A1052" s="190" t="s">
        <v>364</v>
      </c>
      <c r="B1052" s="256" t="s">
        <v>220</v>
      </c>
      <c r="C1052" s="256" t="s">
        <v>460</v>
      </c>
      <c r="D1052" s="256" t="s">
        <v>1209</v>
      </c>
      <c r="E1052" s="256" t="s">
        <v>365</v>
      </c>
      <c r="F1052" s="195">
        <v>250000</v>
      </c>
      <c r="G1052" s="195">
        <v>250000</v>
      </c>
      <c r="H1052" s="143" t="str">
        <f t="shared" si="16"/>
        <v>07090130067000122</v>
      </c>
    </row>
    <row r="1053" spans="1:8" x14ac:dyDescent="0.2">
      <c r="A1053" s="190" t="s">
        <v>148</v>
      </c>
      <c r="B1053" s="256" t="s">
        <v>220</v>
      </c>
      <c r="C1053" s="256" t="s">
        <v>1221</v>
      </c>
      <c r="D1053" s="256" t="s">
        <v>1314</v>
      </c>
      <c r="E1053" s="256" t="s">
        <v>1314</v>
      </c>
      <c r="F1053" s="195">
        <v>59448900</v>
      </c>
      <c r="G1053" s="195">
        <v>41949200</v>
      </c>
      <c r="H1053" s="143" t="str">
        <f t="shared" si="16"/>
        <v>1000</v>
      </c>
    </row>
    <row r="1054" spans="1:8" x14ac:dyDescent="0.2">
      <c r="A1054" s="190" t="s">
        <v>105</v>
      </c>
      <c r="B1054" s="256" t="s">
        <v>220</v>
      </c>
      <c r="C1054" s="256" t="s">
        <v>418</v>
      </c>
      <c r="D1054" s="256" t="s">
        <v>1314</v>
      </c>
      <c r="E1054" s="256" t="s">
        <v>1314</v>
      </c>
      <c r="F1054" s="195">
        <v>56492300</v>
      </c>
      <c r="G1054" s="195">
        <v>38992600</v>
      </c>
      <c r="H1054" s="143" t="str">
        <f t="shared" si="16"/>
        <v>1003</v>
      </c>
    </row>
    <row r="1055" spans="1:8" ht="25.5" x14ac:dyDescent="0.2">
      <c r="A1055" s="190" t="s">
        <v>483</v>
      </c>
      <c r="B1055" s="256" t="s">
        <v>220</v>
      </c>
      <c r="C1055" s="256" t="s">
        <v>418</v>
      </c>
      <c r="D1055" s="256" t="s">
        <v>1031</v>
      </c>
      <c r="E1055" s="256" t="s">
        <v>1314</v>
      </c>
      <c r="F1055" s="195">
        <v>56492300</v>
      </c>
      <c r="G1055" s="195">
        <v>38992600</v>
      </c>
      <c r="H1055" s="143" t="str">
        <f t="shared" si="16"/>
        <v>10030100000000</v>
      </c>
    </row>
    <row r="1056" spans="1:8" ht="38.25" x14ac:dyDescent="0.2">
      <c r="A1056" s="190" t="s">
        <v>484</v>
      </c>
      <c r="B1056" s="256" t="s">
        <v>220</v>
      </c>
      <c r="C1056" s="256" t="s">
        <v>418</v>
      </c>
      <c r="D1056" s="256" t="s">
        <v>1032</v>
      </c>
      <c r="E1056" s="256" t="s">
        <v>1314</v>
      </c>
      <c r="F1056" s="195">
        <v>56492300</v>
      </c>
      <c r="G1056" s="195">
        <v>38992600</v>
      </c>
      <c r="H1056" s="143" t="str">
        <f t="shared" si="16"/>
        <v>10030110000000</v>
      </c>
    </row>
    <row r="1057" spans="1:8" ht="204" x14ac:dyDescent="0.2">
      <c r="A1057" s="190" t="s">
        <v>1552</v>
      </c>
      <c r="B1057" s="256" t="s">
        <v>220</v>
      </c>
      <c r="C1057" s="256" t="s">
        <v>418</v>
      </c>
      <c r="D1057" s="256" t="s">
        <v>842</v>
      </c>
      <c r="E1057" s="256" t="s">
        <v>1314</v>
      </c>
      <c r="F1057" s="195">
        <v>800300</v>
      </c>
      <c r="G1057" s="195">
        <v>800300</v>
      </c>
      <c r="H1057" s="143" t="str">
        <f t="shared" si="16"/>
        <v>10030110075540</v>
      </c>
    </row>
    <row r="1058" spans="1:8" ht="38.25" x14ac:dyDescent="0.2">
      <c r="A1058" s="190" t="s">
        <v>1502</v>
      </c>
      <c r="B1058" s="256" t="s">
        <v>220</v>
      </c>
      <c r="C1058" s="256" t="s">
        <v>418</v>
      </c>
      <c r="D1058" s="256" t="s">
        <v>842</v>
      </c>
      <c r="E1058" s="256" t="s">
        <v>1503</v>
      </c>
      <c r="F1058" s="195">
        <v>800300</v>
      </c>
      <c r="G1058" s="195">
        <v>800300</v>
      </c>
      <c r="H1058" s="143" t="str">
        <f t="shared" si="16"/>
        <v>10030110075540200</v>
      </c>
    </row>
    <row r="1059" spans="1:8" ht="38.25" x14ac:dyDescent="0.2">
      <c r="A1059" s="190" t="s">
        <v>1338</v>
      </c>
      <c r="B1059" s="256" t="s">
        <v>220</v>
      </c>
      <c r="C1059" s="256" t="s">
        <v>418</v>
      </c>
      <c r="D1059" s="256" t="s">
        <v>842</v>
      </c>
      <c r="E1059" s="256" t="s">
        <v>1339</v>
      </c>
      <c r="F1059" s="195">
        <v>800300</v>
      </c>
      <c r="G1059" s="195">
        <v>800300</v>
      </c>
      <c r="H1059" s="143" t="str">
        <f t="shared" si="16"/>
        <v>10030110075540240</v>
      </c>
    </row>
    <row r="1060" spans="1:8" x14ac:dyDescent="0.2">
      <c r="A1060" s="190" t="s">
        <v>1379</v>
      </c>
      <c r="B1060" s="256" t="s">
        <v>220</v>
      </c>
      <c r="C1060" s="256" t="s">
        <v>418</v>
      </c>
      <c r="D1060" s="256" t="s">
        <v>842</v>
      </c>
      <c r="E1060" s="256" t="s">
        <v>368</v>
      </c>
      <c r="F1060" s="195">
        <v>800300</v>
      </c>
      <c r="G1060" s="195">
        <v>800300</v>
      </c>
      <c r="H1060" s="143" t="str">
        <f t="shared" si="16"/>
        <v>10030110075540244</v>
      </c>
    </row>
    <row r="1061" spans="1:8" ht="153" x14ac:dyDescent="0.2">
      <c r="A1061" s="190" t="s">
        <v>1553</v>
      </c>
      <c r="B1061" s="256" t="s">
        <v>220</v>
      </c>
      <c r="C1061" s="256" t="s">
        <v>418</v>
      </c>
      <c r="D1061" s="256" t="s">
        <v>843</v>
      </c>
      <c r="E1061" s="256" t="s">
        <v>1314</v>
      </c>
      <c r="F1061" s="195">
        <v>19648700</v>
      </c>
      <c r="G1061" s="195">
        <v>26810300</v>
      </c>
      <c r="H1061" s="143" t="str">
        <f t="shared" si="16"/>
        <v>10030110075660</v>
      </c>
    </row>
    <row r="1062" spans="1:8" ht="38.25" x14ac:dyDescent="0.2">
      <c r="A1062" s="190" t="s">
        <v>1502</v>
      </c>
      <c r="B1062" s="256" t="s">
        <v>220</v>
      </c>
      <c r="C1062" s="256" t="s">
        <v>418</v>
      </c>
      <c r="D1062" s="256" t="s">
        <v>843</v>
      </c>
      <c r="E1062" s="256" t="s">
        <v>1503</v>
      </c>
      <c r="F1062" s="195">
        <v>18965420</v>
      </c>
      <c r="G1062" s="195">
        <v>26127020</v>
      </c>
      <c r="H1062" s="143" t="str">
        <f t="shared" ref="H1062:H1125" si="17">CONCATENATE(C1062,,D1062,E1062)</f>
        <v>10030110075660200</v>
      </c>
    </row>
    <row r="1063" spans="1:8" ht="38.25" x14ac:dyDescent="0.2">
      <c r="A1063" s="190" t="s">
        <v>1338</v>
      </c>
      <c r="B1063" s="256" t="s">
        <v>220</v>
      </c>
      <c r="C1063" s="256" t="s">
        <v>418</v>
      </c>
      <c r="D1063" s="256" t="s">
        <v>843</v>
      </c>
      <c r="E1063" s="256" t="s">
        <v>1339</v>
      </c>
      <c r="F1063" s="195">
        <v>18965420</v>
      </c>
      <c r="G1063" s="195">
        <v>26127020</v>
      </c>
      <c r="H1063" s="143" t="str">
        <f t="shared" si="17"/>
        <v>10030110075660240</v>
      </c>
    </row>
    <row r="1064" spans="1:8" x14ac:dyDescent="0.2">
      <c r="A1064" s="190" t="s">
        <v>1379</v>
      </c>
      <c r="B1064" s="256" t="s">
        <v>220</v>
      </c>
      <c r="C1064" s="256" t="s">
        <v>418</v>
      </c>
      <c r="D1064" s="256" t="s">
        <v>843</v>
      </c>
      <c r="E1064" s="256" t="s">
        <v>368</v>
      </c>
      <c r="F1064" s="195">
        <v>18965420</v>
      </c>
      <c r="G1064" s="195">
        <v>26127020</v>
      </c>
      <c r="H1064" s="143" t="str">
        <f t="shared" si="17"/>
        <v>10030110075660244</v>
      </c>
    </row>
    <row r="1065" spans="1:8" ht="25.5" x14ac:dyDescent="0.2">
      <c r="A1065" s="190" t="s">
        <v>1506</v>
      </c>
      <c r="B1065" s="256" t="s">
        <v>220</v>
      </c>
      <c r="C1065" s="256" t="s">
        <v>418</v>
      </c>
      <c r="D1065" s="256" t="s">
        <v>843</v>
      </c>
      <c r="E1065" s="256" t="s">
        <v>1507</v>
      </c>
      <c r="F1065" s="195">
        <v>683280</v>
      </c>
      <c r="G1065" s="195">
        <v>683280</v>
      </c>
      <c r="H1065" s="143" t="str">
        <f t="shared" si="17"/>
        <v>10030110075660300</v>
      </c>
    </row>
    <row r="1066" spans="1:8" ht="38.25" x14ac:dyDescent="0.2">
      <c r="A1066" s="190" t="s">
        <v>1342</v>
      </c>
      <c r="B1066" s="256" t="s">
        <v>220</v>
      </c>
      <c r="C1066" s="256" t="s">
        <v>418</v>
      </c>
      <c r="D1066" s="256" t="s">
        <v>843</v>
      </c>
      <c r="E1066" s="256" t="s">
        <v>604</v>
      </c>
      <c r="F1066" s="195">
        <v>683280</v>
      </c>
      <c r="G1066" s="195">
        <v>683280</v>
      </c>
      <c r="H1066" s="143" t="str">
        <f t="shared" si="17"/>
        <v>10030110075660320</v>
      </c>
    </row>
    <row r="1067" spans="1:8" ht="38.25" x14ac:dyDescent="0.2">
      <c r="A1067" s="190" t="s">
        <v>419</v>
      </c>
      <c r="B1067" s="256" t="s">
        <v>220</v>
      </c>
      <c r="C1067" s="256" t="s">
        <v>418</v>
      </c>
      <c r="D1067" s="256" t="s">
        <v>843</v>
      </c>
      <c r="E1067" s="256" t="s">
        <v>420</v>
      </c>
      <c r="F1067" s="195">
        <v>683280</v>
      </c>
      <c r="G1067" s="195">
        <v>683280</v>
      </c>
      <c r="H1067" s="143" t="str">
        <f t="shared" si="17"/>
        <v>10030110075660321</v>
      </c>
    </row>
    <row r="1068" spans="1:8" ht="191.25" x14ac:dyDescent="0.2">
      <c r="A1068" s="190" t="s">
        <v>1969</v>
      </c>
      <c r="B1068" s="256" t="s">
        <v>220</v>
      </c>
      <c r="C1068" s="256" t="s">
        <v>418</v>
      </c>
      <c r="D1068" s="256" t="s">
        <v>1970</v>
      </c>
      <c r="E1068" s="256" t="s">
        <v>1314</v>
      </c>
      <c r="F1068" s="195">
        <v>36043300</v>
      </c>
      <c r="G1068" s="195">
        <v>11382000</v>
      </c>
      <c r="H1068" s="143" t="str">
        <f t="shared" si="17"/>
        <v>100301100L3040</v>
      </c>
    </row>
    <row r="1069" spans="1:8" ht="38.25" x14ac:dyDescent="0.2">
      <c r="A1069" s="190" t="s">
        <v>1502</v>
      </c>
      <c r="B1069" s="256" t="s">
        <v>220</v>
      </c>
      <c r="C1069" s="256" t="s">
        <v>418</v>
      </c>
      <c r="D1069" s="256" t="s">
        <v>1970</v>
      </c>
      <c r="E1069" s="256" t="s">
        <v>1503</v>
      </c>
      <c r="F1069" s="195">
        <v>36043300</v>
      </c>
      <c r="G1069" s="195">
        <v>11382000</v>
      </c>
      <c r="H1069" s="143" t="str">
        <f t="shared" si="17"/>
        <v>100301100L3040200</v>
      </c>
    </row>
    <row r="1070" spans="1:8" ht="38.25" x14ac:dyDescent="0.2">
      <c r="A1070" s="190" t="s">
        <v>1338</v>
      </c>
      <c r="B1070" s="256" t="s">
        <v>220</v>
      </c>
      <c r="C1070" s="256" t="s">
        <v>418</v>
      </c>
      <c r="D1070" s="256" t="s">
        <v>1970</v>
      </c>
      <c r="E1070" s="256" t="s">
        <v>1339</v>
      </c>
      <c r="F1070" s="195">
        <v>36043300</v>
      </c>
      <c r="G1070" s="195">
        <v>11382000</v>
      </c>
      <c r="H1070" s="143" t="str">
        <f t="shared" si="17"/>
        <v>100301100L3040240</v>
      </c>
    </row>
    <row r="1071" spans="1:8" x14ac:dyDescent="0.2">
      <c r="A1071" s="190" t="s">
        <v>1379</v>
      </c>
      <c r="B1071" s="256" t="s">
        <v>220</v>
      </c>
      <c r="C1071" s="256" t="s">
        <v>418</v>
      </c>
      <c r="D1071" s="256" t="s">
        <v>1970</v>
      </c>
      <c r="E1071" s="256" t="s">
        <v>368</v>
      </c>
      <c r="F1071" s="195">
        <v>36043300</v>
      </c>
      <c r="G1071" s="195">
        <v>11382000</v>
      </c>
      <c r="H1071" s="143" t="str">
        <f t="shared" si="17"/>
        <v>100301100L3040244</v>
      </c>
    </row>
    <row r="1072" spans="1:8" x14ac:dyDescent="0.2">
      <c r="A1072" s="190" t="s">
        <v>19</v>
      </c>
      <c r="B1072" s="256" t="s">
        <v>220</v>
      </c>
      <c r="C1072" s="256" t="s">
        <v>463</v>
      </c>
      <c r="D1072" s="256" t="s">
        <v>1314</v>
      </c>
      <c r="E1072" s="256" t="s">
        <v>1314</v>
      </c>
      <c r="F1072" s="195">
        <v>2956600</v>
      </c>
      <c r="G1072" s="195">
        <v>2956600</v>
      </c>
      <c r="H1072" s="143" t="str">
        <f t="shared" si="17"/>
        <v>1004</v>
      </c>
    </row>
    <row r="1073" spans="1:8" ht="25.5" x14ac:dyDescent="0.2">
      <c r="A1073" s="190" t="s">
        <v>483</v>
      </c>
      <c r="B1073" s="256" t="s">
        <v>220</v>
      </c>
      <c r="C1073" s="256" t="s">
        <v>463</v>
      </c>
      <c r="D1073" s="256" t="s">
        <v>1031</v>
      </c>
      <c r="E1073" s="256" t="s">
        <v>1314</v>
      </c>
      <c r="F1073" s="195">
        <v>2956600</v>
      </c>
      <c r="G1073" s="195">
        <v>2956600</v>
      </c>
      <c r="H1073" s="143" t="str">
        <f t="shared" si="17"/>
        <v>10040100000000</v>
      </c>
    </row>
    <row r="1074" spans="1:8" ht="38.25" x14ac:dyDescent="0.2">
      <c r="A1074" s="190" t="s">
        <v>484</v>
      </c>
      <c r="B1074" s="256" t="s">
        <v>220</v>
      </c>
      <c r="C1074" s="256" t="s">
        <v>463</v>
      </c>
      <c r="D1074" s="256" t="s">
        <v>1032</v>
      </c>
      <c r="E1074" s="256" t="s">
        <v>1314</v>
      </c>
      <c r="F1074" s="195">
        <v>2956600</v>
      </c>
      <c r="G1074" s="195">
        <v>2956600</v>
      </c>
      <c r="H1074" s="143" t="str">
        <f t="shared" si="17"/>
        <v>10040110000000</v>
      </c>
    </row>
    <row r="1075" spans="1:8" ht="140.25" x14ac:dyDescent="0.2">
      <c r="A1075" s="190" t="s">
        <v>1554</v>
      </c>
      <c r="B1075" s="256" t="s">
        <v>220</v>
      </c>
      <c r="C1075" s="256" t="s">
        <v>463</v>
      </c>
      <c r="D1075" s="256" t="s">
        <v>844</v>
      </c>
      <c r="E1075" s="256" t="s">
        <v>1314</v>
      </c>
      <c r="F1075" s="195">
        <v>2956600</v>
      </c>
      <c r="G1075" s="195">
        <v>2956600</v>
      </c>
      <c r="H1075" s="143" t="str">
        <f t="shared" si="17"/>
        <v>10040110075560</v>
      </c>
    </row>
    <row r="1076" spans="1:8" ht="38.25" x14ac:dyDescent="0.2">
      <c r="A1076" s="190" t="s">
        <v>1502</v>
      </c>
      <c r="B1076" s="256" t="s">
        <v>220</v>
      </c>
      <c r="C1076" s="256" t="s">
        <v>463</v>
      </c>
      <c r="D1076" s="256" t="s">
        <v>844</v>
      </c>
      <c r="E1076" s="256" t="s">
        <v>1503</v>
      </c>
      <c r="F1076" s="195">
        <v>50000</v>
      </c>
      <c r="G1076" s="195">
        <v>50000</v>
      </c>
      <c r="H1076" s="143" t="str">
        <f t="shared" si="17"/>
        <v>10040110075560200</v>
      </c>
    </row>
    <row r="1077" spans="1:8" ht="38.25" x14ac:dyDescent="0.2">
      <c r="A1077" s="190" t="s">
        <v>1338</v>
      </c>
      <c r="B1077" s="256" t="s">
        <v>220</v>
      </c>
      <c r="C1077" s="256" t="s">
        <v>463</v>
      </c>
      <c r="D1077" s="256" t="s">
        <v>844</v>
      </c>
      <c r="E1077" s="256" t="s">
        <v>1339</v>
      </c>
      <c r="F1077" s="195">
        <v>50000</v>
      </c>
      <c r="G1077" s="195">
        <v>50000</v>
      </c>
      <c r="H1077" s="143" t="str">
        <f t="shared" si="17"/>
        <v>10040110075560240</v>
      </c>
    </row>
    <row r="1078" spans="1:8" x14ac:dyDescent="0.2">
      <c r="A1078" s="190" t="s">
        <v>1379</v>
      </c>
      <c r="B1078" s="256" t="s">
        <v>220</v>
      </c>
      <c r="C1078" s="256" t="s">
        <v>463</v>
      </c>
      <c r="D1078" s="256" t="s">
        <v>844</v>
      </c>
      <c r="E1078" s="256" t="s">
        <v>368</v>
      </c>
      <c r="F1078" s="195">
        <v>50000</v>
      </c>
      <c r="G1078" s="195">
        <v>50000</v>
      </c>
      <c r="H1078" s="143" t="str">
        <f t="shared" si="17"/>
        <v>10040110075560244</v>
      </c>
    </row>
    <row r="1079" spans="1:8" ht="25.5" x14ac:dyDescent="0.2">
      <c r="A1079" s="190" t="s">
        <v>1506</v>
      </c>
      <c r="B1079" s="256" t="s">
        <v>220</v>
      </c>
      <c r="C1079" s="256" t="s">
        <v>463</v>
      </c>
      <c r="D1079" s="256" t="s">
        <v>844</v>
      </c>
      <c r="E1079" s="256" t="s">
        <v>1507</v>
      </c>
      <c r="F1079" s="195">
        <v>2906600</v>
      </c>
      <c r="G1079" s="195">
        <v>2906600</v>
      </c>
      <c r="H1079" s="143" t="str">
        <f t="shared" si="17"/>
        <v>10040110075560300</v>
      </c>
    </row>
    <row r="1080" spans="1:8" ht="38.25" x14ac:dyDescent="0.2">
      <c r="A1080" s="190" t="s">
        <v>1342</v>
      </c>
      <c r="B1080" s="256" t="s">
        <v>220</v>
      </c>
      <c r="C1080" s="256" t="s">
        <v>463</v>
      </c>
      <c r="D1080" s="256" t="s">
        <v>844</v>
      </c>
      <c r="E1080" s="256" t="s">
        <v>604</v>
      </c>
      <c r="F1080" s="195">
        <v>2906600</v>
      </c>
      <c r="G1080" s="195">
        <v>2906600</v>
      </c>
      <c r="H1080" s="143" t="str">
        <f t="shared" si="17"/>
        <v>10040110075560320</v>
      </c>
    </row>
    <row r="1081" spans="1:8" ht="38.25" x14ac:dyDescent="0.2">
      <c r="A1081" s="190" t="s">
        <v>419</v>
      </c>
      <c r="B1081" s="256" t="s">
        <v>220</v>
      </c>
      <c r="C1081" s="256" t="s">
        <v>463</v>
      </c>
      <c r="D1081" s="256" t="s">
        <v>844</v>
      </c>
      <c r="E1081" s="256" t="s">
        <v>420</v>
      </c>
      <c r="F1081" s="195">
        <v>2906600</v>
      </c>
      <c r="G1081" s="195">
        <v>2906600</v>
      </c>
      <c r="H1081" s="143" t="str">
        <f t="shared" si="17"/>
        <v>10040110075560321</v>
      </c>
    </row>
    <row r="1082" spans="1:8" x14ac:dyDescent="0.2">
      <c r="A1082" s="190" t="s">
        <v>265</v>
      </c>
      <c r="B1082" s="256" t="s">
        <v>220</v>
      </c>
      <c r="C1082" s="256" t="s">
        <v>1222</v>
      </c>
      <c r="D1082" s="256" t="s">
        <v>1314</v>
      </c>
      <c r="E1082" s="256" t="s">
        <v>1314</v>
      </c>
      <c r="F1082" s="195">
        <v>1917000</v>
      </c>
      <c r="G1082" s="195">
        <v>1917000</v>
      </c>
      <c r="H1082" s="143" t="str">
        <f t="shared" si="17"/>
        <v>1100</v>
      </c>
    </row>
    <row r="1083" spans="1:8" x14ac:dyDescent="0.2">
      <c r="A1083" s="190" t="s">
        <v>1384</v>
      </c>
      <c r="B1083" s="256" t="s">
        <v>220</v>
      </c>
      <c r="C1083" s="256" t="s">
        <v>1385</v>
      </c>
      <c r="D1083" s="256" t="s">
        <v>1314</v>
      </c>
      <c r="E1083" s="256" t="s">
        <v>1314</v>
      </c>
      <c r="F1083" s="195">
        <v>1917000</v>
      </c>
      <c r="G1083" s="195">
        <v>1917000</v>
      </c>
      <c r="H1083" s="143" t="str">
        <f t="shared" si="17"/>
        <v>1101</v>
      </c>
    </row>
    <row r="1084" spans="1:8" ht="25.5" x14ac:dyDescent="0.2">
      <c r="A1084" s="190" t="s">
        <v>483</v>
      </c>
      <c r="B1084" s="256" t="s">
        <v>220</v>
      </c>
      <c r="C1084" s="256" t="s">
        <v>1385</v>
      </c>
      <c r="D1084" s="256" t="s">
        <v>1031</v>
      </c>
      <c r="E1084" s="256" t="s">
        <v>1314</v>
      </c>
      <c r="F1084" s="195">
        <v>1917000</v>
      </c>
      <c r="G1084" s="195">
        <v>1917000</v>
      </c>
      <c r="H1084" s="143" t="str">
        <f t="shared" si="17"/>
        <v>11010100000000</v>
      </c>
    </row>
    <row r="1085" spans="1:8" ht="38.25" x14ac:dyDescent="0.2">
      <c r="A1085" s="190" t="s">
        <v>484</v>
      </c>
      <c r="B1085" s="256" t="s">
        <v>220</v>
      </c>
      <c r="C1085" s="256" t="s">
        <v>1385</v>
      </c>
      <c r="D1085" s="256" t="s">
        <v>1032</v>
      </c>
      <c r="E1085" s="256" t="s">
        <v>1314</v>
      </c>
      <c r="F1085" s="195">
        <v>1917000</v>
      </c>
      <c r="G1085" s="195">
        <v>1917000</v>
      </c>
      <c r="H1085" s="143" t="str">
        <f t="shared" si="17"/>
        <v>11010110000000</v>
      </c>
    </row>
    <row r="1086" spans="1:8" ht="140.25" x14ac:dyDescent="0.2">
      <c r="A1086" s="190" t="s">
        <v>454</v>
      </c>
      <c r="B1086" s="256" t="s">
        <v>220</v>
      </c>
      <c r="C1086" s="256" t="s">
        <v>1385</v>
      </c>
      <c r="D1086" s="256" t="s">
        <v>811</v>
      </c>
      <c r="E1086" s="256" t="s">
        <v>1314</v>
      </c>
      <c r="F1086" s="195">
        <v>1368100</v>
      </c>
      <c r="G1086" s="195">
        <v>1368100</v>
      </c>
      <c r="H1086" s="143" t="str">
        <f t="shared" si="17"/>
        <v>11010110040030</v>
      </c>
    </row>
    <row r="1087" spans="1:8" ht="38.25" x14ac:dyDescent="0.2">
      <c r="A1087" s="190" t="s">
        <v>1510</v>
      </c>
      <c r="B1087" s="256" t="s">
        <v>220</v>
      </c>
      <c r="C1087" s="256" t="s">
        <v>1385</v>
      </c>
      <c r="D1087" s="256" t="s">
        <v>811</v>
      </c>
      <c r="E1087" s="256" t="s">
        <v>1511</v>
      </c>
      <c r="F1087" s="195">
        <v>1368100</v>
      </c>
      <c r="G1087" s="195">
        <v>1368100</v>
      </c>
      <c r="H1087" s="143" t="str">
        <f t="shared" si="17"/>
        <v>11010110040030600</v>
      </c>
    </row>
    <row r="1088" spans="1:8" x14ac:dyDescent="0.2">
      <c r="A1088" s="190" t="s">
        <v>1340</v>
      </c>
      <c r="B1088" s="256" t="s">
        <v>220</v>
      </c>
      <c r="C1088" s="256" t="s">
        <v>1385</v>
      </c>
      <c r="D1088" s="256" t="s">
        <v>811</v>
      </c>
      <c r="E1088" s="256" t="s">
        <v>1341</v>
      </c>
      <c r="F1088" s="195">
        <v>1368100</v>
      </c>
      <c r="G1088" s="195">
        <v>1368100</v>
      </c>
      <c r="H1088" s="143" t="str">
        <f t="shared" si="17"/>
        <v>11010110040030610</v>
      </c>
    </row>
    <row r="1089" spans="1:8" ht="76.5" x14ac:dyDescent="0.2">
      <c r="A1089" s="190" t="s">
        <v>387</v>
      </c>
      <c r="B1089" s="256" t="s">
        <v>220</v>
      </c>
      <c r="C1089" s="256" t="s">
        <v>1385</v>
      </c>
      <c r="D1089" s="256" t="s">
        <v>811</v>
      </c>
      <c r="E1089" s="256" t="s">
        <v>388</v>
      </c>
      <c r="F1089" s="195">
        <v>1368100</v>
      </c>
      <c r="G1089" s="195">
        <v>1368100</v>
      </c>
      <c r="H1089" s="143" t="str">
        <f t="shared" si="17"/>
        <v>11010110040030611</v>
      </c>
    </row>
    <row r="1090" spans="1:8" ht="153" x14ac:dyDescent="0.2">
      <c r="A1090" s="190" t="s">
        <v>628</v>
      </c>
      <c r="B1090" s="256" t="s">
        <v>220</v>
      </c>
      <c r="C1090" s="256" t="s">
        <v>1385</v>
      </c>
      <c r="D1090" s="256" t="s">
        <v>817</v>
      </c>
      <c r="E1090" s="256" t="s">
        <v>1314</v>
      </c>
      <c r="F1090" s="195">
        <v>504900</v>
      </c>
      <c r="G1090" s="195">
        <v>504900</v>
      </c>
      <c r="H1090" s="143" t="str">
        <f t="shared" si="17"/>
        <v>1101011004Г030</v>
      </c>
    </row>
    <row r="1091" spans="1:8" ht="38.25" x14ac:dyDescent="0.2">
      <c r="A1091" s="190" t="s">
        <v>1510</v>
      </c>
      <c r="B1091" s="256" t="s">
        <v>220</v>
      </c>
      <c r="C1091" s="256" t="s">
        <v>1385</v>
      </c>
      <c r="D1091" s="256" t="s">
        <v>817</v>
      </c>
      <c r="E1091" s="256" t="s">
        <v>1511</v>
      </c>
      <c r="F1091" s="195">
        <v>504900</v>
      </c>
      <c r="G1091" s="195">
        <v>504900</v>
      </c>
      <c r="H1091" s="143" t="str">
        <f t="shared" si="17"/>
        <v>1101011004Г030600</v>
      </c>
    </row>
    <row r="1092" spans="1:8" x14ac:dyDescent="0.2">
      <c r="A1092" s="190" t="s">
        <v>1340</v>
      </c>
      <c r="B1092" s="256" t="s">
        <v>220</v>
      </c>
      <c r="C1092" s="256" t="s">
        <v>1385</v>
      </c>
      <c r="D1092" s="256" t="s">
        <v>817</v>
      </c>
      <c r="E1092" s="256" t="s">
        <v>1341</v>
      </c>
      <c r="F1092" s="195">
        <v>504900</v>
      </c>
      <c r="G1092" s="195">
        <v>504900</v>
      </c>
      <c r="H1092" s="143" t="str">
        <f t="shared" si="17"/>
        <v>1101011004Г030610</v>
      </c>
    </row>
    <row r="1093" spans="1:8" ht="76.5" x14ac:dyDescent="0.2">
      <c r="A1093" s="190" t="s">
        <v>387</v>
      </c>
      <c r="B1093" s="256" t="s">
        <v>220</v>
      </c>
      <c r="C1093" s="256" t="s">
        <v>1385</v>
      </c>
      <c r="D1093" s="256" t="s">
        <v>817</v>
      </c>
      <c r="E1093" s="256" t="s">
        <v>388</v>
      </c>
      <c r="F1093" s="195">
        <v>504900</v>
      </c>
      <c r="G1093" s="195">
        <v>504900</v>
      </c>
      <c r="H1093" s="143" t="str">
        <f t="shared" si="17"/>
        <v>1101011004Г030611</v>
      </c>
    </row>
    <row r="1094" spans="1:8" ht="127.5" x14ac:dyDescent="0.2">
      <c r="A1094" s="190" t="s">
        <v>1026</v>
      </c>
      <c r="B1094" s="256" t="s">
        <v>220</v>
      </c>
      <c r="C1094" s="256" t="s">
        <v>1385</v>
      </c>
      <c r="D1094" s="256" t="s">
        <v>1027</v>
      </c>
      <c r="E1094" s="256" t="s">
        <v>1314</v>
      </c>
      <c r="F1094" s="195">
        <v>44000</v>
      </c>
      <c r="G1094" s="195">
        <v>44000</v>
      </c>
      <c r="H1094" s="143" t="str">
        <f t="shared" si="17"/>
        <v>1101011004Э030</v>
      </c>
    </row>
    <row r="1095" spans="1:8" ht="38.25" x14ac:dyDescent="0.2">
      <c r="A1095" s="190" t="s">
        <v>1510</v>
      </c>
      <c r="B1095" s="256" t="s">
        <v>220</v>
      </c>
      <c r="C1095" s="256" t="s">
        <v>1385</v>
      </c>
      <c r="D1095" s="256" t="s">
        <v>1027</v>
      </c>
      <c r="E1095" s="256" t="s">
        <v>1511</v>
      </c>
      <c r="F1095" s="195">
        <v>44000</v>
      </c>
      <c r="G1095" s="195">
        <v>44000</v>
      </c>
      <c r="H1095" s="143" t="str">
        <f t="shared" si="17"/>
        <v>1101011004Э030600</v>
      </c>
    </row>
    <row r="1096" spans="1:8" x14ac:dyDescent="0.2">
      <c r="A1096" s="190" t="s">
        <v>1340</v>
      </c>
      <c r="B1096" s="256" t="s">
        <v>220</v>
      </c>
      <c r="C1096" s="256" t="s">
        <v>1385</v>
      </c>
      <c r="D1096" s="256" t="s">
        <v>1027</v>
      </c>
      <c r="E1096" s="256" t="s">
        <v>1341</v>
      </c>
      <c r="F1096" s="195">
        <v>44000</v>
      </c>
      <c r="G1096" s="195">
        <v>44000</v>
      </c>
      <c r="H1096" s="143" t="str">
        <f t="shared" si="17"/>
        <v>1101011004Э030610</v>
      </c>
    </row>
    <row r="1097" spans="1:8" ht="76.5" x14ac:dyDescent="0.2">
      <c r="A1097" s="190" t="s">
        <v>387</v>
      </c>
      <c r="B1097" s="256" t="s">
        <v>220</v>
      </c>
      <c r="C1097" s="256" t="s">
        <v>1385</v>
      </c>
      <c r="D1097" s="256" t="s">
        <v>1027</v>
      </c>
      <c r="E1097" s="256" t="s">
        <v>388</v>
      </c>
      <c r="F1097" s="195">
        <v>44000</v>
      </c>
      <c r="G1097" s="195">
        <v>44000</v>
      </c>
      <c r="H1097" s="143" t="str">
        <f t="shared" si="17"/>
        <v>1101011004Э030611</v>
      </c>
    </row>
    <row r="1098" spans="1:8" ht="25.5" x14ac:dyDescent="0.2">
      <c r="A1098" s="190" t="s">
        <v>1284</v>
      </c>
      <c r="B1098" s="256" t="s">
        <v>1009</v>
      </c>
      <c r="C1098" s="256" t="s">
        <v>1314</v>
      </c>
      <c r="D1098" s="256" t="s">
        <v>1314</v>
      </c>
      <c r="E1098" s="256" t="s">
        <v>1314</v>
      </c>
      <c r="F1098" s="195">
        <v>31724580</v>
      </c>
      <c r="G1098" s="195">
        <v>31724580</v>
      </c>
      <c r="H1098" s="143" t="str">
        <f t="shared" si="17"/>
        <v/>
      </c>
    </row>
    <row r="1099" spans="1:8" ht="38.25" x14ac:dyDescent="0.2">
      <c r="A1099" s="190" t="s">
        <v>254</v>
      </c>
      <c r="B1099" s="256" t="s">
        <v>1009</v>
      </c>
      <c r="C1099" s="256" t="s">
        <v>1215</v>
      </c>
      <c r="D1099" s="256" t="s">
        <v>1314</v>
      </c>
      <c r="E1099" s="256" t="s">
        <v>1314</v>
      </c>
      <c r="F1099" s="195">
        <v>26499600</v>
      </c>
      <c r="G1099" s="195">
        <v>26499600</v>
      </c>
      <c r="H1099" s="143" t="str">
        <f t="shared" si="17"/>
        <v>0300</v>
      </c>
    </row>
    <row r="1100" spans="1:8" ht="51" x14ac:dyDescent="0.2">
      <c r="A1100" s="190" t="s">
        <v>2032</v>
      </c>
      <c r="B1100" s="256" t="s">
        <v>1009</v>
      </c>
      <c r="C1100" s="256" t="s">
        <v>385</v>
      </c>
      <c r="D1100" s="256" t="s">
        <v>1314</v>
      </c>
      <c r="E1100" s="256" t="s">
        <v>1314</v>
      </c>
      <c r="F1100" s="195">
        <v>26499600</v>
      </c>
      <c r="G1100" s="195">
        <v>26499600</v>
      </c>
      <c r="H1100" s="143" t="str">
        <f t="shared" si="17"/>
        <v>0310</v>
      </c>
    </row>
    <row r="1101" spans="1:8" ht="51" x14ac:dyDescent="0.2">
      <c r="A1101" s="190" t="s">
        <v>497</v>
      </c>
      <c r="B1101" s="256" t="s">
        <v>1009</v>
      </c>
      <c r="C1101" s="256" t="s">
        <v>385</v>
      </c>
      <c r="D1101" s="256" t="s">
        <v>1038</v>
      </c>
      <c r="E1101" s="256" t="s">
        <v>1314</v>
      </c>
      <c r="F1101" s="195">
        <v>26499600</v>
      </c>
      <c r="G1101" s="195">
        <v>26499600</v>
      </c>
      <c r="H1101" s="143" t="str">
        <f t="shared" si="17"/>
        <v>03100400000000</v>
      </c>
    </row>
    <row r="1102" spans="1:8" ht="25.5" x14ac:dyDescent="0.2">
      <c r="A1102" s="190" t="s">
        <v>500</v>
      </c>
      <c r="B1102" s="256" t="s">
        <v>1009</v>
      </c>
      <c r="C1102" s="256" t="s">
        <v>385</v>
      </c>
      <c r="D1102" s="256" t="s">
        <v>1040</v>
      </c>
      <c r="E1102" s="256" t="s">
        <v>1314</v>
      </c>
      <c r="F1102" s="195">
        <v>26499600</v>
      </c>
      <c r="G1102" s="195">
        <v>26499600</v>
      </c>
      <c r="H1102" s="143" t="str">
        <f t="shared" si="17"/>
        <v>03100420000000</v>
      </c>
    </row>
    <row r="1103" spans="1:8" ht="153" x14ac:dyDescent="0.2">
      <c r="A1103" s="190" t="s">
        <v>386</v>
      </c>
      <c r="B1103" s="256" t="s">
        <v>1009</v>
      </c>
      <c r="C1103" s="256" t="s">
        <v>385</v>
      </c>
      <c r="D1103" s="256" t="s">
        <v>715</v>
      </c>
      <c r="E1103" s="256" t="s">
        <v>1314</v>
      </c>
      <c r="F1103" s="195">
        <v>21631235</v>
      </c>
      <c r="G1103" s="195">
        <v>21631235</v>
      </c>
      <c r="H1103" s="143" t="str">
        <f t="shared" si="17"/>
        <v>03100420040010</v>
      </c>
    </row>
    <row r="1104" spans="1:8" ht="76.5" x14ac:dyDescent="0.2">
      <c r="A1104" s="190" t="s">
        <v>1501</v>
      </c>
      <c r="B1104" s="256" t="s">
        <v>1009</v>
      </c>
      <c r="C1104" s="256" t="s">
        <v>385</v>
      </c>
      <c r="D1104" s="256" t="s">
        <v>715</v>
      </c>
      <c r="E1104" s="256" t="s">
        <v>290</v>
      </c>
      <c r="F1104" s="195">
        <v>19172042</v>
      </c>
      <c r="G1104" s="195">
        <v>19172042</v>
      </c>
      <c r="H1104" s="143" t="str">
        <f t="shared" si="17"/>
        <v>03100420040010100</v>
      </c>
    </row>
    <row r="1105" spans="1:8" ht="25.5" x14ac:dyDescent="0.2">
      <c r="A1105" s="190" t="s">
        <v>1331</v>
      </c>
      <c r="B1105" s="256" t="s">
        <v>1009</v>
      </c>
      <c r="C1105" s="256" t="s">
        <v>385</v>
      </c>
      <c r="D1105" s="256" t="s">
        <v>715</v>
      </c>
      <c r="E1105" s="256" t="s">
        <v>140</v>
      </c>
      <c r="F1105" s="195">
        <v>19172042</v>
      </c>
      <c r="G1105" s="195">
        <v>19172042</v>
      </c>
      <c r="H1105" s="143" t="str">
        <f t="shared" si="17"/>
        <v>03100420040010110</v>
      </c>
    </row>
    <row r="1106" spans="1:8" x14ac:dyDescent="0.2">
      <c r="A1106" s="256" t="s">
        <v>1216</v>
      </c>
      <c r="B1106" s="256" t="s">
        <v>1009</v>
      </c>
      <c r="C1106" s="256" t="s">
        <v>385</v>
      </c>
      <c r="D1106" s="256" t="s">
        <v>715</v>
      </c>
      <c r="E1106" s="256" t="s">
        <v>382</v>
      </c>
      <c r="F1106" s="195">
        <v>14701000</v>
      </c>
      <c r="G1106" s="195">
        <v>14701000</v>
      </c>
      <c r="H1106" s="143" t="str">
        <f t="shared" si="17"/>
        <v>03100420040010111</v>
      </c>
    </row>
    <row r="1107" spans="1:8" ht="25.5" x14ac:dyDescent="0.2">
      <c r="A1107" s="190" t="s">
        <v>1225</v>
      </c>
      <c r="B1107" s="256" t="s">
        <v>1009</v>
      </c>
      <c r="C1107" s="256" t="s">
        <v>385</v>
      </c>
      <c r="D1107" s="256" t="s">
        <v>715</v>
      </c>
      <c r="E1107" s="256" t="s">
        <v>431</v>
      </c>
      <c r="F1107" s="195">
        <v>40400</v>
      </c>
      <c r="G1107" s="195">
        <v>40400</v>
      </c>
      <c r="H1107" s="143" t="str">
        <f t="shared" si="17"/>
        <v>03100420040010112</v>
      </c>
    </row>
    <row r="1108" spans="1:8" ht="51" x14ac:dyDescent="0.2">
      <c r="A1108" s="190" t="s">
        <v>1217</v>
      </c>
      <c r="B1108" s="256" t="s">
        <v>1009</v>
      </c>
      <c r="C1108" s="256" t="s">
        <v>385</v>
      </c>
      <c r="D1108" s="256" t="s">
        <v>715</v>
      </c>
      <c r="E1108" s="256" t="s">
        <v>1117</v>
      </c>
      <c r="F1108" s="195">
        <v>4430642</v>
      </c>
      <c r="G1108" s="195">
        <v>4430642</v>
      </c>
      <c r="H1108" s="143" t="str">
        <f t="shared" si="17"/>
        <v>03100420040010119</v>
      </c>
    </row>
    <row r="1109" spans="1:8" ht="38.25" x14ac:dyDescent="0.2">
      <c r="A1109" s="190" t="s">
        <v>1502</v>
      </c>
      <c r="B1109" s="256" t="s">
        <v>1009</v>
      </c>
      <c r="C1109" s="256" t="s">
        <v>385</v>
      </c>
      <c r="D1109" s="256" t="s">
        <v>715</v>
      </c>
      <c r="E1109" s="256" t="s">
        <v>1503</v>
      </c>
      <c r="F1109" s="195">
        <v>2459193</v>
      </c>
      <c r="G1109" s="195">
        <v>2459193</v>
      </c>
      <c r="H1109" s="143" t="str">
        <f t="shared" si="17"/>
        <v>03100420040010200</v>
      </c>
    </row>
    <row r="1110" spans="1:8" ht="38.25" x14ac:dyDescent="0.2">
      <c r="A1110" s="190" t="s">
        <v>1338</v>
      </c>
      <c r="B1110" s="256" t="s">
        <v>1009</v>
      </c>
      <c r="C1110" s="256" t="s">
        <v>385</v>
      </c>
      <c r="D1110" s="256" t="s">
        <v>715</v>
      </c>
      <c r="E1110" s="256" t="s">
        <v>1339</v>
      </c>
      <c r="F1110" s="195">
        <v>2459193</v>
      </c>
      <c r="G1110" s="195">
        <v>2459193</v>
      </c>
      <c r="H1110" s="143" t="str">
        <f t="shared" si="17"/>
        <v>03100420040010240</v>
      </c>
    </row>
    <row r="1111" spans="1:8" x14ac:dyDescent="0.2">
      <c r="A1111" s="190" t="s">
        <v>1379</v>
      </c>
      <c r="B1111" s="256" t="s">
        <v>1009</v>
      </c>
      <c r="C1111" s="256" t="s">
        <v>385</v>
      </c>
      <c r="D1111" s="256" t="s">
        <v>715</v>
      </c>
      <c r="E1111" s="256" t="s">
        <v>368</v>
      </c>
      <c r="F1111" s="195">
        <v>2459193</v>
      </c>
      <c r="G1111" s="195">
        <v>2459193</v>
      </c>
      <c r="H1111" s="143" t="str">
        <f t="shared" si="17"/>
        <v>03100420040010244</v>
      </c>
    </row>
    <row r="1112" spans="1:8" ht="165.75" x14ac:dyDescent="0.2">
      <c r="A1112" s="190" t="s">
        <v>1555</v>
      </c>
      <c r="B1112" s="256" t="s">
        <v>1009</v>
      </c>
      <c r="C1112" s="256" t="s">
        <v>385</v>
      </c>
      <c r="D1112" s="256" t="s">
        <v>1556</v>
      </c>
      <c r="E1112" s="256" t="s">
        <v>1314</v>
      </c>
      <c r="F1112" s="195">
        <v>1282300</v>
      </c>
      <c r="G1112" s="195">
        <v>1282300</v>
      </c>
      <c r="H1112" s="143" t="str">
        <f t="shared" si="17"/>
        <v>03100420041010</v>
      </c>
    </row>
    <row r="1113" spans="1:8" ht="76.5" x14ac:dyDescent="0.2">
      <c r="A1113" s="190" t="s">
        <v>1501</v>
      </c>
      <c r="B1113" s="256" t="s">
        <v>1009</v>
      </c>
      <c r="C1113" s="256" t="s">
        <v>385</v>
      </c>
      <c r="D1113" s="256" t="s">
        <v>1556</v>
      </c>
      <c r="E1113" s="256" t="s">
        <v>290</v>
      </c>
      <c r="F1113" s="195">
        <v>1282300</v>
      </c>
      <c r="G1113" s="195">
        <v>1282300</v>
      </c>
      <c r="H1113" s="143" t="str">
        <f t="shared" si="17"/>
        <v>03100420041010100</v>
      </c>
    </row>
    <row r="1114" spans="1:8" ht="25.5" x14ac:dyDescent="0.2">
      <c r="A1114" s="190" t="s">
        <v>1331</v>
      </c>
      <c r="B1114" s="256" t="s">
        <v>1009</v>
      </c>
      <c r="C1114" s="256" t="s">
        <v>385</v>
      </c>
      <c r="D1114" s="256" t="s">
        <v>1556</v>
      </c>
      <c r="E1114" s="256" t="s">
        <v>140</v>
      </c>
      <c r="F1114" s="195">
        <v>1282300</v>
      </c>
      <c r="G1114" s="195">
        <v>1282300</v>
      </c>
      <c r="H1114" s="143" t="str">
        <f t="shared" si="17"/>
        <v>03100420041010110</v>
      </c>
    </row>
    <row r="1115" spans="1:8" x14ac:dyDescent="0.2">
      <c r="A1115" s="190" t="s">
        <v>1216</v>
      </c>
      <c r="B1115" s="256" t="s">
        <v>1009</v>
      </c>
      <c r="C1115" s="256" t="s">
        <v>385</v>
      </c>
      <c r="D1115" s="256" t="s">
        <v>1556</v>
      </c>
      <c r="E1115" s="256" t="s">
        <v>382</v>
      </c>
      <c r="F1115" s="195">
        <v>984870</v>
      </c>
      <c r="G1115" s="195">
        <v>984870</v>
      </c>
      <c r="H1115" s="143" t="str">
        <f t="shared" si="17"/>
        <v>03100420041010111</v>
      </c>
    </row>
    <row r="1116" spans="1:8" ht="51" x14ac:dyDescent="0.2">
      <c r="A1116" s="190" t="s">
        <v>1217</v>
      </c>
      <c r="B1116" s="256" t="s">
        <v>1009</v>
      </c>
      <c r="C1116" s="256" t="s">
        <v>385</v>
      </c>
      <c r="D1116" s="256" t="s">
        <v>1556</v>
      </c>
      <c r="E1116" s="256" t="s">
        <v>1117</v>
      </c>
      <c r="F1116" s="195">
        <v>297430</v>
      </c>
      <c r="G1116" s="195">
        <v>297430</v>
      </c>
      <c r="H1116" s="143" t="str">
        <f t="shared" si="17"/>
        <v>03100420041010119</v>
      </c>
    </row>
    <row r="1117" spans="1:8" ht="153" x14ac:dyDescent="0.2">
      <c r="A1117" s="190" t="s">
        <v>1557</v>
      </c>
      <c r="B1117" s="256" t="s">
        <v>1009</v>
      </c>
      <c r="C1117" s="256" t="s">
        <v>385</v>
      </c>
      <c r="D1117" s="256" t="s">
        <v>1558</v>
      </c>
      <c r="E1117" s="256" t="s">
        <v>1314</v>
      </c>
      <c r="F1117" s="195">
        <v>365000</v>
      </c>
      <c r="G1117" s="195">
        <v>365000</v>
      </c>
      <c r="H1117" s="143" t="str">
        <f t="shared" si="17"/>
        <v>03100420047010</v>
      </c>
    </row>
    <row r="1118" spans="1:8" ht="76.5" x14ac:dyDescent="0.2">
      <c r="A1118" s="190" t="s">
        <v>1501</v>
      </c>
      <c r="B1118" s="256" t="s">
        <v>1009</v>
      </c>
      <c r="C1118" s="256" t="s">
        <v>385</v>
      </c>
      <c r="D1118" s="256" t="s">
        <v>1558</v>
      </c>
      <c r="E1118" s="256" t="s">
        <v>290</v>
      </c>
      <c r="F1118" s="195">
        <v>365000</v>
      </c>
      <c r="G1118" s="195">
        <v>365000</v>
      </c>
      <c r="H1118" s="143" t="str">
        <f t="shared" si="17"/>
        <v>03100420047010100</v>
      </c>
    </row>
    <row r="1119" spans="1:8" ht="25.5" x14ac:dyDescent="0.2">
      <c r="A1119" s="52" t="s">
        <v>1331</v>
      </c>
      <c r="B1119" s="256" t="s">
        <v>1009</v>
      </c>
      <c r="C1119" s="256" t="s">
        <v>385</v>
      </c>
      <c r="D1119" s="256" t="s">
        <v>1558</v>
      </c>
      <c r="E1119" s="256" t="s">
        <v>140</v>
      </c>
      <c r="F1119" s="195">
        <v>365000</v>
      </c>
      <c r="G1119" s="195">
        <v>365000</v>
      </c>
      <c r="H1119" s="143" t="str">
        <f t="shared" si="17"/>
        <v>03100420047010110</v>
      </c>
    </row>
    <row r="1120" spans="1:8" ht="25.5" x14ac:dyDescent="0.2">
      <c r="A1120" s="190" t="s">
        <v>1225</v>
      </c>
      <c r="B1120" s="256" t="s">
        <v>1009</v>
      </c>
      <c r="C1120" s="256" t="s">
        <v>385</v>
      </c>
      <c r="D1120" s="256" t="s">
        <v>1558</v>
      </c>
      <c r="E1120" s="256" t="s">
        <v>431</v>
      </c>
      <c r="F1120" s="195">
        <v>365000</v>
      </c>
      <c r="G1120" s="195">
        <v>365000</v>
      </c>
      <c r="H1120" s="143" t="str">
        <f t="shared" si="17"/>
        <v>03100420047010112</v>
      </c>
    </row>
    <row r="1121" spans="1:8" ht="165.75" x14ac:dyDescent="0.2">
      <c r="A1121" s="190" t="s">
        <v>2104</v>
      </c>
      <c r="B1121" s="256" t="s">
        <v>1009</v>
      </c>
      <c r="C1121" s="256" t="s">
        <v>385</v>
      </c>
      <c r="D1121" s="256" t="s">
        <v>717</v>
      </c>
      <c r="E1121" s="256" t="s">
        <v>1314</v>
      </c>
      <c r="F1121" s="195">
        <v>2563670</v>
      </c>
      <c r="G1121" s="195">
        <v>2563670</v>
      </c>
      <c r="H1121" s="143" t="str">
        <f t="shared" si="17"/>
        <v>0310042004Г010</v>
      </c>
    </row>
    <row r="1122" spans="1:8" ht="38.25" x14ac:dyDescent="0.2">
      <c r="A1122" s="190" t="s">
        <v>1502</v>
      </c>
      <c r="B1122" s="256" t="s">
        <v>1009</v>
      </c>
      <c r="C1122" s="256" t="s">
        <v>385</v>
      </c>
      <c r="D1122" s="256" t="s">
        <v>717</v>
      </c>
      <c r="E1122" s="256" t="s">
        <v>1503</v>
      </c>
      <c r="F1122" s="195">
        <v>2563670</v>
      </c>
      <c r="G1122" s="195">
        <v>2563670</v>
      </c>
      <c r="H1122" s="143" t="str">
        <f t="shared" si="17"/>
        <v>0310042004Г010200</v>
      </c>
    </row>
    <row r="1123" spans="1:8" ht="38.25" x14ac:dyDescent="0.2">
      <c r="A1123" s="190" t="s">
        <v>1338</v>
      </c>
      <c r="B1123" s="256" t="s">
        <v>1009</v>
      </c>
      <c r="C1123" s="256" t="s">
        <v>385</v>
      </c>
      <c r="D1123" s="256" t="s">
        <v>717</v>
      </c>
      <c r="E1123" s="256" t="s">
        <v>1339</v>
      </c>
      <c r="F1123" s="195">
        <v>2563670</v>
      </c>
      <c r="G1123" s="195">
        <v>2563670</v>
      </c>
      <c r="H1123" s="143" t="str">
        <f t="shared" si="17"/>
        <v>0310042004Г010240</v>
      </c>
    </row>
    <row r="1124" spans="1:8" x14ac:dyDescent="0.2">
      <c r="A1124" s="190" t="s">
        <v>2024</v>
      </c>
      <c r="B1124" s="256" t="s">
        <v>1009</v>
      </c>
      <c r="C1124" s="256" t="s">
        <v>385</v>
      </c>
      <c r="D1124" s="256" t="s">
        <v>717</v>
      </c>
      <c r="E1124" s="256" t="s">
        <v>2025</v>
      </c>
      <c r="F1124" s="195">
        <v>2563670</v>
      </c>
      <c r="G1124" s="195">
        <v>2563670</v>
      </c>
      <c r="H1124" s="143" t="str">
        <f t="shared" si="17"/>
        <v>0310042004Г010247</v>
      </c>
    </row>
    <row r="1125" spans="1:8" ht="153" x14ac:dyDescent="0.2">
      <c r="A1125" s="190" t="s">
        <v>1559</v>
      </c>
      <c r="B1125" s="256" t="s">
        <v>1009</v>
      </c>
      <c r="C1125" s="256" t="s">
        <v>385</v>
      </c>
      <c r="D1125" s="256" t="s">
        <v>1560</v>
      </c>
      <c r="E1125" s="256" t="s">
        <v>1314</v>
      </c>
      <c r="F1125" s="195">
        <v>657395</v>
      </c>
      <c r="G1125" s="195">
        <v>657395</v>
      </c>
      <c r="H1125" s="143" t="str">
        <f t="shared" si="17"/>
        <v>0310042004Э010</v>
      </c>
    </row>
    <row r="1126" spans="1:8" ht="38.25" x14ac:dyDescent="0.2">
      <c r="A1126" s="190" t="s">
        <v>1502</v>
      </c>
      <c r="B1126" s="256" t="s">
        <v>1009</v>
      </c>
      <c r="C1126" s="256" t="s">
        <v>385</v>
      </c>
      <c r="D1126" s="256" t="s">
        <v>1560</v>
      </c>
      <c r="E1126" s="256" t="s">
        <v>1503</v>
      </c>
      <c r="F1126" s="195">
        <v>657395</v>
      </c>
      <c r="G1126" s="195">
        <v>657395</v>
      </c>
      <c r="H1126" s="143" t="str">
        <f t="shared" ref="H1126:H1189" si="18">CONCATENATE(C1126,,D1126,E1126)</f>
        <v>0310042004Э010200</v>
      </c>
    </row>
    <row r="1127" spans="1:8" ht="38.25" x14ac:dyDescent="0.2">
      <c r="A1127" s="190" t="s">
        <v>1338</v>
      </c>
      <c r="B1127" s="256" t="s">
        <v>1009</v>
      </c>
      <c r="C1127" s="256" t="s">
        <v>385</v>
      </c>
      <c r="D1127" s="256" t="s">
        <v>1560</v>
      </c>
      <c r="E1127" s="256" t="s">
        <v>1339</v>
      </c>
      <c r="F1127" s="195">
        <v>657395</v>
      </c>
      <c r="G1127" s="195">
        <v>657395</v>
      </c>
      <c r="H1127" s="143" t="str">
        <f t="shared" si="18"/>
        <v>0310042004Э010240</v>
      </c>
    </row>
    <row r="1128" spans="1:8" x14ac:dyDescent="0.2">
      <c r="A1128" s="190" t="s">
        <v>2024</v>
      </c>
      <c r="B1128" s="256" t="s">
        <v>1009</v>
      </c>
      <c r="C1128" s="256" t="s">
        <v>385</v>
      </c>
      <c r="D1128" s="256" t="s">
        <v>1560</v>
      </c>
      <c r="E1128" s="256" t="s">
        <v>2025</v>
      </c>
      <c r="F1128" s="195">
        <v>657395</v>
      </c>
      <c r="G1128" s="195">
        <v>657395</v>
      </c>
      <c r="H1128" s="143" t="str">
        <f t="shared" si="18"/>
        <v>0310042004Э010247</v>
      </c>
    </row>
    <row r="1129" spans="1:8" ht="25.5" x14ac:dyDescent="0.2">
      <c r="A1129" s="190" t="s">
        <v>255</v>
      </c>
      <c r="B1129" s="256" t="s">
        <v>1009</v>
      </c>
      <c r="C1129" s="256" t="s">
        <v>1219</v>
      </c>
      <c r="D1129" s="256" t="s">
        <v>1314</v>
      </c>
      <c r="E1129" s="256" t="s">
        <v>1314</v>
      </c>
      <c r="F1129" s="195">
        <v>5224980</v>
      </c>
      <c r="G1129" s="195">
        <v>5224980</v>
      </c>
      <c r="H1129" s="143" t="str">
        <f t="shared" si="18"/>
        <v>0500</v>
      </c>
    </row>
    <row r="1130" spans="1:8" x14ac:dyDescent="0.2">
      <c r="A1130" s="190" t="s">
        <v>153</v>
      </c>
      <c r="B1130" s="256" t="s">
        <v>1009</v>
      </c>
      <c r="C1130" s="256" t="s">
        <v>404</v>
      </c>
      <c r="D1130" s="256" t="s">
        <v>1314</v>
      </c>
      <c r="E1130" s="256" t="s">
        <v>1314</v>
      </c>
      <c r="F1130" s="195">
        <v>5224980</v>
      </c>
      <c r="G1130" s="195">
        <v>5224980</v>
      </c>
      <c r="H1130" s="143" t="str">
        <f t="shared" si="18"/>
        <v>0502</v>
      </c>
    </row>
    <row r="1131" spans="1:8" ht="63.75" x14ac:dyDescent="0.2">
      <c r="A1131" s="190" t="s">
        <v>493</v>
      </c>
      <c r="B1131" s="256" t="s">
        <v>1009</v>
      </c>
      <c r="C1131" s="256" t="s">
        <v>404</v>
      </c>
      <c r="D1131" s="256" t="s">
        <v>1034</v>
      </c>
      <c r="E1131" s="256" t="s">
        <v>1314</v>
      </c>
      <c r="F1131" s="195">
        <v>5224980</v>
      </c>
      <c r="G1131" s="195">
        <v>5224980</v>
      </c>
      <c r="H1131" s="143" t="str">
        <f t="shared" si="18"/>
        <v>05020300000000</v>
      </c>
    </row>
    <row r="1132" spans="1:8" ht="51" x14ac:dyDescent="0.2">
      <c r="A1132" s="190" t="s">
        <v>638</v>
      </c>
      <c r="B1132" s="256" t="s">
        <v>1009</v>
      </c>
      <c r="C1132" s="256" t="s">
        <v>404</v>
      </c>
      <c r="D1132" s="256" t="s">
        <v>1035</v>
      </c>
      <c r="E1132" s="256" t="s">
        <v>1314</v>
      </c>
      <c r="F1132" s="195">
        <v>5224980</v>
      </c>
      <c r="G1132" s="195">
        <v>5224980</v>
      </c>
      <c r="H1132" s="143" t="str">
        <f t="shared" si="18"/>
        <v>05020320000000</v>
      </c>
    </row>
    <row r="1133" spans="1:8" ht="140.25" x14ac:dyDescent="0.2">
      <c r="A1133" s="190" t="s">
        <v>1270</v>
      </c>
      <c r="B1133" s="256" t="s">
        <v>1009</v>
      </c>
      <c r="C1133" s="256" t="s">
        <v>404</v>
      </c>
      <c r="D1133" s="256" t="s">
        <v>736</v>
      </c>
      <c r="E1133" s="256" t="s">
        <v>1314</v>
      </c>
      <c r="F1133" s="195">
        <v>1450680</v>
      </c>
      <c r="G1133" s="195">
        <v>1450680</v>
      </c>
      <c r="H1133" s="143" t="str">
        <f t="shared" si="18"/>
        <v>05020320075700</v>
      </c>
    </row>
    <row r="1134" spans="1:8" ht="76.5" x14ac:dyDescent="0.2">
      <c r="A1134" s="190" t="s">
        <v>1501</v>
      </c>
      <c r="B1134" s="256" t="s">
        <v>1009</v>
      </c>
      <c r="C1134" s="256" t="s">
        <v>404</v>
      </c>
      <c r="D1134" s="256" t="s">
        <v>736</v>
      </c>
      <c r="E1134" s="256" t="s">
        <v>290</v>
      </c>
      <c r="F1134" s="195">
        <v>1181565</v>
      </c>
      <c r="G1134" s="195">
        <v>1181565</v>
      </c>
      <c r="H1134" s="143" t="str">
        <f t="shared" si="18"/>
        <v>05020320075700100</v>
      </c>
    </row>
    <row r="1135" spans="1:8" ht="25.5" x14ac:dyDescent="0.2">
      <c r="A1135" s="190" t="s">
        <v>1331</v>
      </c>
      <c r="B1135" s="256" t="s">
        <v>1009</v>
      </c>
      <c r="C1135" s="256" t="s">
        <v>404</v>
      </c>
      <c r="D1135" s="256" t="s">
        <v>736</v>
      </c>
      <c r="E1135" s="256" t="s">
        <v>140</v>
      </c>
      <c r="F1135" s="195">
        <v>1181565</v>
      </c>
      <c r="G1135" s="195">
        <v>1181565</v>
      </c>
      <c r="H1135" s="143" t="str">
        <f t="shared" si="18"/>
        <v>05020320075700110</v>
      </c>
    </row>
    <row r="1136" spans="1:8" x14ac:dyDescent="0.2">
      <c r="A1136" s="190" t="s">
        <v>1216</v>
      </c>
      <c r="B1136" s="256" t="s">
        <v>1009</v>
      </c>
      <c r="C1136" s="256" t="s">
        <v>404</v>
      </c>
      <c r="D1136" s="256" t="s">
        <v>736</v>
      </c>
      <c r="E1136" s="256" t="s">
        <v>382</v>
      </c>
      <c r="F1136" s="195">
        <v>907500</v>
      </c>
      <c r="G1136" s="195">
        <v>907500</v>
      </c>
      <c r="H1136" s="143" t="str">
        <f t="shared" si="18"/>
        <v>05020320075700111</v>
      </c>
    </row>
    <row r="1137" spans="1:8" ht="51" x14ac:dyDescent="0.2">
      <c r="A1137" s="190" t="s">
        <v>1217</v>
      </c>
      <c r="B1137" s="256" t="s">
        <v>1009</v>
      </c>
      <c r="C1137" s="256" t="s">
        <v>404</v>
      </c>
      <c r="D1137" s="256" t="s">
        <v>736</v>
      </c>
      <c r="E1137" s="256" t="s">
        <v>1117</v>
      </c>
      <c r="F1137" s="195">
        <v>274065</v>
      </c>
      <c r="G1137" s="195">
        <v>274065</v>
      </c>
      <c r="H1137" s="143" t="str">
        <f t="shared" si="18"/>
        <v>05020320075700119</v>
      </c>
    </row>
    <row r="1138" spans="1:8" ht="38.25" x14ac:dyDescent="0.2">
      <c r="A1138" s="190" t="s">
        <v>1502</v>
      </c>
      <c r="B1138" s="256" t="s">
        <v>1009</v>
      </c>
      <c r="C1138" s="256" t="s">
        <v>404</v>
      </c>
      <c r="D1138" s="256" t="s">
        <v>736</v>
      </c>
      <c r="E1138" s="256" t="s">
        <v>1503</v>
      </c>
      <c r="F1138" s="195">
        <v>196032</v>
      </c>
      <c r="G1138" s="195">
        <v>196032</v>
      </c>
      <c r="H1138" s="143" t="str">
        <f t="shared" si="18"/>
        <v>05020320075700200</v>
      </c>
    </row>
    <row r="1139" spans="1:8" ht="38.25" x14ac:dyDescent="0.2">
      <c r="A1139" s="190" t="s">
        <v>1338</v>
      </c>
      <c r="B1139" s="256" t="s">
        <v>1009</v>
      </c>
      <c r="C1139" s="256" t="s">
        <v>404</v>
      </c>
      <c r="D1139" s="256" t="s">
        <v>736</v>
      </c>
      <c r="E1139" s="256" t="s">
        <v>1339</v>
      </c>
      <c r="F1139" s="195">
        <v>196032</v>
      </c>
      <c r="G1139" s="195">
        <v>196032</v>
      </c>
      <c r="H1139" s="143" t="str">
        <f t="shared" si="18"/>
        <v>05020320075700240</v>
      </c>
    </row>
    <row r="1140" spans="1:8" x14ac:dyDescent="0.2">
      <c r="A1140" s="190" t="s">
        <v>1379</v>
      </c>
      <c r="B1140" s="256" t="s">
        <v>1009</v>
      </c>
      <c r="C1140" s="256" t="s">
        <v>404</v>
      </c>
      <c r="D1140" s="256" t="s">
        <v>736</v>
      </c>
      <c r="E1140" s="256" t="s">
        <v>368</v>
      </c>
      <c r="F1140" s="195">
        <v>105862</v>
      </c>
      <c r="G1140" s="195">
        <v>105862</v>
      </c>
      <c r="H1140" s="143" t="str">
        <f t="shared" si="18"/>
        <v>05020320075700244</v>
      </c>
    </row>
    <row r="1141" spans="1:8" x14ac:dyDescent="0.2">
      <c r="A1141" s="190" t="s">
        <v>2024</v>
      </c>
      <c r="B1141" s="256" t="s">
        <v>1009</v>
      </c>
      <c r="C1141" s="256" t="s">
        <v>404</v>
      </c>
      <c r="D1141" s="256" t="s">
        <v>736</v>
      </c>
      <c r="E1141" s="256" t="s">
        <v>2025</v>
      </c>
      <c r="F1141" s="195">
        <v>90170</v>
      </c>
      <c r="G1141" s="195">
        <v>90170</v>
      </c>
      <c r="H1141" s="143" t="str">
        <f t="shared" si="18"/>
        <v>05020320075700247</v>
      </c>
    </row>
    <row r="1142" spans="1:8" x14ac:dyDescent="0.2">
      <c r="A1142" s="190" t="s">
        <v>1504</v>
      </c>
      <c r="B1142" s="256" t="s">
        <v>1009</v>
      </c>
      <c r="C1142" s="256" t="s">
        <v>404</v>
      </c>
      <c r="D1142" s="256" t="s">
        <v>736</v>
      </c>
      <c r="E1142" s="256" t="s">
        <v>1505</v>
      </c>
      <c r="F1142" s="195">
        <v>73083</v>
      </c>
      <c r="G1142" s="195">
        <v>73083</v>
      </c>
      <c r="H1142" s="143" t="str">
        <f t="shared" si="18"/>
        <v>05020320075700800</v>
      </c>
    </row>
    <row r="1143" spans="1:8" x14ac:dyDescent="0.2">
      <c r="A1143" s="190" t="s">
        <v>1343</v>
      </c>
      <c r="B1143" s="256" t="s">
        <v>1009</v>
      </c>
      <c r="C1143" s="256" t="s">
        <v>404</v>
      </c>
      <c r="D1143" s="256" t="s">
        <v>736</v>
      </c>
      <c r="E1143" s="256" t="s">
        <v>1344</v>
      </c>
      <c r="F1143" s="195">
        <v>73083</v>
      </c>
      <c r="G1143" s="195">
        <v>73083</v>
      </c>
      <c r="H1143" s="143" t="str">
        <f t="shared" si="18"/>
        <v>05020320075700850</v>
      </c>
    </row>
    <row r="1144" spans="1:8" x14ac:dyDescent="0.2">
      <c r="A1144" s="190" t="s">
        <v>1011</v>
      </c>
      <c r="B1144" s="256" t="s">
        <v>1009</v>
      </c>
      <c r="C1144" s="256" t="s">
        <v>404</v>
      </c>
      <c r="D1144" s="256" t="s">
        <v>736</v>
      </c>
      <c r="E1144" s="256" t="s">
        <v>539</v>
      </c>
      <c r="F1144" s="195">
        <v>73083</v>
      </c>
      <c r="G1144" s="195">
        <v>73083</v>
      </c>
      <c r="H1144" s="143" t="str">
        <f t="shared" si="18"/>
        <v>05020320075700852</v>
      </c>
    </row>
    <row r="1145" spans="1:8" ht="153" x14ac:dyDescent="0.2">
      <c r="A1145" s="190" t="s">
        <v>1497</v>
      </c>
      <c r="B1145" s="256" t="s">
        <v>1009</v>
      </c>
      <c r="C1145" s="256" t="s">
        <v>404</v>
      </c>
      <c r="D1145" s="256" t="s">
        <v>1498</v>
      </c>
      <c r="E1145" s="256" t="s">
        <v>1314</v>
      </c>
      <c r="F1145" s="195">
        <v>2917665</v>
      </c>
      <c r="G1145" s="195">
        <v>2917665</v>
      </c>
      <c r="H1145" s="143" t="str">
        <f t="shared" si="18"/>
        <v>05020320080090</v>
      </c>
    </row>
    <row r="1146" spans="1:8" ht="76.5" x14ac:dyDescent="0.2">
      <c r="A1146" s="190" t="s">
        <v>1501</v>
      </c>
      <c r="B1146" s="256" t="s">
        <v>1009</v>
      </c>
      <c r="C1146" s="256" t="s">
        <v>404</v>
      </c>
      <c r="D1146" s="256" t="s">
        <v>1498</v>
      </c>
      <c r="E1146" s="256" t="s">
        <v>290</v>
      </c>
      <c r="F1146" s="195">
        <v>2402551</v>
      </c>
      <c r="G1146" s="195">
        <v>2402551</v>
      </c>
      <c r="H1146" s="143" t="str">
        <f t="shared" si="18"/>
        <v>05020320080090100</v>
      </c>
    </row>
    <row r="1147" spans="1:8" ht="25.5" x14ac:dyDescent="0.2">
      <c r="A1147" s="190" t="s">
        <v>1331</v>
      </c>
      <c r="B1147" s="256" t="s">
        <v>1009</v>
      </c>
      <c r="C1147" s="256" t="s">
        <v>404</v>
      </c>
      <c r="D1147" s="256" t="s">
        <v>1498</v>
      </c>
      <c r="E1147" s="256" t="s">
        <v>140</v>
      </c>
      <c r="F1147" s="195">
        <v>2402551</v>
      </c>
      <c r="G1147" s="195">
        <v>2402551</v>
      </c>
      <c r="H1147" s="143" t="str">
        <f t="shared" si="18"/>
        <v>05020320080090110</v>
      </c>
    </row>
    <row r="1148" spans="1:8" x14ac:dyDescent="0.2">
      <c r="A1148" s="190" t="s">
        <v>1216</v>
      </c>
      <c r="B1148" s="256" t="s">
        <v>1009</v>
      </c>
      <c r="C1148" s="256" t="s">
        <v>404</v>
      </c>
      <c r="D1148" s="256" t="s">
        <v>1498</v>
      </c>
      <c r="E1148" s="256" t="s">
        <v>382</v>
      </c>
      <c r="F1148" s="195">
        <v>1838380</v>
      </c>
      <c r="G1148" s="195">
        <v>1838380</v>
      </c>
      <c r="H1148" s="143" t="str">
        <f t="shared" si="18"/>
        <v>05020320080090111</v>
      </c>
    </row>
    <row r="1149" spans="1:8" ht="25.5" x14ac:dyDescent="0.2">
      <c r="A1149" s="190" t="s">
        <v>1225</v>
      </c>
      <c r="B1149" s="256" t="s">
        <v>1009</v>
      </c>
      <c r="C1149" s="256" t="s">
        <v>404</v>
      </c>
      <c r="D1149" s="256" t="s">
        <v>1498</v>
      </c>
      <c r="E1149" s="256" t="s">
        <v>431</v>
      </c>
      <c r="F1149" s="195">
        <v>12000</v>
      </c>
      <c r="G1149" s="195">
        <v>12000</v>
      </c>
      <c r="H1149" s="143" t="str">
        <f t="shared" si="18"/>
        <v>05020320080090112</v>
      </c>
    </row>
    <row r="1150" spans="1:8" ht="51" x14ac:dyDescent="0.2">
      <c r="A1150" s="190" t="s">
        <v>1217</v>
      </c>
      <c r="B1150" s="256" t="s">
        <v>1009</v>
      </c>
      <c r="C1150" s="256" t="s">
        <v>404</v>
      </c>
      <c r="D1150" s="256" t="s">
        <v>1498</v>
      </c>
      <c r="E1150" s="256" t="s">
        <v>1117</v>
      </c>
      <c r="F1150" s="195">
        <v>552171</v>
      </c>
      <c r="G1150" s="195">
        <v>552171</v>
      </c>
      <c r="H1150" s="143" t="str">
        <f t="shared" si="18"/>
        <v>05020320080090119</v>
      </c>
    </row>
    <row r="1151" spans="1:8" ht="38.25" x14ac:dyDescent="0.2">
      <c r="A1151" s="190" t="s">
        <v>1502</v>
      </c>
      <c r="B1151" s="256" t="s">
        <v>1009</v>
      </c>
      <c r="C1151" s="256" t="s">
        <v>404</v>
      </c>
      <c r="D1151" s="256" t="s">
        <v>1498</v>
      </c>
      <c r="E1151" s="256" t="s">
        <v>1503</v>
      </c>
      <c r="F1151" s="195">
        <v>468457</v>
      </c>
      <c r="G1151" s="195">
        <v>468457</v>
      </c>
      <c r="H1151" s="143" t="str">
        <f t="shared" si="18"/>
        <v>05020320080090200</v>
      </c>
    </row>
    <row r="1152" spans="1:8" ht="38.25" x14ac:dyDescent="0.2">
      <c r="A1152" s="190" t="s">
        <v>1338</v>
      </c>
      <c r="B1152" s="256" t="s">
        <v>1009</v>
      </c>
      <c r="C1152" s="256" t="s">
        <v>404</v>
      </c>
      <c r="D1152" s="256" t="s">
        <v>1498</v>
      </c>
      <c r="E1152" s="256" t="s">
        <v>1339</v>
      </c>
      <c r="F1152" s="195">
        <v>468457</v>
      </c>
      <c r="G1152" s="195">
        <v>468457</v>
      </c>
      <c r="H1152" s="143" t="str">
        <f t="shared" si="18"/>
        <v>05020320080090240</v>
      </c>
    </row>
    <row r="1153" spans="1:8" x14ac:dyDescent="0.2">
      <c r="A1153" s="190" t="s">
        <v>1379</v>
      </c>
      <c r="B1153" s="256" t="s">
        <v>1009</v>
      </c>
      <c r="C1153" s="256" t="s">
        <v>404</v>
      </c>
      <c r="D1153" s="256" t="s">
        <v>1498</v>
      </c>
      <c r="E1153" s="256" t="s">
        <v>368</v>
      </c>
      <c r="F1153" s="195">
        <v>468457</v>
      </c>
      <c r="G1153" s="195">
        <v>468457</v>
      </c>
      <c r="H1153" s="143" t="str">
        <f t="shared" si="18"/>
        <v>05020320080090244</v>
      </c>
    </row>
    <row r="1154" spans="1:8" x14ac:dyDescent="0.2">
      <c r="A1154" s="190" t="s">
        <v>1504</v>
      </c>
      <c r="B1154" s="256" t="s">
        <v>1009</v>
      </c>
      <c r="C1154" s="256" t="s">
        <v>404</v>
      </c>
      <c r="D1154" s="256" t="s">
        <v>1498</v>
      </c>
      <c r="E1154" s="256" t="s">
        <v>1505</v>
      </c>
      <c r="F1154" s="195">
        <v>46657</v>
      </c>
      <c r="G1154" s="195">
        <v>46657</v>
      </c>
      <c r="H1154" s="143" t="str">
        <f t="shared" si="18"/>
        <v>05020320080090800</v>
      </c>
    </row>
    <row r="1155" spans="1:8" x14ac:dyDescent="0.2">
      <c r="A1155" s="190" t="s">
        <v>1343</v>
      </c>
      <c r="B1155" s="256" t="s">
        <v>1009</v>
      </c>
      <c r="C1155" s="256" t="s">
        <v>404</v>
      </c>
      <c r="D1155" s="256" t="s">
        <v>1498</v>
      </c>
      <c r="E1155" s="256" t="s">
        <v>1344</v>
      </c>
      <c r="F1155" s="195">
        <v>46657</v>
      </c>
      <c r="G1155" s="195">
        <v>46657</v>
      </c>
      <c r="H1155" s="143" t="str">
        <f t="shared" si="18"/>
        <v>05020320080090850</v>
      </c>
    </row>
    <row r="1156" spans="1:8" x14ac:dyDescent="0.2">
      <c r="A1156" s="256" t="s">
        <v>1011</v>
      </c>
      <c r="B1156" s="256" t="s">
        <v>1009</v>
      </c>
      <c r="C1156" s="256" t="s">
        <v>404</v>
      </c>
      <c r="D1156" s="256" t="s">
        <v>1498</v>
      </c>
      <c r="E1156" s="256" t="s">
        <v>539</v>
      </c>
      <c r="F1156" s="195">
        <v>46657</v>
      </c>
      <c r="G1156" s="195">
        <v>46657</v>
      </c>
      <c r="H1156" s="143" t="str">
        <f t="shared" si="18"/>
        <v>05020320080090852</v>
      </c>
    </row>
    <row r="1157" spans="1:8" ht="216.75" x14ac:dyDescent="0.2">
      <c r="A1157" s="190" t="s">
        <v>1561</v>
      </c>
      <c r="B1157" s="256" t="s">
        <v>1009</v>
      </c>
      <c r="C1157" s="256" t="s">
        <v>404</v>
      </c>
      <c r="D1157" s="256" t="s">
        <v>1562</v>
      </c>
      <c r="E1157" s="256" t="s">
        <v>1314</v>
      </c>
      <c r="F1157" s="195">
        <v>320700</v>
      </c>
      <c r="G1157" s="195">
        <v>320700</v>
      </c>
      <c r="H1157" s="143" t="str">
        <f t="shared" si="18"/>
        <v>05020320081090</v>
      </c>
    </row>
    <row r="1158" spans="1:8" ht="76.5" x14ac:dyDescent="0.2">
      <c r="A1158" s="190" t="s">
        <v>1501</v>
      </c>
      <c r="B1158" s="256" t="s">
        <v>1009</v>
      </c>
      <c r="C1158" s="256" t="s">
        <v>404</v>
      </c>
      <c r="D1158" s="256" t="s">
        <v>1562</v>
      </c>
      <c r="E1158" s="256" t="s">
        <v>290</v>
      </c>
      <c r="F1158" s="195">
        <v>320700</v>
      </c>
      <c r="G1158" s="195">
        <v>320700</v>
      </c>
      <c r="H1158" s="143" t="str">
        <f t="shared" si="18"/>
        <v>05020320081090100</v>
      </c>
    </row>
    <row r="1159" spans="1:8" ht="25.5" x14ac:dyDescent="0.2">
      <c r="A1159" s="190" t="s">
        <v>1331</v>
      </c>
      <c r="B1159" s="256" t="s">
        <v>1009</v>
      </c>
      <c r="C1159" s="256" t="s">
        <v>404</v>
      </c>
      <c r="D1159" s="256" t="s">
        <v>1562</v>
      </c>
      <c r="E1159" s="256" t="s">
        <v>140</v>
      </c>
      <c r="F1159" s="195">
        <v>320700</v>
      </c>
      <c r="G1159" s="195">
        <v>320700</v>
      </c>
      <c r="H1159" s="143" t="str">
        <f t="shared" si="18"/>
        <v>05020320081090110</v>
      </c>
    </row>
    <row r="1160" spans="1:8" x14ac:dyDescent="0.2">
      <c r="A1160" s="190" t="s">
        <v>1216</v>
      </c>
      <c r="B1160" s="256" t="s">
        <v>1009</v>
      </c>
      <c r="C1160" s="256" t="s">
        <v>404</v>
      </c>
      <c r="D1160" s="256" t="s">
        <v>1562</v>
      </c>
      <c r="E1160" s="256" t="s">
        <v>382</v>
      </c>
      <c r="F1160" s="195">
        <v>246313</v>
      </c>
      <c r="G1160" s="195">
        <v>246313</v>
      </c>
      <c r="H1160" s="143" t="str">
        <f t="shared" si="18"/>
        <v>05020320081090111</v>
      </c>
    </row>
    <row r="1161" spans="1:8" ht="51" x14ac:dyDescent="0.2">
      <c r="A1161" s="190" t="s">
        <v>1217</v>
      </c>
      <c r="B1161" s="256" t="s">
        <v>1009</v>
      </c>
      <c r="C1161" s="256" t="s">
        <v>404</v>
      </c>
      <c r="D1161" s="256" t="s">
        <v>1562</v>
      </c>
      <c r="E1161" s="256" t="s">
        <v>1117</v>
      </c>
      <c r="F1161" s="195">
        <v>74387</v>
      </c>
      <c r="G1161" s="195">
        <v>74387</v>
      </c>
      <c r="H1161" s="143" t="str">
        <f t="shared" si="18"/>
        <v>05020320081090119</v>
      </c>
    </row>
    <row r="1162" spans="1:8" ht="178.5" x14ac:dyDescent="0.2">
      <c r="A1162" s="190" t="s">
        <v>2075</v>
      </c>
      <c r="B1162" s="256" t="s">
        <v>1009</v>
      </c>
      <c r="C1162" s="256" t="s">
        <v>404</v>
      </c>
      <c r="D1162" s="256" t="s">
        <v>2076</v>
      </c>
      <c r="E1162" s="256" t="s">
        <v>1314</v>
      </c>
      <c r="F1162" s="195">
        <v>40000</v>
      </c>
      <c r="G1162" s="195">
        <v>40000</v>
      </c>
      <c r="H1162" s="143" t="str">
        <f t="shared" si="18"/>
        <v>05020320087090</v>
      </c>
    </row>
    <row r="1163" spans="1:8" ht="76.5" x14ac:dyDescent="0.2">
      <c r="A1163" s="190" t="s">
        <v>1501</v>
      </c>
      <c r="B1163" s="256" t="s">
        <v>1009</v>
      </c>
      <c r="C1163" s="256" t="s">
        <v>404</v>
      </c>
      <c r="D1163" s="256" t="s">
        <v>2076</v>
      </c>
      <c r="E1163" s="256" t="s">
        <v>290</v>
      </c>
      <c r="F1163" s="195">
        <v>40000</v>
      </c>
      <c r="G1163" s="195">
        <v>40000</v>
      </c>
      <c r="H1163" s="143" t="str">
        <f t="shared" si="18"/>
        <v>05020320087090100</v>
      </c>
    </row>
    <row r="1164" spans="1:8" ht="25.5" x14ac:dyDescent="0.2">
      <c r="A1164" s="190" t="s">
        <v>1331</v>
      </c>
      <c r="B1164" s="256" t="s">
        <v>1009</v>
      </c>
      <c r="C1164" s="256" t="s">
        <v>404</v>
      </c>
      <c r="D1164" s="256" t="s">
        <v>2076</v>
      </c>
      <c r="E1164" s="256" t="s">
        <v>140</v>
      </c>
      <c r="F1164" s="195">
        <v>40000</v>
      </c>
      <c r="G1164" s="195">
        <v>40000</v>
      </c>
      <c r="H1164" s="143" t="str">
        <f t="shared" si="18"/>
        <v>05020320087090110</v>
      </c>
    </row>
    <row r="1165" spans="1:8" ht="25.5" x14ac:dyDescent="0.2">
      <c r="A1165" s="190" t="s">
        <v>1225</v>
      </c>
      <c r="B1165" s="256" t="s">
        <v>1009</v>
      </c>
      <c r="C1165" s="256" t="s">
        <v>404</v>
      </c>
      <c r="D1165" s="256" t="s">
        <v>2076</v>
      </c>
      <c r="E1165" s="256" t="s">
        <v>431</v>
      </c>
      <c r="F1165" s="195">
        <v>40000</v>
      </c>
      <c r="G1165" s="195">
        <v>40000</v>
      </c>
      <c r="H1165" s="143" t="str">
        <f t="shared" si="18"/>
        <v>05020320087090112</v>
      </c>
    </row>
    <row r="1166" spans="1:8" ht="165.75" x14ac:dyDescent="0.2">
      <c r="A1166" s="190" t="s">
        <v>1499</v>
      </c>
      <c r="B1166" s="256" t="s">
        <v>1009</v>
      </c>
      <c r="C1166" s="256" t="s">
        <v>404</v>
      </c>
      <c r="D1166" s="256" t="s">
        <v>1500</v>
      </c>
      <c r="E1166" s="256" t="s">
        <v>1314</v>
      </c>
      <c r="F1166" s="195">
        <v>495935</v>
      </c>
      <c r="G1166" s="195">
        <v>495935</v>
      </c>
      <c r="H1166" s="143" t="str">
        <f t="shared" si="18"/>
        <v>0502032008Г090</v>
      </c>
    </row>
    <row r="1167" spans="1:8" ht="38.25" x14ac:dyDescent="0.2">
      <c r="A1167" s="190" t="s">
        <v>1502</v>
      </c>
      <c r="B1167" s="256" t="s">
        <v>1009</v>
      </c>
      <c r="C1167" s="256" t="s">
        <v>404</v>
      </c>
      <c r="D1167" s="256" t="s">
        <v>1500</v>
      </c>
      <c r="E1167" s="256" t="s">
        <v>1503</v>
      </c>
      <c r="F1167" s="195">
        <v>495935</v>
      </c>
      <c r="G1167" s="195">
        <v>495935</v>
      </c>
      <c r="H1167" s="143" t="str">
        <f t="shared" si="18"/>
        <v>0502032008Г090200</v>
      </c>
    </row>
    <row r="1168" spans="1:8" ht="38.25" x14ac:dyDescent="0.2">
      <c r="A1168" s="190" t="s">
        <v>1338</v>
      </c>
      <c r="B1168" s="256" t="s">
        <v>1009</v>
      </c>
      <c r="C1168" s="256" t="s">
        <v>404</v>
      </c>
      <c r="D1168" s="256" t="s">
        <v>1500</v>
      </c>
      <c r="E1168" s="256" t="s">
        <v>1339</v>
      </c>
      <c r="F1168" s="195">
        <v>495935</v>
      </c>
      <c r="G1168" s="195">
        <v>495935</v>
      </c>
      <c r="H1168" s="143" t="str">
        <f t="shared" si="18"/>
        <v>0502032008Г090240</v>
      </c>
    </row>
    <row r="1169" spans="1:8" x14ac:dyDescent="0.2">
      <c r="A1169" s="190" t="s">
        <v>2024</v>
      </c>
      <c r="B1169" s="256" t="s">
        <v>1009</v>
      </c>
      <c r="C1169" s="256" t="s">
        <v>404</v>
      </c>
      <c r="D1169" s="256" t="s">
        <v>1500</v>
      </c>
      <c r="E1169" s="256" t="s">
        <v>2025</v>
      </c>
      <c r="F1169" s="195">
        <v>495935</v>
      </c>
      <c r="G1169" s="195">
        <v>495935</v>
      </c>
      <c r="H1169" s="143" t="str">
        <f t="shared" si="18"/>
        <v>0502032008Г090247</v>
      </c>
    </row>
    <row r="1170" spans="1:8" ht="25.5" x14ac:dyDescent="0.2">
      <c r="A1170" s="190" t="s">
        <v>37</v>
      </c>
      <c r="B1170" s="256" t="s">
        <v>221</v>
      </c>
      <c r="C1170" s="256" t="s">
        <v>1314</v>
      </c>
      <c r="D1170" s="256" t="s">
        <v>1314</v>
      </c>
      <c r="E1170" s="256" t="s">
        <v>1314</v>
      </c>
      <c r="F1170" s="195">
        <v>182777286</v>
      </c>
      <c r="G1170" s="195">
        <v>226903886</v>
      </c>
      <c r="H1170" s="143" t="str">
        <f t="shared" si="18"/>
        <v/>
      </c>
    </row>
    <row r="1171" spans="1:8" x14ac:dyDescent="0.2">
      <c r="A1171" s="256" t="s">
        <v>250</v>
      </c>
      <c r="B1171" s="256" t="s">
        <v>221</v>
      </c>
      <c r="C1171" s="256" t="s">
        <v>1212</v>
      </c>
      <c r="D1171" s="256" t="s">
        <v>1314</v>
      </c>
      <c r="E1171" s="256" t="s">
        <v>1314</v>
      </c>
      <c r="F1171" s="195">
        <v>32636305</v>
      </c>
      <c r="G1171" s="195">
        <v>61966205</v>
      </c>
      <c r="H1171" s="143" t="str">
        <f t="shared" si="18"/>
        <v>0100</v>
      </c>
    </row>
    <row r="1172" spans="1:8" ht="51" x14ac:dyDescent="0.2">
      <c r="A1172" s="190" t="s">
        <v>232</v>
      </c>
      <c r="B1172" s="256" t="s">
        <v>221</v>
      </c>
      <c r="C1172" s="256" t="s">
        <v>370</v>
      </c>
      <c r="D1172" s="256" t="s">
        <v>1314</v>
      </c>
      <c r="E1172" s="256" t="s">
        <v>1314</v>
      </c>
      <c r="F1172" s="195">
        <v>18903105</v>
      </c>
      <c r="G1172" s="195">
        <v>18903105</v>
      </c>
      <c r="H1172" s="143" t="str">
        <f t="shared" si="18"/>
        <v>0106</v>
      </c>
    </row>
    <row r="1173" spans="1:8" ht="38.25" x14ac:dyDescent="0.2">
      <c r="A1173" s="190" t="s">
        <v>1563</v>
      </c>
      <c r="B1173" s="256" t="s">
        <v>221</v>
      </c>
      <c r="C1173" s="256" t="s">
        <v>370</v>
      </c>
      <c r="D1173" s="256" t="s">
        <v>1060</v>
      </c>
      <c r="E1173" s="256" t="s">
        <v>1314</v>
      </c>
      <c r="F1173" s="195">
        <v>18903105</v>
      </c>
      <c r="G1173" s="195">
        <v>18903105</v>
      </c>
      <c r="H1173" s="143" t="str">
        <f t="shared" si="18"/>
        <v>01061100000000</v>
      </c>
    </row>
    <row r="1174" spans="1:8" ht="25.5" x14ac:dyDescent="0.2">
      <c r="A1174" s="190" t="s">
        <v>533</v>
      </c>
      <c r="B1174" s="256" t="s">
        <v>221</v>
      </c>
      <c r="C1174" s="256" t="s">
        <v>370</v>
      </c>
      <c r="D1174" s="256" t="s">
        <v>1062</v>
      </c>
      <c r="E1174" s="256" t="s">
        <v>1314</v>
      </c>
      <c r="F1174" s="195">
        <v>18903105</v>
      </c>
      <c r="G1174" s="195">
        <v>18903105</v>
      </c>
      <c r="H1174" s="143" t="str">
        <f t="shared" si="18"/>
        <v>01061120000000</v>
      </c>
    </row>
    <row r="1175" spans="1:8" ht="89.25" x14ac:dyDescent="0.2">
      <c r="A1175" s="190" t="s">
        <v>465</v>
      </c>
      <c r="B1175" s="256" t="s">
        <v>221</v>
      </c>
      <c r="C1175" s="256" t="s">
        <v>370</v>
      </c>
      <c r="D1175" s="256" t="s">
        <v>845</v>
      </c>
      <c r="E1175" s="256" t="s">
        <v>1314</v>
      </c>
      <c r="F1175" s="195">
        <v>14793383</v>
      </c>
      <c r="G1175" s="195">
        <v>14793383</v>
      </c>
      <c r="H1175" s="143" t="str">
        <f t="shared" si="18"/>
        <v>01061120060000</v>
      </c>
    </row>
    <row r="1176" spans="1:8" ht="76.5" x14ac:dyDescent="0.2">
      <c r="A1176" s="190" t="s">
        <v>1501</v>
      </c>
      <c r="B1176" s="256" t="s">
        <v>221</v>
      </c>
      <c r="C1176" s="256" t="s">
        <v>370</v>
      </c>
      <c r="D1176" s="256" t="s">
        <v>845</v>
      </c>
      <c r="E1176" s="256" t="s">
        <v>290</v>
      </c>
      <c r="F1176" s="195">
        <v>12846852</v>
      </c>
      <c r="G1176" s="195">
        <v>12846852</v>
      </c>
      <c r="H1176" s="143" t="str">
        <f t="shared" si="18"/>
        <v>01061120060000100</v>
      </c>
    </row>
    <row r="1177" spans="1:8" ht="38.25" x14ac:dyDescent="0.2">
      <c r="A1177" s="190" t="s">
        <v>1345</v>
      </c>
      <c r="B1177" s="256" t="s">
        <v>221</v>
      </c>
      <c r="C1177" s="256" t="s">
        <v>370</v>
      </c>
      <c r="D1177" s="256" t="s">
        <v>845</v>
      </c>
      <c r="E1177" s="256" t="s">
        <v>30</v>
      </c>
      <c r="F1177" s="195">
        <v>12846852</v>
      </c>
      <c r="G1177" s="195">
        <v>12846852</v>
      </c>
      <c r="H1177" s="143" t="str">
        <f t="shared" si="18"/>
        <v>01061120060000120</v>
      </c>
    </row>
    <row r="1178" spans="1:8" ht="25.5" x14ac:dyDescent="0.2">
      <c r="A1178" s="190" t="s">
        <v>1010</v>
      </c>
      <c r="B1178" s="256" t="s">
        <v>221</v>
      </c>
      <c r="C1178" s="256" t="s">
        <v>370</v>
      </c>
      <c r="D1178" s="256" t="s">
        <v>845</v>
      </c>
      <c r="E1178" s="256" t="s">
        <v>363</v>
      </c>
      <c r="F1178" s="195">
        <v>9816553</v>
      </c>
      <c r="G1178" s="195">
        <v>9816553</v>
      </c>
      <c r="H1178" s="143" t="str">
        <f t="shared" si="18"/>
        <v>01061120060000121</v>
      </c>
    </row>
    <row r="1179" spans="1:8" ht="51" x14ac:dyDescent="0.2">
      <c r="A1179" s="190" t="s">
        <v>364</v>
      </c>
      <c r="B1179" s="256" t="s">
        <v>221</v>
      </c>
      <c r="C1179" s="256" t="s">
        <v>370</v>
      </c>
      <c r="D1179" s="256" t="s">
        <v>845</v>
      </c>
      <c r="E1179" s="256" t="s">
        <v>365</v>
      </c>
      <c r="F1179" s="195">
        <v>65700</v>
      </c>
      <c r="G1179" s="195">
        <v>65700</v>
      </c>
      <c r="H1179" s="143" t="str">
        <f t="shared" si="18"/>
        <v>01061120060000122</v>
      </c>
    </row>
    <row r="1180" spans="1:8" ht="63.75" x14ac:dyDescent="0.2">
      <c r="A1180" s="190" t="s">
        <v>1115</v>
      </c>
      <c r="B1180" s="256" t="s">
        <v>221</v>
      </c>
      <c r="C1180" s="256" t="s">
        <v>370</v>
      </c>
      <c r="D1180" s="256" t="s">
        <v>845</v>
      </c>
      <c r="E1180" s="256" t="s">
        <v>1116</v>
      </c>
      <c r="F1180" s="195">
        <v>2964599</v>
      </c>
      <c r="G1180" s="195">
        <v>2964599</v>
      </c>
      <c r="H1180" s="143" t="str">
        <f t="shared" si="18"/>
        <v>01061120060000129</v>
      </c>
    </row>
    <row r="1181" spans="1:8" ht="38.25" x14ac:dyDescent="0.2">
      <c r="A1181" s="190" t="s">
        <v>1502</v>
      </c>
      <c r="B1181" s="256" t="s">
        <v>221</v>
      </c>
      <c r="C1181" s="256" t="s">
        <v>370</v>
      </c>
      <c r="D1181" s="256" t="s">
        <v>845</v>
      </c>
      <c r="E1181" s="256" t="s">
        <v>1503</v>
      </c>
      <c r="F1181" s="195">
        <v>1934031</v>
      </c>
      <c r="G1181" s="195">
        <v>1934031</v>
      </c>
      <c r="H1181" s="143" t="str">
        <f t="shared" si="18"/>
        <v>01061120060000200</v>
      </c>
    </row>
    <row r="1182" spans="1:8" ht="38.25" x14ac:dyDescent="0.2">
      <c r="A1182" s="190" t="s">
        <v>1338</v>
      </c>
      <c r="B1182" s="256" t="s">
        <v>221</v>
      </c>
      <c r="C1182" s="256" t="s">
        <v>370</v>
      </c>
      <c r="D1182" s="256" t="s">
        <v>845</v>
      </c>
      <c r="E1182" s="256" t="s">
        <v>1339</v>
      </c>
      <c r="F1182" s="195">
        <v>1934031</v>
      </c>
      <c r="G1182" s="195">
        <v>1934031</v>
      </c>
      <c r="H1182" s="143" t="str">
        <f t="shared" si="18"/>
        <v>01061120060000240</v>
      </c>
    </row>
    <row r="1183" spans="1:8" x14ac:dyDescent="0.2">
      <c r="A1183" s="190" t="s">
        <v>1379</v>
      </c>
      <c r="B1183" s="256" t="s">
        <v>221</v>
      </c>
      <c r="C1183" s="256" t="s">
        <v>370</v>
      </c>
      <c r="D1183" s="256" t="s">
        <v>845</v>
      </c>
      <c r="E1183" s="256" t="s">
        <v>368</v>
      </c>
      <c r="F1183" s="195">
        <v>1934031</v>
      </c>
      <c r="G1183" s="195">
        <v>1934031</v>
      </c>
      <c r="H1183" s="143" t="str">
        <f t="shared" si="18"/>
        <v>01061120060000244</v>
      </c>
    </row>
    <row r="1184" spans="1:8" x14ac:dyDescent="0.2">
      <c r="A1184" s="190" t="s">
        <v>1504</v>
      </c>
      <c r="B1184" s="256" t="s">
        <v>221</v>
      </c>
      <c r="C1184" s="256" t="s">
        <v>370</v>
      </c>
      <c r="D1184" s="256" t="s">
        <v>845</v>
      </c>
      <c r="E1184" s="256" t="s">
        <v>1505</v>
      </c>
      <c r="F1184" s="195">
        <v>12500</v>
      </c>
      <c r="G1184" s="195">
        <v>12500</v>
      </c>
      <c r="H1184" s="143" t="str">
        <f t="shared" si="18"/>
        <v>01061120060000800</v>
      </c>
    </row>
    <row r="1185" spans="1:8" x14ac:dyDescent="0.2">
      <c r="A1185" s="190" t="s">
        <v>1343</v>
      </c>
      <c r="B1185" s="256" t="s">
        <v>221</v>
      </c>
      <c r="C1185" s="256" t="s">
        <v>370</v>
      </c>
      <c r="D1185" s="256" t="s">
        <v>845</v>
      </c>
      <c r="E1185" s="256" t="s">
        <v>1344</v>
      </c>
      <c r="F1185" s="195">
        <v>12500</v>
      </c>
      <c r="G1185" s="195">
        <v>12500</v>
      </c>
      <c r="H1185" s="143" t="str">
        <f t="shared" si="18"/>
        <v>01061120060000850</v>
      </c>
    </row>
    <row r="1186" spans="1:8" x14ac:dyDescent="0.2">
      <c r="A1186" s="190" t="s">
        <v>1118</v>
      </c>
      <c r="B1186" s="256" t="s">
        <v>221</v>
      </c>
      <c r="C1186" s="256" t="s">
        <v>370</v>
      </c>
      <c r="D1186" s="256" t="s">
        <v>845</v>
      </c>
      <c r="E1186" s="256" t="s">
        <v>1119</v>
      </c>
      <c r="F1186" s="195">
        <v>12500</v>
      </c>
      <c r="G1186" s="195">
        <v>12500</v>
      </c>
      <c r="H1186" s="143" t="str">
        <f t="shared" si="18"/>
        <v>01061120060000853</v>
      </c>
    </row>
    <row r="1187" spans="1:8" ht="127.5" x14ac:dyDescent="0.2">
      <c r="A1187" s="190" t="s">
        <v>577</v>
      </c>
      <c r="B1187" s="256" t="s">
        <v>221</v>
      </c>
      <c r="C1187" s="256" t="s">
        <v>370</v>
      </c>
      <c r="D1187" s="256" t="s">
        <v>846</v>
      </c>
      <c r="E1187" s="256" t="s">
        <v>1314</v>
      </c>
      <c r="F1187" s="195">
        <v>522000</v>
      </c>
      <c r="G1187" s="195">
        <v>522000</v>
      </c>
      <c r="H1187" s="143" t="str">
        <f t="shared" si="18"/>
        <v>01061120061000</v>
      </c>
    </row>
    <row r="1188" spans="1:8" ht="76.5" x14ac:dyDescent="0.2">
      <c r="A1188" s="190" t="s">
        <v>1501</v>
      </c>
      <c r="B1188" s="256" t="s">
        <v>221</v>
      </c>
      <c r="C1188" s="256" t="s">
        <v>370</v>
      </c>
      <c r="D1188" s="256" t="s">
        <v>846</v>
      </c>
      <c r="E1188" s="256" t="s">
        <v>290</v>
      </c>
      <c r="F1188" s="195">
        <v>522000</v>
      </c>
      <c r="G1188" s="195">
        <v>522000</v>
      </c>
      <c r="H1188" s="143" t="str">
        <f t="shared" si="18"/>
        <v>01061120061000100</v>
      </c>
    </row>
    <row r="1189" spans="1:8" ht="38.25" x14ac:dyDescent="0.2">
      <c r="A1189" s="190" t="s">
        <v>1345</v>
      </c>
      <c r="B1189" s="256" t="s">
        <v>221</v>
      </c>
      <c r="C1189" s="256" t="s">
        <v>370</v>
      </c>
      <c r="D1189" s="256" t="s">
        <v>846</v>
      </c>
      <c r="E1189" s="256" t="s">
        <v>30</v>
      </c>
      <c r="F1189" s="195">
        <v>522000</v>
      </c>
      <c r="G1189" s="195">
        <v>522000</v>
      </c>
      <c r="H1189" s="143" t="str">
        <f t="shared" si="18"/>
        <v>01061120061000120</v>
      </c>
    </row>
    <row r="1190" spans="1:8" ht="25.5" x14ac:dyDescent="0.2">
      <c r="A1190" s="190" t="s">
        <v>1010</v>
      </c>
      <c r="B1190" s="256" t="s">
        <v>221</v>
      </c>
      <c r="C1190" s="256" t="s">
        <v>370</v>
      </c>
      <c r="D1190" s="256" t="s">
        <v>846</v>
      </c>
      <c r="E1190" s="256" t="s">
        <v>363</v>
      </c>
      <c r="F1190" s="195">
        <v>400922</v>
      </c>
      <c r="G1190" s="195">
        <v>400922</v>
      </c>
      <c r="H1190" s="143" t="str">
        <f t="shared" ref="H1190:H1253" si="19">CONCATENATE(C1190,,D1190,E1190)</f>
        <v>01061120061000121</v>
      </c>
    </row>
    <row r="1191" spans="1:8" ht="63.75" x14ac:dyDescent="0.2">
      <c r="A1191" s="190" t="s">
        <v>1115</v>
      </c>
      <c r="B1191" s="256" t="s">
        <v>221</v>
      </c>
      <c r="C1191" s="256" t="s">
        <v>370</v>
      </c>
      <c r="D1191" s="256" t="s">
        <v>846</v>
      </c>
      <c r="E1191" s="256" t="s">
        <v>1116</v>
      </c>
      <c r="F1191" s="195">
        <v>121078</v>
      </c>
      <c r="G1191" s="195">
        <v>121078</v>
      </c>
      <c r="H1191" s="143" t="str">
        <f t="shared" si="19"/>
        <v>01061120061000129</v>
      </c>
    </row>
    <row r="1192" spans="1:8" ht="114.75" x14ac:dyDescent="0.2">
      <c r="A1192" s="190" t="s">
        <v>632</v>
      </c>
      <c r="B1192" s="256" t="s">
        <v>221</v>
      </c>
      <c r="C1192" s="256" t="s">
        <v>370</v>
      </c>
      <c r="D1192" s="256" t="s">
        <v>847</v>
      </c>
      <c r="E1192" s="256" t="s">
        <v>1314</v>
      </c>
      <c r="F1192" s="195">
        <v>470000</v>
      </c>
      <c r="G1192" s="195">
        <v>470000</v>
      </c>
      <c r="H1192" s="143" t="str">
        <f t="shared" si="19"/>
        <v>01061120067000</v>
      </c>
    </row>
    <row r="1193" spans="1:8" ht="76.5" x14ac:dyDescent="0.2">
      <c r="A1193" s="190" t="s">
        <v>1501</v>
      </c>
      <c r="B1193" s="256" t="s">
        <v>221</v>
      </c>
      <c r="C1193" s="256" t="s">
        <v>370</v>
      </c>
      <c r="D1193" s="256" t="s">
        <v>847</v>
      </c>
      <c r="E1193" s="256" t="s">
        <v>290</v>
      </c>
      <c r="F1193" s="195">
        <v>470000</v>
      </c>
      <c r="G1193" s="195">
        <v>470000</v>
      </c>
      <c r="H1193" s="143" t="str">
        <f t="shared" si="19"/>
        <v>01061120067000100</v>
      </c>
    </row>
    <row r="1194" spans="1:8" ht="38.25" x14ac:dyDescent="0.2">
      <c r="A1194" s="190" t="s">
        <v>1345</v>
      </c>
      <c r="B1194" s="256" t="s">
        <v>221</v>
      </c>
      <c r="C1194" s="256" t="s">
        <v>370</v>
      </c>
      <c r="D1194" s="256" t="s">
        <v>847</v>
      </c>
      <c r="E1194" s="256" t="s">
        <v>30</v>
      </c>
      <c r="F1194" s="195">
        <v>470000</v>
      </c>
      <c r="G1194" s="195">
        <v>470000</v>
      </c>
      <c r="H1194" s="143" t="str">
        <f t="shared" si="19"/>
        <v>01061120067000120</v>
      </c>
    </row>
    <row r="1195" spans="1:8" ht="51" x14ac:dyDescent="0.2">
      <c r="A1195" s="190" t="s">
        <v>364</v>
      </c>
      <c r="B1195" s="256" t="s">
        <v>221</v>
      </c>
      <c r="C1195" s="256" t="s">
        <v>370</v>
      </c>
      <c r="D1195" s="256" t="s">
        <v>847</v>
      </c>
      <c r="E1195" s="256" t="s">
        <v>365</v>
      </c>
      <c r="F1195" s="195">
        <v>470000</v>
      </c>
      <c r="G1195" s="195">
        <v>470000</v>
      </c>
      <c r="H1195" s="143" t="str">
        <f t="shared" si="19"/>
        <v>01061120067000122</v>
      </c>
    </row>
    <row r="1196" spans="1:8" ht="102" x14ac:dyDescent="0.2">
      <c r="A1196" s="190" t="s">
        <v>990</v>
      </c>
      <c r="B1196" s="256" t="s">
        <v>221</v>
      </c>
      <c r="C1196" s="256" t="s">
        <v>370</v>
      </c>
      <c r="D1196" s="256" t="s">
        <v>989</v>
      </c>
      <c r="E1196" s="256" t="s">
        <v>1314</v>
      </c>
      <c r="F1196" s="195">
        <v>1682096</v>
      </c>
      <c r="G1196" s="195">
        <v>1682096</v>
      </c>
      <c r="H1196" s="143" t="str">
        <f t="shared" si="19"/>
        <v>0106112006Б000</v>
      </c>
    </row>
    <row r="1197" spans="1:8" ht="76.5" x14ac:dyDescent="0.2">
      <c r="A1197" s="190" t="s">
        <v>1501</v>
      </c>
      <c r="B1197" s="256" t="s">
        <v>221</v>
      </c>
      <c r="C1197" s="256" t="s">
        <v>370</v>
      </c>
      <c r="D1197" s="256" t="s">
        <v>989</v>
      </c>
      <c r="E1197" s="256" t="s">
        <v>290</v>
      </c>
      <c r="F1197" s="195">
        <v>1682096</v>
      </c>
      <c r="G1197" s="195">
        <v>1682096</v>
      </c>
      <c r="H1197" s="143" t="str">
        <f t="shared" si="19"/>
        <v>0106112006Б000100</v>
      </c>
    </row>
    <row r="1198" spans="1:8" ht="38.25" x14ac:dyDescent="0.2">
      <c r="A1198" s="190" t="s">
        <v>1345</v>
      </c>
      <c r="B1198" s="256" t="s">
        <v>221</v>
      </c>
      <c r="C1198" s="256" t="s">
        <v>370</v>
      </c>
      <c r="D1198" s="256" t="s">
        <v>989</v>
      </c>
      <c r="E1198" s="256" t="s">
        <v>30</v>
      </c>
      <c r="F1198" s="195">
        <v>1682096</v>
      </c>
      <c r="G1198" s="195">
        <v>1682096</v>
      </c>
      <c r="H1198" s="143" t="str">
        <f t="shared" si="19"/>
        <v>0106112006Б000120</v>
      </c>
    </row>
    <row r="1199" spans="1:8" ht="25.5" x14ac:dyDescent="0.2">
      <c r="A1199" s="190" t="s">
        <v>1010</v>
      </c>
      <c r="B1199" s="256" t="s">
        <v>221</v>
      </c>
      <c r="C1199" s="256" t="s">
        <v>370</v>
      </c>
      <c r="D1199" s="256" t="s">
        <v>989</v>
      </c>
      <c r="E1199" s="256" t="s">
        <v>363</v>
      </c>
      <c r="F1199" s="195">
        <v>1291932</v>
      </c>
      <c r="G1199" s="195">
        <v>1291932</v>
      </c>
      <c r="H1199" s="143" t="str">
        <f t="shared" si="19"/>
        <v>0106112006Б000121</v>
      </c>
    </row>
    <row r="1200" spans="1:8" ht="63.75" x14ac:dyDescent="0.2">
      <c r="A1200" s="190" t="s">
        <v>1115</v>
      </c>
      <c r="B1200" s="256" t="s">
        <v>221</v>
      </c>
      <c r="C1200" s="256" t="s">
        <v>370</v>
      </c>
      <c r="D1200" s="256" t="s">
        <v>989</v>
      </c>
      <c r="E1200" s="256" t="s">
        <v>1116</v>
      </c>
      <c r="F1200" s="195">
        <v>390164</v>
      </c>
      <c r="G1200" s="195">
        <v>390164</v>
      </c>
      <c r="H1200" s="143" t="str">
        <f t="shared" si="19"/>
        <v>0106112006Б000129</v>
      </c>
    </row>
    <row r="1201" spans="1:8" ht="76.5" x14ac:dyDescent="0.2">
      <c r="A1201" s="190" t="s">
        <v>633</v>
      </c>
      <c r="B1201" s="256" t="s">
        <v>221</v>
      </c>
      <c r="C1201" s="256" t="s">
        <v>370</v>
      </c>
      <c r="D1201" s="256" t="s">
        <v>848</v>
      </c>
      <c r="E1201" s="256" t="s">
        <v>1314</v>
      </c>
      <c r="F1201" s="195">
        <v>603720</v>
      </c>
      <c r="G1201" s="195">
        <v>603720</v>
      </c>
      <c r="H1201" s="143" t="str">
        <f t="shared" si="19"/>
        <v>0106112006Г000</v>
      </c>
    </row>
    <row r="1202" spans="1:8" ht="38.25" x14ac:dyDescent="0.2">
      <c r="A1202" s="190" t="s">
        <v>1502</v>
      </c>
      <c r="B1202" s="256" t="s">
        <v>221</v>
      </c>
      <c r="C1202" s="256" t="s">
        <v>370</v>
      </c>
      <c r="D1202" s="256" t="s">
        <v>848</v>
      </c>
      <c r="E1202" s="256" t="s">
        <v>1503</v>
      </c>
      <c r="F1202" s="195">
        <v>603720</v>
      </c>
      <c r="G1202" s="195">
        <v>603720</v>
      </c>
      <c r="H1202" s="143" t="str">
        <f t="shared" si="19"/>
        <v>0106112006Г000200</v>
      </c>
    </row>
    <row r="1203" spans="1:8" ht="38.25" x14ac:dyDescent="0.2">
      <c r="A1203" s="190" t="s">
        <v>1338</v>
      </c>
      <c r="B1203" s="256" t="s">
        <v>221</v>
      </c>
      <c r="C1203" s="256" t="s">
        <v>370</v>
      </c>
      <c r="D1203" s="256" t="s">
        <v>848</v>
      </c>
      <c r="E1203" s="256" t="s">
        <v>1339</v>
      </c>
      <c r="F1203" s="195">
        <v>603720</v>
      </c>
      <c r="G1203" s="195">
        <v>603720</v>
      </c>
      <c r="H1203" s="143" t="str">
        <f t="shared" si="19"/>
        <v>0106112006Г000240</v>
      </c>
    </row>
    <row r="1204" spans="1:8" x14ac:dyDescent="0.2">
      <c r="A1204" s="190" t="s">
        <v>2024</v>
      </c>
      <c r="B1204" s="256" t="s">
        <v>221</v>
      </c>
      <c r="C1204" s="256" t="s">
        <v>370</v>
      </c>
      <c r="D1204" s="256" t="s">
        <v>848</v>
      </c>
      <c r="E1204" s="256" t="s">
        <v>2025</v>
      </c>
      <c r="F1204" s="195">
        <v>603720</v>
      </c>
      <c r="G1204" s="195">
        <v>603720</v>
      </c>
      <c r="H1204" s="143" t="str">
        <f t="shared" si="19"/>
        <v>0106112006Г000247</v>
      </c>
    </row>
    <row r="1205" spans="1:8" ht="63.75" x14ac:dyDescent="0.2">
      <c r="A1205" s="190" t="s">
        <v>1029</v>
      </c>
      <c r="B1205" s="256" t="s">
        <v>221</v>
      </c>
      <c r="C1205" s="256" t="s">
        <v>370</v>
      </c>
      <c r="D1205" s="256" t="s">
        <v>1030</v>
      </c>
      <c r="E1205" s="256" t="s">
        <v>1314</v>
      </c>
      <c r="F1205" s="195">
        <v>190430</v>
      </c>
      <c r="G1205" s="195">
        <v>190430</v>
      </c>
      <c r="H1205" s="143" t="str">
        <f t="shared" si="19"/>
        <v>0106112006Э000</v>
      </c>
    </row>
    <row r="1206" spans="1:8" ht="38.25" x14ac:dyDescent="0.2">
      <c r="A1206" s="190" t="s">
        <v>1502</v>
      </c>
      <c r="B1206" s="256" t="s">
        <v>221</v>
      </c>
      <c r="C1206" s="256" t="s">
        <v>370</v>
      </c>
      <c r="D1206" s="256" t="s">
        <v>1030</v>
      </c>
      <c r="E1206" s="256" t="s">
        <v>1503</v>
      </c>
      <c r="F1206" s="195">
        <v>190430</v>
      </c>
      <c r="G1206" s="195">
        <v>190430</v>
      </c>
      <c r="H1206" s="143" t="str">
        <f t="shared" si="19"/>
        <v>0106112006Э000200</v>
      </c>
    </row>
    <row r="1207" spans="1:8" ht="38.25" x14ac:dyDescent="0.2">
      <c r="A1207" s="190" t="s">
        <v>1338</v>
      </c>
      <c r="B1207" s="256" t="s">
        <v>221</v>
      </c>
      <c r="C1207" s="256" t="s">
        <v>370</v>
      </c>
      <c r="D1207" s="256" t="s">
        <v>1030</v>
      </c>
      <c r="E1207" s="256" t="s">
        <v>1339</v>
      </c>
      <c r="F1207" s="195">
        <v>190430</v>
      </c>
      <c r="G1207" s="195">
        <v>190430</v>
      </c>
      <c r="H1207" s="143" t="str">
        <f t="shared" si="19"/>
        <v>0106112006Э000240</v>
      </c>
    </row>
    <row r="1208" spans="1:8" x14ac:dyDescent="0.2">
      <c r="A1208" s="190" t="s">
        <v>2024</v>
      </c>
      <c r="B1208" s="256" t="s">
        <v>221</v>
      </c>
      <c r="C1208" s="256" t="s">
        <v>370</v>
      </c>
      <c r="D1208" s="256" t="s">
        <v>1030</v>
      </c>
      <c r="E1208" s="256" t="s">
        <v>2025</v>
      </c>
      <c r="F1208" s="195">
        <v>190430</v>
      </c>
      <c r="G1208" s="195">
        <v>190430</v>
      </c>
      <c r="H1208" s="143" t="str">
        <f t="shared" si="19"/>
        <v>0106112006Э000247</v>
      </c>
    </row>
    <row r="1209" spans="1:8" ht="89.25" x14ac:dyDescent="0.2">
      <c r="A1209" s="190" t="s">
        <v>578</v>
      </c>
      <c r="B1209" s="256" t="s">
        <v>221</v>
      </c>
      <c r="C1209" s="256" t="s">
        <v>370</v>
      </c>
      <c r="D1209" s="256" t="s">
        <v>849</v>
      </c>
      <c r="E1209" s="256" t="s">
        <v>1314</v>
      </c>
      <c r="F1209" s="195">
        <v>618476</v>
      </c>
      <c r="G1209" s="195">
        <v>618476</v>
      </c>
      <c r="H1209" s="143" t="str">
        <f t="shared" si="19"/>
        <v>010611200Ч0060</v>
      </c>
    </row>
    <row r="1210" spans="1:8" ht="76.5" x14ac:dyDescent="0.2">
      <c r="A1210" s="190" t="s">
        <v>1501</v>
      </c>
      <c r="B1210" s="256" t="s">
        <v>221</v>
      </c>
      <c r="C1210" s="256" t="s">
        <v>370</v>
      </c>
      <c r="D1210" s="256" t="s">
        <v>849</v>
      </c>
      <c r="E1210" s="256" t="s">
        <v>290</v>
      </c>
      <c r="F1210" s="195">
        <v>618476</v>
      </c>
      <c r="G1210" s="195">
        <v>618476</v>
      </c>
      <c r="H1210" s="143" t="str">
        <f t="shared" si="19"/>
        <v>010611200Ч0060100</v>
      </c>
    </row>
    <row r="1211" spans="1:8" ht="38.25" x14ac:dyDescent="0.2">
      <c r="A1211" s="190" t="s">
        <v>1345</v>
      </c>
      <c r="B1211" s="256" t="s">
        <v>221</v>
      </c>
      <c r="C1211" s="256" t="s">
        <v>370</v>
      </c>
      <c r="D1211" s="256" t="s">
        <v>849</v>
      </c>
      <c r="E1211" s="256" t="s">
        <v>30</v>
      </c>
      <c r="F1211" s="195">
        <v>618476</v>
      </c>
      <c r="G1211" s="195">
        <v>618476</v>
      </c>
      <c r="H1211" s="143" t="str">
        <f t="shared" si="19"/>
        <v>010611200Ч0060120</v>
      </c>
    </row>
    <row r="1212" spans="1:8" ht="25.5" x14ac:dyDescent="0.2">
      <c r="A1212" s="190" t="s">
        <v>1010</v>
      </c>
      <c r="B1212" s="256" t="s">
        <v>221</v>
      </c>
      <c r="C1212" s="256" t="s">
        <v>370</v>
      </c>
      <c r="D1212" s="256" t="s">
        <v>849</v>
      </c>
      <c r="E1212" s="256" t="s">
        <v>363</v>
      </c>
      <c r="F1212" s="195">
        <v>475020</v>
      </c>
      <c r="G1212" s="195">
        <v>475020</v>
      </c>
      <c r="H1212" s="143" t="str">
        <f t="shared" si="19"/>
        <v>010611200Ч0060121</v>
      </c>
    </row>
    <row r="1213" spans="1:8" ht="63.75" x14ac:dyDescent="0.2">
      <c r="A1213" s="190" t="s">
        <v>1115</v>
      </c>
      <c r="B1213" s="256" t="s">
        <v>221</v>
      </c>
      <c r="C1213" s="256" t="s">
        <v>370</v>
      </c>
      <c r="D1213" s="256" t="s">
        <v>849</v>
      </c>
      <c r="E1213" s="256" t="s">
        <v>1116</v>
      </c>
      <c r="F1213" s="195">
        <v>143456</v>
      </c>
      <c r="G1213" s="195">
        <v>143456</v>
      </c>
      <c r="H1213" s="143" t="str">
        <f t="shared" si="19"/>
        <v>010611200Ч0060129</v>
      </c>
    </row>
    <row r="1214" spans="1:8" ht="127.5" x14ac:dyDescent="0.2">
      <c r="A1214" s="190" t="s">
        <v>1564</v>
      </c>
      <c r="B1214" s="256" t="s">
        <v>221</v>
      </c>
      <c r="C1214" s="256" t="s">
        <v>370</v>
      </c>
      <c r="D1214" s="256" t="s">
        <v>1565</v>
      </c>
      <c r="E1214" s="256" t="s">
        <v>1314</v>
      </c>
      <c r="F1214" s="195">
        <v>23000</v>
      </c>
      <c r="G1214" s="195">
        <v>23000</v>
      </c>
      <c r="H1214" s="143" t="str">
        <f t="shared" si="19"/>
        <v>010611200Ч0070</v>
      </c>
    </row>
    <row r="1215" spans="1:8" ht="38.25" x14ac:dyDescent="0.2">
      <c r="A1215" s="190" t="s">
        <v>1502</v>
      </c>
      <c r="B1215" s="256" t="s">
        <v>221</v>
      </c>
      <c r="C1215" s="256" t="s">
        <v>370</v>
      </c>
      <c r="D1215" s="256" t="s">
        <v>1565</v>
      </c>
      <c r="E1215" s="256" t="s">
        <v>1503</v>
      </c>
      <c r="F1215" s="195">
        <v>23000</v>
      </c>
      <c r="G1215" s="195">
        <v>23000</v>
      </c>
      <c r="H1215" s="143" t="str">
        <f t="shared" si="19"/>
        <v>010611200Ч0070200</v>
      </c>
    </row>
    <row r="1216" spans="1:8" ht="38.25" x14ac:dyDescent="0.2">
      <c r="A1216" s="190" t="s">
        <v>1338</v>
      </c>
      <c r="B1216" s="256" t="s">
        <v>221</v>
      </c>
      <c r="C1216" s="256" t="s">
        <v>370</v>
      </c>
      <c r="D1216" s="256" t="s">
        <v>1565</v>
      </c>
      <c r="E1216" s="256" t="s">
        <v>1339</v>
      </c>
      <c r="F1216" s="195">
        <v>23000</v>
      </c>
      <c r="G1216" s="195">
        <v>23000</v>
      </c>
      <c r="H1216" s="143" t="str">
        <f t="shared" si="19"/>
        <v>010611200Ч0070240</v>
      </c>
    </row>
    <row r="1217" spans="1:8" x14ac:dyDescent="0.2">
      <c r="A1217" s="190" t="s">
        <v>1379</v>
      </c>
      <c r="B1217" s="256" t="s">
        <v>221</v>
      </c>
      <c r="C1217" s="256" t="s">
        <v>370</v>
      </c>
      <c r="D1217" s="256" t="s">
        <v>1565</v>
      </c>
      <c r="E1217" s="256" t="s">
        <v>368</v>
      </c>
      <c r="F1217" s="195">
        <v>23000</v>
      </c>
      <c r="G1217" s="195">
        <v>23000</v>
      </c>
      <c r="H1217" s="143" t="str">
        <f t="shared" si="19"/>
        <v>010611200Ч0070244</v>
      </c>
    </row>
    <row r="1218" spans="1:8" x14ac:dyDescent="0.2">
      <c r="A1218" s="190" t="s">
        <v>62</v>
      </c>
      <c r="B1218" s="256" t="s">
        <v>221</v>
      </c>
      <c r="C1218" s="256" t="s">
        <v>466</v>
      </c>
      <c r="D1218" s="256" t="s">
        <v>1314</v>
      </c>
      <c r="E1218" s="256" t="s">
        <v>1314</v>
      </c>
      <c r="F1218" s="195">
        <v>2000000</v>
      </c>
      <c r="G1218" s="195">
        <v>2000000</v>
      </c>
      <c r="H1218" s="143" t="str">
        <f t="shared" si="19"/>
        <v>0111</v>
      </c>
    </row>
    <row r="1219" spans="1:8" ht="25.5" x14ac:dyDescent="0.2">
      <c r="A1219" s="190" t="s">
        <v>648</v>
      </c>
      <c r="B1219" s="256" t="s">
        <v>221</v>
      </c>
      <c r="C1219" s="256" t="s">
        <v>466</v>
      </c>
      <c r="D1219" s="256" t="s">
        <v>1072</v>
      </c>
      <c r="E1219" s="256" t="s">
        <v>1314</v>
      </c>
      <c r="F1219" s="195">
        <v>2000000</v>
      </c>
      <c r="G1219" s="195">
        <v>2000000</v>
      </c>
      <c r="H1219" s="143" t="str">
        <f t="shared" si="19"/>
        <v>01119000000000</v>
      </c>
    </row>
    <row r="1220" spans="1:8" ht="51" x14ac:dyDescent="0.2">
      <c r="A1220" s="190" t="s">
        <v>467</v>
      </c>
      <c r="B1220" s="256" t="s">
        <v>221</v>
      </c>
      <c r="C1220" s="256" t="s">
        <v>466</v>
      </c>
      <c r="D1220" s="256" t="s">
        <v>1073</v>
      </c>
      <c r="E1220" s="256" t="s">
        <v>1314</v>
      </c>
      <c r="F1220" s="195">
        <v>2000000</v>
      </c>
      <c r="G1220" s="195">
        <v>2000000</v>
      </c>
      <c r="H1220" s="143" t="str">
        <f t="shared" si="19"/>
        <v>01119010000000</v>
      </c>
    </row>
    <row r="1221" spans="1:8" ht="51" x14ac:dyDescent="0.2">
      <c r="A1221" s="190" t="s">
        <v>467</v>
      </c>
      <c r="B1221" s="256" t="s">
        <v>221</v>
      </c>
      <c r="C1221" s="256" t="s">
        <v>466</v>
      </c>
      <c r="D1221" s="256" t="s">
        <v>850</v>
      </c>
      <c r="E1221" s="256" t="s">
        <v>1314</v>
      </c>
      <c r="F1221" s="195">
        <v>2000000</v>
      </c>
      <c r="G1221" s="195">
        <v>2000000</v>
      </c>
      <c r="H1221" s="143" t="str">
        <f t="shared" si="19"/>
        <v>01119010080000</v>
      </c>
    </row>
    <row r="1222" spans="1:8" x14ac:dyDescent="0.2">
      <c r="A1222" s="190" t="s">
        <v>1504</v>
      </c>
      <c r="B1222" s="256" t="s">
        <v>221</v>
      </c>
      <c r="C1222" s="256" t="s">
        <v>466</v>
      </c>
      <c r="D1222" s="256" t="s">
        <v>850</v>
      </c>
      <c r="E1222" s="256" t="s">
        <v>1505</v>
      </c>
      <c r="F1222" s="195">
        <v>2000000</v>
      </c>
      <c r="G1222" s="195">
        <v>2000000</v>
      </c>
      <c r="H1222" s="143" t="str">
        <f t="shared" si="19"/>
        <v>01119010080000800</v>
      </c>
    </row>
    <row r="1223" spans="1:8" x14ac:dyDescent="0.2">
      <c r="A1223" s="190" t="s">
        <v>468</v>
      </c>
      <c r="B1223" s="256" t="s">
        <v>221</v>
      </c>
      <c r="C1223" s="256" t="s">
        <v>466</v>
      </c>
      <c r="D1223" s="256" t="s">
        <v>850</v>
      </c>
      <c r="E1223" s="256" t="s">
        <v>469</v>
      </c>
      <c r="F1223" s="195">
        <v>2000000</v>
      </c>
      <c r="G1223" s="195">
        <v>2000000</v>
      </c>
      <c r="H1223" s="143" t="str">
        <f t="shared" si="19"/>
        <v>01119010080000870</v>
      </c>
    </row>
    <row r="1224" spans="1:8" x14ac:dyDescent="0.2">
      <c r="A1224" s="190" t="s">
        <v>233</v>
      </c>
      <c r="B1224" s="256" t="s">
        <v>221</v>
      </c>
      <c r="C1224" s="256" t="s">
        <v>376</v>
      </c>
      <c r="D1224" s="256" t="s">
        <v>1314</v>
      </c>
      <c r="E1224" s="256" t="s">
        <v>1314</v>
      </c>
      <c r="F1224" s="195">
        <v>11733200</v>
      </c>
      <c r="G1224" s="195">
        <v>41063100</v>
      </c>
      <c r="H1224" s="143" t="str">
        <f t="shared" si="19"/>
        <v>0113</v>
      </c>
    </row>
    <row r="1225" spans="1:8" ht="38.25" x14ac:dyDescent="0.2">
      <c r="A1225" s="190" t="s">
        <v>1563</v>
      </c>
      <c r="B1225" s="256" t="s">
        <v>221</v>
      </c>
      <c r="C1225" s="256" t="s">
        <v>376</v>
      </c>
      <c r="D1225" s="256" t="s">
        <v>1060</v>
      </c>
      <c r="E1225" s="256" t="s">
        <v>1314</v>
      </c>
      <c r="F1225" s="195">
        <v>265800</v>
      </c>
      <c r="G1225" s="195">
        <v>265800</v>
      </c>
      <c r="H1225" s="143" t="str">
        <f t="shared" si="19"/>
        <v>01131100000000</v>
      </c>
    </row>
    <row r="1226" spans="1:8" ht="76.5" x14ac:dyDescent="0.2">
      <c r="A1226" s="190" t="s">
        <v>1566</v>
      </c>
      <c r="B1226" s="256" t="s">
        <v>221</v>
      </c>
      <c r="C1226" s="256" t="s">
        <v>376</v>
      </c>
      <c r="D1226" s="256" t="s">
        <v>1061</v>
      </c>
      <c r="E1226" s="256" t="s">
        <v>1314</v>
      </c>
      <c r="F1226" s="195">
        <v>265800</v>
      </c>
      <c r="G1226" s="195">
        <v>265800</v>
      </c>
      <c r="H1226" s="143" t="str">
        <f t="shared" si="19"/>
        <v>01131110000000</v>
      </c>
    </row>
    <row r="1227" spans="1:8" ht="165.75" x14ac:dyDescent="0.2">
      <c r="A1227" s="190" t="s">
        <v>1694</v>
      </c>
      <c r="B1227" s="256" t="s">
        <v>221</v>
      </c>
      <c r="C1227" s="256" t="s">
        <v>376</v>
      </c>
      <c r="D1227" s="256" t="s">
        <v>851</v>
      </c>
      <c r="E1227" s="256" t="s">
        <v>1314</v>
      </c>
      <c r="F1227" s="195">
        <v>265800</v>
      </c>
      <c r="G1227" s="195">
        <v>265800</v>
      </c>
      <c r="H1227" s="143" t="str">
        <f t="shared" si="19"/>
        <v>01131110075140</v>
      </c>
    </row>
    <row r="1228" spans="1:8" x14ac:dyDescent="0.2">
      <c r="A1228" s="190" t="s">
        <v>1512</v>
      </c>
      <c r="B1228" s="256" t="s">
        <v>221</v>
      </c>
      <c r="C1228" s="256" t="s">
        <v>376</v>
      </c>
      <c r="D1228" s="256" t="s">
        <v>851</v>
      </c>
      <c r="E1228" s="256" t="s">
        <v>1513</v>
      </c>
      <c r="F1228" s="195">
        <v>265800</v>
      </c>
      <c r="G1228" s="195">
        <v>265800</v>
      </c>
      <c r="H1228" s="143" t="str">
        <f t="shared" si="19"/>
        <v>01131110075140500</v>
      </c>
    </row>
    <row r="1229" spans="1:8" x14ac:dyDescent="0.2">
      <c r="A1229" s="190" t="s">
        <v>474</v>
      </c>
      <c r="B1229" s="256" t="s">
        <v>221</v>
      </c>
      <c r="C1229" s="256" t="s">
        <v>376</v>
      </c>
      <c r="D1229" s="256" t="s">
        <v>851</v>
      </c>
      <c r="E1229" s="256" t="s">
        <v>475</v>
      </c>
      <c r="F1229" s="195">
        <v>265800</v>
      </c>
      <c r="G1229" s="195">
        <v>265800</v>
      </c>
      <c r="H1229" s="143" t="str">
        <f t="shared" si="19"/>
        <v>01131110075140530</v>
      </c>
    </row>
    <row r="1230" spans="1:8" ht="25.5" x14ac:dyDescent="0.2">
      <c r="A1230" s="190" t="s">
        <v>648</v>
      </c>
      <c r="B1230" s="256" t="s">
        <v>221</v>
      </c>
      <c r="C1230" s="256" t="s">
        <v>376</v>
      </c>
      <c r="D1230" s="256" t="s">
        <v>1072</v>
      </c>
      <c r="E1230" s="256" t="s">
        <v>1314</v>
      </c>
      <c r="F1230" s="195">
        <v>11467400</v>
      </c>
      <c r="G1230" s="195">
        <v>40797300</v>
      </c>
      <c r="H1230" s="143" t="str">
        <f t="shared" si="19"/>
        <v>01139000000000</v>
      </c>
    </row>
    <row r="1231" spans="1:8" ht="38.25" x14ac:dyDescent="0.2">
      <c r="A1231" s="190" t="s">
        <v>471</v>
      </c>
      <c r="B1231" s="256" t="s">
        <v>221</v>
      </c>
      <c r="C1231" s="256" t="s">
        <v>376</v>
      </c>
      <c r="D1231" s="256" t="s">
        <v>1076</v>
      </c>
      <c r="E1231" s="256" t="s">
        <v>1314</v>
      </c>
      <c r="F1231" s="195">
        <v>11467400</v>
      </c>
      <c r="G1231" s="195">
        <v>40797300</v>
      </c>
      <c r="H1231" s="143" t="str">
        <f t="shared" si="19"/>
        <v>01139090000000</v>
      </c>
    </row>
    <row r="1232" spans="1:8" ht="38.25" x14ac:dyDescent="0.2">
      <c r="A1232" s="190" t="s">
        <v>471</v>
      </c>
      <c r="B1232" s="256" t="s">
        <v>221</v>
      </c>
      <c r="C1232" s="256" t="s">
        <v>376</v>
      </c>
      <c r="D1232" s="256" t="s">
        <v>852</v>
      </c>
      <c r="E1232" s="256" t="s">
        <v>1314</v>
      </c>
      <c r="F1232" s="195">
        <v>11467400</v>
      </c>
      <c r="G1232" s="195">
        <v>40797300</v>
      </c>
      <c r="H1232" s="143" t="str">
        <f t="shared" si="19"/>
        <v>01139090080000</v>
      </c>
    </row>
    <row r="1233" spans="1:8" x14ac:dyDescent="0.2">
      <c r="A1233" s="190" t="s">
        <v>1504</v>
      </c>
      <c r="B1233" s="256" t="s">
        <v>221</v>
      </c>
      <c r="C1233" s="256" t="s">
        <v>376</v>
      </c>
      <c r="D1233" s="256" t="s">
        <v>852</v>
      </c>
      <c r="E1233" s="256" t="s">
        <v>1505</v>
      </c>
      <c r="F1233" s="195">
        <v>11467400</v>
      </c>
      <c r="G1233" s="195">
        <v>40797300</v>
      </c>
      <c r="H1233" s="143" t="str">
        <f t="shared" si="19"/>
        <v>01139090080000800</v>
      </c>
    </row>
    <row r="1234" spans="1:8" x14ac:dyDescent="0.2">
      <c r="A1234" s="190" t="s">
        <v>1352</v>
      </c>
      <c r="B1234" s="256" t="s">
        <v>221</v>
      </c>
      <c r="C1234" s="256" t="s">
        <v>376</v>
      </c>
      <c r="D1234" s="256" t="s">
        <v>852</v>
      </c>
      <c r="E1234" s="256" t="s">
        <v>214</v>
      </c>
      <c r="F1234" s="195">
        <v>100000</v>
      </c>
      <c r="G1234" s="195">
        <v>100000</v>
      </c>
      <c r="H1234" s="143" t="str">
        <f t="shared" si="19"/>
        <v>01139090080000830</v>
      </c>
    </row>
    <row r="1235" spans="1:8" ht="38.25" x14ac:dyDescent="0.2">
      <c r="A1235" s="190" t="s">
        <v>1271</v>
      </c>
      <c r="B1235" s="256" t="s">
        <v>221</v>
      </c>
      <c r="C1235" s="256" t="s">
        <v>376</v>
      </c>
      <c r="D1235" s="256" t="s">
        <v>852</v>
      </c>
      <c r="E1235" s="256" t="s">
        <v>472</v>
      </c>
      <c r="F1235" s="195">
        <v>100000</v>
      </c>
      <c r="G1235" s="195">
        <v>100000</v>
      </c>
      <c r="H1235" s="143" t="str">
        <f t="shared" si="19"/>
        <v>01139090080000831</v>
      </c>
    </row>
    <row r="1236" spans="1:8" x14ac:dyDescent="0.2">
      <c r="A1236" s="190" t="s">
        <v>468</v>
      </c>
      <c r="B1236" s="256" t="s">
        <v>221</v>
      </c>
      <c r="C1236" s="256" t="s">
        <v>376</v>
      </c>
      <c r="D1236" s="256" t="s">
        <v>852</v>
      </c>
      <c r="E1236" s="256" t="s">
        <v>469</v>
      </c>
      <c r="F1236" s="195">
        <v>11367400</v>
      </c>
      <c r="G1236" s="195">
        <v>40697300</v>
      </c>
      <c r="H1236" s="143" t="str">
        <f t="shared" si="19"/>
        <v>01139090080000870</v>
      </c>
    </row>
    <row r="1237" spans="1:8" x14ac:dyDescent="0.2">
      <c r="A1237" s="190" t="s">
        <v>200</v>
      </c>
      <c r="B1237" s="256" t="s">
        <v>221</v>
      </c>
      <c r="C1237" s="256" t="s">
        <v>1233</v>
      </c>
      <c r="D1237" s="256" t="s">
        <v>1314</v>
      </c>
      <c r="E1237" s="256" t="s">
        <v>1314</v>
      </c>
      <c r="F1237" s="195">
        <v>5097000</v>
      </c>
      <c r="G1237" s="195">
        <v>0</v>
      </c>
      <c r="H1237" s="143" t="str">
        <f t="shared" si="19"/>
        <v>0200</v>
      </c>
    </row>
    <row r="1238" spans="1:8" ht="25.5" x14ac:dyDescent="0.2">
      <c r="A1238" s="190" t="s">
        <v>201</v>
      </c>
      <c r="B1238" s="256" t="s">
        <v>221</v>
      </c>
      <c r="C1238" s="256" t="s">
        <v>473</v>
      </c>
      <c r="D1238" s="256" t="s">
        <v>1314</v>
      </c>
      <c r="E1238" s="256" t="s">
        <v>1314</v>
      </c>
      <c r="F1238" s="195">
        <v>5097000</v>
      </c>
      <c r="G1238" s="195">
        <v>0</v>
      </c>
      <c r="H1238" s="143" t="str">
        <f t="shared" si="19"/>
        <v>0203</v>
      </c>
    </row>
    <row r="1239" spans="1:8" ht="38.25" x14ac:dyDescent="0.2">
      <c r="A1239" s="190" t="s">
        <v>1563</v>
      </c>
      <c r="B1239" s="256" t="s">
        <v>221</v>
      </c>
      <c r="C1239" s="256" t="s">
        <v>473</v>
      </c>
      <c r="D1239" s="256" t="s">
        <v>1060</v>
      </c>
      <c r="E1239" s="256" t="s">
        <v>1314</v>
      </c>
      <c r="F1239" s="195">
        <v>5097000</v>
      </c>
      <c r="G1239" s="195">
        <v>0</v>
      </c>
      <c r="H1239" s="143" t="str">
        <f t="shared" si="19"/>
        <v>02031100000000</v>
      </c>
    </row>
    <row r="1240" spans="1:8" ht="76.5" x14ac:dyDescent="0.2">
      <c r="A1240" s="190" t="s">
        <v>1566</v>
      </c>
      <c r="B1240" s="256" t="s">
        <v>221</v>
      </c>
      <c r="C1240" s="256" t="s">
        <v>473</v>
      </c>
      <c r="D1240" s="256" t="s">
        <v>1061</v>
      </c>
      <c r="E1240" s="256" t="s">
        <v>1314</v>
      </c>
      <c r="F1240" s="195">
        <v>5097000</v>
      </c>
      <c r="G1240" s="195">
        <v>0</v>
      </c>
      <c r="H1240" s="143" t="str">
        <f t="shared" si="19"/>
        <v>02031110000000</v>
      </c>
    </row>
    <row r="1241" spans="1:8" ht="165.75" x14ac:dyDescent="0.2">
      <c r="A1241" s="190" t="s">
        <v>1695</v>
      </c>
      <c r="B1241" s="256" t="s">
        <v>221</v>
      </c>
      <c r="C1241" s="256" t="s">
        <v>473</v>
      </c>
      <c r="D1241" s="256" t="s">
        <v>853</v>
      </c>
      <c r="E1241" s="256" t="s">
        <v>1314</v>
      </c>
      <c r="F1241" s="195">
        <v>5097000</v>
      </c>
      <c r="G1241" s="195">
        <v>0</v>
      </c>
      <c r="H1241" s="143" t="str">
        <f t="shared" si="19"/>
        <v>02031110051180</v>
      </c>
    </row>
    <row r="1242" spans="1:8" x14ac:dyDescent="0.2">
      <c r="A1242" s="190" t="s">
        <v>1512</v>
      </c>
      <c r="B1242" s="256" t="s">
        <v>221</v>
      </c>
      <c r="C1242" s="256" t="s">
        <v>473</v>
      </c>
      <c r="D1242" s="256" t="s">
        <v>853</v>
      </c>
      <c r="E1242" s="256" t="s">
        <v>1513</v>
      </c>
      <c r="F1242" s="195">
        <v>5097000</v>
      </c>
      <c r="G1242" s="195">
        <v>0</v>
      </c>
      <c r="H1242" s="143" t="str">
        <f t="shared" si="19"/>
        <v>02031110051180500</v>
      </c>
    </row>
    <row r="1243" spans="1:8" x14ac:dyDescent="0.2">
      <c r="A1243" s="190" t="s">
        <v>474</v>
      </c>
      <c r="B1243" s="256" t="s">
        <v>221</v>
      </c>
      <c r="C1243" s="256" t="s">
        <v>473</v>
      </c>
      <c r="D1243" s="256" t="s">
        <v>853</v>
      </c>
      <c r="E1243" s="256" t="s">
        <v>475</v>
      </c>
      <c r="F1243" s="195">
        <v>5097000</v>
      </c>
      <c r="G1243" s="195">
        <v>0</v>
      </c>
      <c r="H1243" s="143" t="str">
        <f t="shared" si="19"/>
        <v>02031110051180530</v>
      </c>
    </row>
    <row r="1244" spans="1:8" ht="38.25" x14ac:dyDescent="0.2">
      <c r="A1244" s="190" t="s">
        <v>254</v>
      </c>
      <c r="B1244" s="256" t="s">
        <v>221</v>
      </c>
      <c r="C1244" s="256" t="s">
        <v>1215</v>
      </c>
      <c r="D1244" s="256" t="s">
        <v>1314</v>
      </c>
      <c r="E1244" s="256" t="s">
        <v>1314</v>
      </c>
      <c r="F1244" s="195">
        <v>4102441</v>
      </c>
      <c r="G1244" s="195">
        <v>4102441</v>
      </c>
      <c r="H1244" s="143" t="str">
        <f t="shared" si="19"/>
        <v>0300</v>
      </c>
    </row>
    <row r="1245" spans="1:8" ht="51" x14ac:dyDescent="0.2">
      <c r="A1245" s="190" t="s">
        <v>2032</v>
      </c>
      <c r="B1245" s="256" t="s">
        <v>221</v>
      </c>
      <c r="C1245" s="256" t="s">
        <v>385</v>
      </c>
      <c r="D1245" s="256" t="s">
        <v>1314</v>
      </c>
      <c r="E1245" s="256" t="s">
        <v>1314</v>
      </c>
      <c r="F1245" s="195">
        <v>4102441</v>
      </c>
      <c r="G1245" s="195">
        <v>4102441</v>
      </c>
      <c r="H1245" s="143" t="str">
        <f t="shared" si="19"/>
        <v>0310</v>
      </c>
    </row>
    <row r="1246" spans="1:8" ht="51" x14ac:dyDescent="0.2">
      <c r="A1246" s="190" t="s">
        <v>497</v>
      </c>
      <c r="B1246" s="256" t="s">
        <v>221</v>
      </c>
      <c r="C1246" s="256" t="s">
        <v>385</v>
      </c>
      <c r="D1246" s="256" t="s">
        <v>1038</v>
      </c>
      <c r="E1246" s="256" t="s">
        <v>1314</v>
      </c>
      <c r="F1246" s="195">
        <v>4102441</v>
      </c>
      <c r="G1246" s="195">
        <v>4102441</v>
      </c>
      <c r="H1246" s="143" t="str">
        <f t="shared" si="19"/>
        <v>03100400000000</v>
      </c>
    </row>
    <row r="1247" spans="1:8" ht="25.5" x14ac:dyDescent="0.2">
      <c r="A1247" s="190" t="s">
        <v>500</v>
      </c>
      <c r="B1247" s="256" t="s">
        <v>221</v>
      </c>
      <c r="C1247" s="256" t="s">
        <v>385</v>
      </c>
      <c r="D1247" s="256" t="s">
        <v>1040</v>
      </c>
      <c r="E1247" s="256" t="s">
        <v>1314</v>
      </c>
      <c r="F1247" s="195">
        <v>4102441</v>
      </c>
      <c r="G1247" s="195">
        <v>4102441</v>
      </c>
      <c r="H1247" s="143" t="str">
        <f t="shared" si="19"/>
        <v>03100420000000</v>
      </c>
    </row>
    <row r="1248" spans="1:8" ht="127.5" x14ac:dyDescent="0.2">
      <c r="A1248" s="190" t="s">
        <v>1696</v>
      </c>
      <c r="B1248" s="256" t="s">
        <v>221</v>
      </c>
      <c r="C1248" s="256" t="s">
        <v>385</v>
      </c>
      <c r="D1248" s="256" t="s">
        <v>1380</v>
      </c>
      <c r="E1248" s="256" t="s">
        <v>1314</v>
      </c>
      <c r="F1248" s="195">
        <v>4102441</v>
      </c>
      <c r="G1248" s="195">
        <v>4102441</v>
      </c>
      <c r="H1248" s="143" t="str">
        <f t="shared" si="19"/>
        <v>031004200S4120</v>
      </c>
    </row>
    <row r="1249" spans="1:8" x14ac:dyDescent="0.2">
      <c r="A1249" s="190" t="s">
        <v>1512</v>
      </c>
      <c r="B1249" s="256" t="s">
        <v>221</v>
      </c>
      <c r="C1249" s="256" t="s">
        <v>385</v>
      </c>
      <c r="D1249" s="256" t="s">
        <v>1380</v>
      </c>
      <c r="E1249" s="256" t="s">
        <v>1513</v>
      </c>
      <c r="F1249" s="195">
        <v>4102441</v>
      </c>
      <c r="G1249" s="195">
        <v>4102441</v>
      </c>
      <c r="H1249" s="143" t="str">
        <f t="shared" si="19"/>
        <v>031004200S4120500</v>
      </c>
    </row>
    <row r="1250" spans="1:8" x14ac:dyDescent="0.2">
      <c r="A1250" s="190" t="s">
        <v>1567</v>
      </c>
      <c r="B1250" s="256" t="s">
        <v>221</v>
      </c>
      <c r="C1250" s="256" t="s">
        <v>385</v>
      </c>
      <c r="D1250" s="256" t="s">
        <v>1380</v>
      </c>
      <c r="E1250" s="256" t="s">
        <v>1568</v>
      </c>
      <c r="F1250" s="195">
        <v>4102441</v>
      </c>
      <c r="G1250" s="195">
        <v>4102441</v>
      </c>
      <c r="H1250" s="143" t="str">
        <f t="shared" si="19"/>
        <v>031004200S4120520</v>
      </c>
    </row>
    <row r="1251" spans="1:8" ht="51" x14ac:dyDescent="0.2">
      <c r="A1251" s="190" t="s">
        <v>1569</v>
      </c>
      <c r="B1251" s="256" t="s">
        <v>221</v>
      </c>
      <c r="C1251" s="256" t="s">
        <v>385</v>
      </c>
      <c r="D1251" s="256" t="s">
        <v>1380</v>
      </c>
      <c r="E1251" s="256" t="s">
        <v>1570</v>
      </c>
      <c r="F1251" s="195">
        <v>4102441</v>
      </c>
      <c r="G1251" s="195">
        <v>4102441</v>
      </c>
      <c r="H1251" s="143" t="str">
        <f t="shared" si="19"/>
        <v>031004200S4120521</v>
      </c>
    </row>
    <row r="1252" spans="1:8" x14ac:dyDescent="0.2">
      <c r="A1252" s="190" t="s">
        <v>190</v>
      </c>
      <c r="B1252" s="256" t="s">
        <v>221</v>
      </c>
      <c r="C1252" s="256" t="s">
        <v>1218</v>
      </c>
      <c r="D1252" s="256" t="s">
        <v>1314</v>
      </c>
      <c r="E1252" s="256" t="s">
        <v>1314</v>
      </c>
      <c r="F1252" s="195">
        <v>35354600</v>
      </c>
      <c r="G1252" s="195">
        <v>35712100</v>
      </c>
      <c r="H1252" s="143" t="str">
        <f t="shared" si="19"/>
        <v>0400</v>
      </c>
    </row>
    <row r="1253" spans="1:8" x14ac:dyDescent="0.2">
      <c r="A1253" s="190" t="s">
        <v>269</v>
      </c>
      <c r="B1253" s="256" t="s">
        <v>221</v>
      </c>
      <c r="C1253" s="256" t="s">
        <v>398</v>
      </c>
      <c r="D1253" s="256" t="s">
        <v>1314</v>
      </c>
      <c r="E1253" s="256" t="s">
        <v>1314</v>
      </c>
      <c r="F1253" s="195">
        <v>35354600</v>
      </c>
      <c r="G1253" s="195">
        <v>35712100</v>
      </c>
      <c r="H1253" s="143" t="str">
        <f t="shared" si="19"/>
        <v>0409</v>
      </c>
    </row>
    <row r="1254" spans="1:8" ht="38.25" x14ac:dyDescent="0.2">
      <c r="A1254" s="190" t="s">
        <v>524</v>
      </c>
      <c r="B1254" s="256" t="s">
        <v>221</v>
      </c>
      <c r="C1254" s="256" t="s">
        <v>398</v>
      </c>
      <c r="D1254" s="256" t="s">
        <v>1054</v>
      </c>
      <c r="E1254" s="256" t="s">
        <v>1314</v>
      </c>
      <c r="F1254" s="195">
        <v>35354600</v>
      </c>
      <c r="G1254" s="195">
        <v>35712100</v>
      </c>
      <c r="H1254" s="143" t="str">
        <f t="shared" ref="H1254:H1314" si="20">CONCATENATE(C1254,,D1254,E1254)</f>
        <v>04090900000000</v>
      </c>
    </row>
    <row r="1255" spans="1:8" ht="25.5" x14ac:dyDescent="0.2">
      <c r="A1255" s="190" t="s">
        <v>525</v>
      </c>
      <c r="B1255" s="256" t="s">
        <v>221</v>
      </c>
      <c r="C1255" s="256" t="s">
        <v>398</v>
      </c>
      <c r="D1255" s="256" t="s">
        <v>1055</v>
      </c>
      <c r="E1255" s="256" t="s">
        <v>1314</v>
      </c>
      <c r="F1255" s="195">
        <v>34995700</v>
      </c>
      <c r="G1255" s="195">
        <v>35353200</v>
      </c>
      <c r="H1255" s="143" t="str">
        <f t="shared" si="20"/>
        <v>04090910000000</v>
      </c>
    </row>
    <row r="1256" spans="1:8" ht="102" x14ac:dyDescent="0.2">
      <c r="A1256" s="190" t="s">
        <v>1697</v>
      </c>
      <c r="B1256" s="256" t="s">
        <v>221</v>
      </c>
      <c r="C1256" s="256" t="s">
        <v>398</v>
      </c>
      <c r="D1256" s="256" t="s">
        <v>1383</v>
      </c>
      <c r="E1256" s="256" t="s">
        <v>1314</v>
      </c>
      <c r="F1256" s="195">
        <v>8788200</v>
      </c>
      <c r="G1256" s="195">
        <v>9145700</v>
      </c>
      <c r="H1256" s="143" t="str">
        <f t="shared" si="20"/>
        <v>040909100S5080</v>
      </c>
    </row>
    <row r="1257" spans="1:8" x14ac:dyDescent="0.2">
      <c r="A1257" s="190" t="s">
        <v>1512</v>
      </c>
      <c r="B1257" s="256" t="s">
        <v>221</v>
      </c>
      <c r="C1257" s="256" t="s">
        <v>398</v>
      </c>
      <c r="D1257" s="256" t="s">
        <v>1383</v>
      </c>
      <c r="E1257" s="256" t="s">
        <v>1513</v>
      </c>
      <c r="F1257" s="195">
        <v>8788200</v>
      </c>
      <c r="G1257" s="195">
        <v>9145700</v>
      </c>
      <c r="H1257" s="143" t="str">
        <f t="shared" si="20"/>
        <v>040909100S5080500</v>
      </c>
    </row>
    <row r="1258" spans="1:8" x14ac:dyDescent="0.2">
      <c r="A1258" s="190" t="s">
        <v>1567</v>
      </c>
      <c r="B1258" s="256" t="s">
        <v>221</v>
      </c>
      <c r="C1258" s="256" t="s">
        <v>398</v>
      </c>
      <c r="D1258" s="256" t="s">
        <v>1383</v>
      </c>
      <c r="E1258" s="256" t="s">
        <v>1568</v>
      </c>
      <c r="F1258" s="195">
        <v>8788200</v>
      </c>
      <c r="G1258" s="195">
        <v>9145700</v>
      </c>
      <c r="H1258" s="143" t="str">
        <f t="shared" si="20"/>
        <v>040909100S5080520</v>
      </c>
    </row>
    <row r="1259" spans="1:8" ht="51" x14ac:dyDescent="0.2">
      <c r="A1259" s="190" t="s">
        <v>1569</v>
      </c>
      <c r="B1259" s="256" t="s">
        <v>221</v>
      </c>
      <c r="C1259" s="256" t="s">
        <v>398</v>
      </c>
      <c r="D1259" s="256" t="s">
        <v>1383</v>
      </c>
      <c r="E1259" s="256" t="s">
        <v>1570</v>
      </c>
      <c r="F1259" s="195">
        <v>8788200</v>
      </c>
      <c r="G1259" s="195">
        <v>9145700</v>
      </c>
      <c r="H1259" s="143" t="str">
        <f t="shared" si="20"/>
        <v>040909100S5080521</v>
      </c>
    </row>
    <row r="1260" spans="1:8" ht="127.5" x14ac:dyDescent="0.2">
      <c r="A1260" s="190" t="s">
        <v>1571</v>
      </c>
      <c r="B1260" s="256" t="s">
        <v>221</v>
      </c>
      <c r="C1260" s="256" t="s">
        <v>398</v>
      </c>
      <c r="D1260" s="256" t="s">
        <v>1572</v>
      </c>
      <c r="E1260" s="256" t="s">
        <v>1314</v>
      </c>
      <c r="F1260" s="195">
        <v>26207500</v>
      </c>
      <c r="G1260" s="195">
        <v>26207500</v>
      </c>
      <c r="H1260" s="143" t="str">
        <f t="shared" si="20"/>
        <v>040909100S5090</v>
      </c>
    </row>
    <row r="1261" spans="1:8" x14ac:dyDescent="0.2">
      <c r="A1261" s="190" t="s">
        <v>1512</v>
      </c>
      <c r="B1261" s="256" t="s">
        <v>221</v>
      </c>
      <c r="C1261" s="256" t="s">
        <v>398</v>
      </c>
      <c r="D1261" s="256" t="s">
        <v>1572</v>
      </c>
      <c r="E1261" s="256" t="s">
        <v>1513</v>
      </c>
      <c r="F1261" s="195">
        <v>26207500</v>
      </c>
      <c r="G1261" s="195">
        <v>26207500</v>
      </c>
      <c r="H1261" s="143" t="str">
        <f t="shared" si="20"/>
        <v>040909100S5090500</v>
      </c>
    </row>
    <row r="1262" spans="1:8" x14ac:dyDescent="0.2">
      <c r="A1262" s="190" t="s">
        <v>1567</v>
      </c>
      <c r="B1262" s="256" t="s">
        <v>221</v>
      </c>
      <c r="C1262" s="256" t="s">
        <v>398</v>
      </c>
      <c r="D1262" s="256" t="s">
        <v>1572</v>
      </c>
      <c r="E1262" s="256" t="s">
        <v>1568</v>
      </c>
      <c r="F1262" s="195">
        <v>26207500</v>
      </c>
      <c r="G1262" s="195">
        <v>26207500</v>
      </c>
      <c r="H1262" s="143" t="str">
        <f t="shared" si="20"/>
        <v>040909100S5090520</v>
      </c>
    </row>
    <row r="1263" spans="1:8" ht="51" x14ac:dyDescent="0.2">
      <c r="A1263" s="190" t="s">
        <v>1569</v>
      </c>
      <c r="B1263" s="256" t="s">
        <v>221</v>
      </c>
      <c r="C1263" s="256" t="s">
        <v>398</v>
      </c>
      <c r="D1263" s="256" t="s">
        <v>1572</v>
      </c>
      <c r="E1263" s="256" t="s">
        <v>1570</v>
      </c>
      <c r="F1263" s="195">
        <v>26207500</v>
      </c>
      <c r="G1263" s="195">
        <v>26207500</v>
      </c>
      <c r="H1263" s="143" t="str">
        <f t="shared" si="20"/>
        <v>040909100S5090521</v>
      </c>
    </row>
    <row r="1264" spans="1:8" ht="25.5" x14ac:dyDescent="0.2">
      <c r="A1264" s="190" t="s">
        <v>529</v>
      </c>
      <c r="B1264" s="256" t="s">
        <v>221</v>
      </c>
      <c r="C1264" s="256" t="s">
        <v>398</v>
      </c>
      <c r="D1264" s="256" t="s">
        <v>1057</v>
      </c>
      <c r="E1264" s="256" t="s">
        <v>1314</v>
      </c>
      <c r="F1264" s="195">
        <v>358900</v>
      </c>
      <c r="G1264" s="195">
        <v>358900</v>
      </c>
      <c r="H1264" s="143" t="str">
        <f t="shared" si="20"/>
        <v>04090930000000</v>
      </c>
    </row>
    <row r="1265" spans="1:8" ht="114.75" x14ac:dyDescent="0.2">
      <c r="A1265" s="190" t="s">
        <v>1734</v>
      </c>
      <c r="B1265" s="256" t="s">
        <v>221</v>
      </c>
      <c r="C1265" s="256" t="s">
        <v>398</v>
      </c>
      <c r="D1265" s="256" t="s">
        <v>1735</v>
      </c>
      <c r="E1265" s="256" t="s">
        <v>1314</v>
      </c>
      <c r="F1265" s="195">
        <v>358900</v>
      </c>
      <c r="G1265" s="195">
        <v>358900</v>
      </c>
      <c r="H1265" s="143" t="str">
        <f t="shared" si="20"/>
        <v>0409093R310601</v>
      </c>
    </row>
    <row r="1266" spans="1:8" x14ac:dyDescent="0.2">
      <c r="A1266" s="190" t="s">
        <v>1512</v>
      </c>
      <c r="B1266" s="256" t="s">
        <v>221</v>
      </c>
      <c r="C1266" s="256" t="s">
        <v>398</v>
      </c>
      <c r="D1266" s="256" t="s">
        <v>1735</v>
      </c>
      <c r="E1266" s="256" t="s">
        <v>1513</v>
      </c>
      <c r="F1266" s="195">
        <v>358900</v>
      </c>
      <c r="G1266" s="195">
        <v>358900</v>
      </c>
      <c r="H1266" s="143" t="str">
        <f t="shared" si="20"/>
        <v>0409093R310601500</v>
      </c>
    </row>
    <row r="1267" spans="1:8" x14ac:dyDescent="0.2">
      <c r="A1267" s="190" t="s">
        <v>1567</v>
      </c>
      <c r="B1267" s="256" t="s">
        <v>221</v>
      </c>
      <c r="C1267" s="256" t="s">
        <v>398</v>
      </c>
      <c r="D1267" s="256" t="s">
        <v>1735</v>
      </c>
      <c r="E1267" s="256" t="s">
        <v>1568</v>
      </c>
      <c r="F1267" s="195">
        <v>358900</v>
      </c>
      <c r="G1267" s="195">
        <v>358900</v>
      </c>
      <c r="H1267" s="143" t="str">
        <f t="shared" si="20"/>
        <v>0409093R310601520</v>
      </c>
    </row>
    <row r="1268" spans="1:8" ht="51" x14ac:dyDescent="0.2">
      <c r="A1268" s="190" t="s">
        <v>1569</v>
      </c>
      <c r="B1268" s="256" t="s">
        <v>221</v>
      </c>
      <c r="C1268" s="256" t="s">
        <v>398</v>
      </c>
      <c r="D1268" s="256" t="s">
        <v>1735</v>
      </c>
      <c r="E1268" s="256" t="s">
        <v>1570</v>
      </c>
      <c r="F1268" s="195">
        <v>358900</v>
      </c>
      <c r="G1268" s="195">
        <v>358900</v>
      </c>
      <c r="H1268" s="143" t="str">
        <f t="shared" si="20"/>
        <v>0409093R310601521</v>
      </c>
    </row>
    <row r="1269" spans="1:8" ht="25.5" x14ac:dyDescent="0.2">
      <c r="A1269" s="190" t="s">
        <v>255</v>
      </c>
      <c r="B1269" s="256" t="s">
        <v>221</v>
      </c>
      <c r="C1269" s="256" t="s">
        <v>1219</v>
      </c>
      <c r="D1269" s="256" t="s">
        <v>1314</v>
      </c>
      <c r="E1269" s="256" t="s">
        <v>1314</v>
      </c>
      <c r="F1269" s="195">
        <v>0</v>
      </c>
      <c r="G1269" s="195">
        <v>19536200</v>
      </c>
      <c r="H1269" s="143" t="str">
        <f t="shared" si="20"/>
        <v>0500</v>
      </c>
    </row>
    <row r="1270" spans="1:8" x14ac:dyDescent="0.2">
      <c r="A1270" s="190" t="s">
        <v>3</v>
      </c>
      <c r="B1270" s="256" t="s">
        <v>221</v>
      </c>
      <c r="C1270" s="256" t="s">
        <v>426</v>
      </c>
      <c r="D1270" s="256" t="s">
        <v>1314</v>
      </c>
      <c r="E1270" s="256" t="s">
        <v>1314</v>
      </c>
      <c r="F1270" s="195">
        <v>0</v>
      </c>
      <c r="G1270" s="195">
        <v>19536200</v>
      </c>
      <c r="H1270" s="143" t="str">
        <f t="shared" si="20"/>
        <v>0501</v>
      </c>
    </row>
    <row r="1271" spans="1:8" ht="38.25" x14ac:dyDescent="0.2">
      <c r="A1271" s="190" t="s">
        <v>643</v>
      </c>
      <c r="B1271" s="256" t="s">
        <v>221</v>
      </c>
      <c r="C1271" s="256" t="s">
        <v>426</v>
      </c>
      <c r="D1271" s="256" t="s">
        <v>1058</v>
      </c>
      <c r="E1271" s="256" t="s">
        <v>1314</v>
      </c>
      <c r="F1271" s="195">
        <v>0</v>
      </c>
      <c r="G1271" s="195">
        <v>19536200</v>
      </c>
      <c r="H1271" s="143" t="str">
        <f t="shared" si="20"/>
        <v>05011000000000</v>
      </c>
    </row>
    <row r="1272" spans="1:8" ht="51" x14ac:dyDescent="0.2">
      <c r="A1272" s="190" t="s">
        <v>972</v>
      </c>
      <c r="B1272" s="256" t="s">
        <v>221</v>
      </c>
      <c r="C1272" s="256" t="s">
        <v>426</v>
      </c>
      <c r="D1272" s="256" t="s">
        <v>2077</v>
      </c>
      <c r="E1272" s="256" t="s">
        <v>1314</v>
      </c>
      <c r="F1272" s="195">
        <v>0</v>
      </c>
      <c r="G1272" s="195">
        <v>19536200</v>
      </c>
      <c r="H1272" s="143" t="str">
        <f t="shared" si="20"/>
        <v>05011010000000</v>
      </c>
    </row>
    <row r="1273" spans="1:8" ht="178.5" x14ac:dyDescent="0.2">
      <c r="A1273" s="190" t="s">
        <v>2078</v>
      </c>
      <c r="B1273" s="256" t="s">
        <v>221</v>
      </c>
      <c r="C1273" s="256" t="s">
        <v>426</v>
      </c>
      <c r="D1273" s="256" t="s">
        <v>2079</v>
      </c>
      <c r="E1273" s="256" t="s">
        <v>1314</v>
      </c>
      <c r="F1273" s="195">
        <v>0</v>
      </c>
      <c r="G1273" s="195">
        <v>14352100</v>
      </c>
      <c r="H1273" s="143" t="str">
        <f t="shared" si="20"/>
        <v>0501101F367483</v>
      </c>
    </row>
    <row r="1274" spans="1:8" x14ac:dyDescent="0.2">
      <c r="A1274" s="190" t="s">
        <v>1512</v>
      </c>
      <c r="B1274" s="256" t="s">
        <v>221</v>
      </c>
      <c r="C1274" s="256" t="s">
        <v>426</v>
      </c>
      <c r="D1274" s="256" t="s">
        <v>2079</v>
      </c>
      <c r="E1274" s="256" t="s">
        <v>1513</v>
      </c>
      <c r="F1274" s="195">
        <v>0</v>
      </c>
      <c r="G1274" s="195">
        <v>14352100</v>
      </c>
      <c r="H1274" s="143" t="str">
        <f t="shared" si="20"/>
        <v>0501101F367483500</v>
      </c>
    </row>
    <row r="1275" spans="1:8" x14ac:dyDescent="0.2">
      <c r="A1275" s="190" t="s">
        <v>1567</v>
      </c>
      <c r="B1275" s="256" t="s">
        <v>221</v>
      </c>
      <c r="C1275" s="256" t="s">
        <v>426</v>
      </c>
      <c r="D1275" s="256" t="s">
        <v>2079</v>
      </c>
      <c r="E1275" s="256" t="s">
        <v>1568</v>
      </c>
      <c r="F1275" s="195">
        <v>0</v>
      </c>
      <c r="G1275" s="195">
        <v>14352100</v>
      </c>
      <c r="H1275" s="143" t="str">
        <f t="shared" si="20"/>
        <v>0501101F367483520</v>
      </c>
    </row>
    <row r="1276" spans="1:8" x14ac:dyDescent="0.2">
      <c r="A1276" s="190" t="s">
        <v>1742</v>
      </c>
      <c r="B1276" s="256" t="s">
        <v>221</v>
      </c>
      <c r="C1276" s="256" t="s">
        <v>426</v>
      </c>
      <c r="D1276" s="256" t="s">
        <v>2079</v>
      </c>
      <c r="E1276" s="256" t="s">
        <v>1743</v>
      </c>
      <c r="F1276" s="195">
        <v>0</v>
      </c>
      <c r="G1276" s="195">
        <v>14352100</v>
      </c>
      <c r="H1276" s="143" t="str">
        <f t="shared" si="20"/>
        <v>0501101F367483523</v>
      </c>
    </row>
    <row r="1277" spans="1:8" ht="140.25" x14ac:dyDescent="0.2">
      <c r="A1277" s="190" t="s">
        <v>2080</v>
      </c>
      <c r="B1277" s="256" t="s">
        <v>221</v>
      </c>
      <c r="C1277" s="256" t="s">
        <v>426</v>
      </c>
      <c r="D1277" s="256" t="s">
        <v>2081</v>
      </c>
      <c r="E1277" s="256" t="s">
        <v>1314</v>
      </c>
      <c r="F1277" s="195">
        <v>0</v>
      </c>
      <c r="G1277" s="195">
        <v>5184100</v>
      </c>
      <c r="H1277" s="143" t="str">
        <f t="shared" si="20"/>
        <v>0501101F367484</v>
      </c>
    </row>
    <row r="1278" spans="1:8" x14ac:dyDescent="0.2">
      <c r="A1278" s="190" t="s">
        <v>1512</v>
      </c>
      <c r="B1278" s="256" t="s">
        <v>221</v>
      </c>
      <c r="C1278" s="256" t="s">
        <v>426</v>
      </c>
      <c r="D1278" s="256" t="s">
        <v>2081</v>
      </c>
      <c r="E1278" s="256" t="s">
        <v>1513</v>
      </c>
      <c r="F1278" s="195">
        <v>0</v>
      </c>
      <c r="G1278" s="195">
        <v>5184100</v>
      </c>
      <c r="H1278" s="143" t="str">
        <f t="shared" si="20"/>
        <v>0501101F367484500</v>
      </c>
    </row>
    <row r="1279" spans="1:8" x14ac:dyDescent="0.2">
      <c r="A1279" s="190" t="s">
        <v>1567</v>
      </c>
      <c r="B1279" s="256" t="s">
        <v>221</v>
      </c>
      <c r="C1279" s="256" t="s">
        <v>426</v>
      </c>
      <c r="D1279" s="256" t="s">
        <v>2081</v>
      </c>
      <c r="E1279" s="256" t="s">
        <v>1568</v>
      </c>
      <c r="F1279" s="195">
        <v>0</v>
      </c>
      <c r="G1279" s="195">
        <v>5184100</v>
      </c>
      <c r="H1279" s="143" t="str">
        <f t="shared" si="20"/>
        <v>0501101F367484520</v>
      </c>
    </row>
    <row r="1280" spans="1:8" x14ac:dyDescent="0.2">
      <c r="A1280" s="190" t="s">
        <v>1742</v>
      </c>
      <c r="B1280" s="256" t="s">
        <v>221</v>
      </c>
      <c r="C1280" s="256" t="s">
        <v>426</v>
      </c>
      <c r="D1280" s="256" t="s">
        <v>2081</v>
      </c>
      <c r="E1280" s="256" t="s">
        <v>1743</v>
      </c>
      <c r="F1280" s="195">
        <v>0</v>
      </c>
      <c r="G1280" s="195">
        <v>5184100</v>
      </c>
      <c r="H1280" s="143" t="str">
        <f t="shared" si="20"/>
        <v>0501101F367484523</v>
      </c>
    </row>
    <row r="1281" spans="1:8" x14ac:dyDescent="0.2">
      <c r="A1281" s="190" t="s">
        <v>147</v>
      </c>
      <c r="B1281" s="256" t="s">
        <v>221</v>
      </c>
      <c r="C1281" s="256" t="s">
        <v>1220</v>
      </c>
      <c r="D1281" s="256" t="s">
        <v>1314</v>
      </c>
      <c r="E1281" s="256" t="s">
        <v>1314</v>
      </c>
      <c r="F1281" s="195">
        <v>2500000</v>
      </c>
      <c r="G1281" s="195">
        <v>2500000</v>
      </c>
      <c r="H1281" s="143" t="str">
        <f t="shared" si="20"/>
        <v>0700</v>
      </c>
    </row>
    <row r="1282" spans="1:8" x14ac:dyDescent="0.2">
      <c r="A1282" s="190" t="s">
        <v>1145</v>
      </c>
      <c r="B1282" s="256" t="s">
        <v>221</v>
      </c>
      <c r="C1282" s="256" t="s">
        <v>405</v>
      </c>
      <c r="D1282" s="256" t="s">
        <v>1314</v>
      </c>
      <c r="E1282" s="256" t="s">
        <v>1314</v>
      </c>
      <c r="F1282" s="195">
        <v>2500000</v>
      </c>
      <c r="G1282" s="195">
        <v>2500000</v>
      </c>
      <c r="H1282" s="143" t="str">
        <f t="shared" si="20"/>
        <v>0707</v>
      </c>
    </row>
    <row r="1283" spans="1:8" ht="25.5" x14ac:dyDescent="0.2">
      <c r="A1283" s="190" t="s">
        <v>507</v>
      </c>
      <c r="B1283" s="256" t="s">
        <v>221</v>
      </c>
      <c r="C1283" s="256" t="s">
        <v>405</v>
      </c>
      <c r="D1283" s="256" t="s">
        <v>1045</v>
      </c>
      <c r="E1283" s="256" t="s">
        <v>1314</v>
      </c>
      <c r="F1283" s="195">
        <v>2500000</v>
      </c>
      <c r="G1283" s="195">
        <v>2500000</v>
      </c>
      <c r="H1283" s="143" t="str">
        <f t="shared" si="20"/>
        <v>07070600000000</v>
      </c>
    </row>
    <row r="1284" spans="1:8" ht="38.25" x14ac:dyDescent="0.2">
      <c r="A1284" s="190" t="s">
        <v>508</v>
      </c>
      <c r="B1284" s="256" t="s">
        <v>221</v>
      </c>
      <c r="C1284" s="256" t="s">
        <v>405</v>
      </c>
      <c r="D1284" s="256" t="s">
        <v>1046</v>
      </c>
      <c r="E1284" s="256" t="s">
        <v>1314</v>
      </c>
      <c r="F1284" s="195">
        <v>2500000</v>
      </c>
      <c r="G1284" s="195">
        <v>2500000</v>
      </c>
      <c r="H1284" s="143" t="str">
        <f t="shared" si="20"/>
        <v>07070610000000</v>
      </c>
    </row>
    <row r="1285" spans="1:8" ht="153" x14ac:dyDescent="0.2">
      <c r="A1285" s="190" t="s">
        <v>1698</v>
      </c>
      <c r="B1285" s="256" t="s">
        <v>221</v>
      </c>
      <c r="C1285" s="256" t="s">
        <v>405</v>
      </c>
      <c r="D1285" s="256" t="s">
        <v>856</v>
      </c>
      <c r="E1285" s="256" t="s">
        <v>1314</v>
      </c>
      <c r="F1285" s="195">
        <v>2500000</v>
      </c>
      <c r="G1285" s="195">
        <v>2500000</v>
      </c>
      <c r="H1285" s="143" t="str">
        <f t="shared" si="20"/>
        <v>070706100Ч0050</v>
      </c>
    </row>
    <row r="1286" spans="1:8" x14ac:dyDescent="0.2">
      <c r="A1286" s="190" t="s">
        <v>1512</v>
      </c>
      <c r="B1286" s="256" t="s">
        <v>221</v>
      </c>
      <c r="C1286" s="256" t="s">
        <v>405</v>
      </c>
      <c r="D1286" s="256" t="s">
        <v>856</v>
      </c>
      <c r="E1286" s="256" t="s">
        <v>1513</v>
      </c>
      <c r="F1286" s="195">
        <v>2500000</v>
      </c>
      <c r="G1286" s="195">
        <v>2500000</v>
      </c>
      <c r="H1286" s="143" t="str">
        <f t="shared" si="20"/>
        <v>070706100Ч0050500</v>
      </c>
    </row>
    <row r="1287" spans="1:8" x14ac:dyDescent="0.2">
      <c r="A1287" s="190" t="s">
        <v>72</v>
      </c>
      <c r="B1287" s="256" t="s">
        <v>221</v>
      </c>
      <c r="C1287" s="256" t="s">
        <v>405</v>
      </c>
      <c r="D1287" s="256" t="s">
        <v>856</v>
      </c>
      <c r="E1287" s="256" t="s">
        <v>470</v>
      </c>
      <c r="F1287" s="195">
        <v>2500000</v>
      </c>
      <c r="G1287" s="195">
        <v>2500000</v>
      </c>
      <c r="H1287" s="143" t="str">
        <f t="shared" si="20"/>
        <v>070706100Ч0050540</v>
      </c>
    </row>
    <row r="1288" spans="1:8" x14ac:dyDescent="0.2">
      <c r="A1288" s="190" t="s">
        <v>264</v>
      </c>
      <c r="B1288" s="256" t="s">
        <v>221</v>
      </c>
      <c r="C1288" s="256" t="s">
        <v>1234</v>
      </c>
      <c r="D1288" s="256" t="s">
        <v>1314</v>
      </c>
      <c r="E1288" s="256" t="s">
        <v>1314</v>
      </c>
      <c r="F1288" s="195">
        <v>94700</v>
      </c>
      <c r="G1288" s="195">
        <v>94700</v>
      </c>
      <c r="H1288" s="143" t="str">
        <f t="shared" si="20"/>
        <v>0900</v>
      </c>
    </row>
    <row r="1289" spans="1:8" ht="25.5" x14ac:dyDescent="0.2">
      <c r="A1289" s="190" t="s">
        <v>1235</v>
      </c>
      <c r="B1289" s="256" t="s">
        <v>221</v>
      </c>
      <c r="C1289" s="256" t="s">
        <v>413</v>
      </c>
      <c r="D1289" s="256" t="s">
        <v>1314</v>
      </c>
      <c r="E1289" s="256" t="s">
        <v>1314</v>
      </c>
      <c r="F1289" s="195">
        <v>94700</v>
      </c>
      <c r="G1289" s="195">
        <v>94700</v>
      </c>
      <c r="H1289" s="143" t="str">
        <f t="shared" si="20"/>
        <v>0909</v>
      </c>
    </row>
    <row r="1290" spans="1:8" ht="38.25" x14ac:dyDescent="0.2">
      <c r="A1290" s="190" t="s">
        <v>1563</v>
      </c>
      <c r="B1290" s="256" t="s">
        <v>221</v>
      </c>
      <c r="C1290" s="256" t="s">
        <v>413</v>
      </c>
      <c r="D1290" s="256" t="s">
        <v>1060</v>
      </c>
      <c r="E1290" s="256" t="s">
        <v>1314</v>
      </c>
      <c r="F1290" s="195">
        <v>94700</v>
      </c>
      <c r="G1290" s="195">
        <v>94700</v>
      </c>
      <c r="H1290" s="143" t="str">
        <f t="shared" si="20"/>
        <v>09091100000000</v>
      </c>
    </row>
    <row r="1291" spans="1:8" ht="76.5" x14ac:dyDescent="0.2">
      <c r="A1291" s="190" t="s">
        <v>1566</v>
      </c>
      <c r="B1291" s="256" t="s">
        <v>221</v>
      </c>
      <c r="C1291" s="256" t="s">
        <v>413</v>
      </c>
      <c r="D1291" s="256" t="s">
        <v>1061</v>
      </c>
      <c r="E1291" s="256" t="s">
        <v>1314</v>
      </c>
      <c r="F1291" s="195">
        <v>94700</v>
      </c>
      <c r="G1291" s="195">
        <v>94700</v>
      </c>
      <c r="H1291" s="143" t="str">
        <f t="shared" si="20"/>
        <v>09091110000000</v>
      </c>
    </row>
    <row r="1292" spans="1:8" ht="140.25" x14ac:dyDescent="0.2">
      <c r="A1292" s="190" t="s">
        <v>1699</v>
      </c>
      <c r="B1292" s="256" t="s">
        <v>221</v>
      </c>
      <c r="C1292" s="256" t="s">
        <v>413</v>
      </c>
      <c r="D1292" s="256" t="s">
        <v>1700</v>
      </c>
      <c r="E1292" s="256" t="s">
        <v>1314</v>
      </c>
      <c r="F1292" s="195">
        <v>94700</v>
      </c>
      <c r="G1292" s="195">
        <v>94700</v>
      </c>
      <c r="H1292" s="143" t="str">
        <f t="shared" si="20"/>
        <v>090911100S5550</v>
      </c>
    </row>
    <row r="1293" spans="1:8" x14ac:dyDescent="0.2">
      <c r="A1293" s="190" t="s">
        <v>1512</v>
      </c>
      <c r="B1293" s="256" t="s">
        <v>221</v>
      </c>
      <c r="C1293" s="256" t="s">
        <v>413</v>
      </c>
      <c r="D1293" s="256" t="s">
        <v>1700</v>
      </c>
      <c r="E1293" s="256" t="s">
        <v>1513</v>
      </c>
      <c r="F1293" s="195">
        <v>94700</v>
      </c>
      <c r="G1293" s="195">
        <v>94700</v>
      </c>
      <c r="H1293" s="143" t="str">
        <f t="shared" si="20"/>
        <v>090911100S5550500</v>
      </c>
    </row>
    <row r="1294" spans="1:8" x14ac:dyDescent="0.2">
      <c r="A1294" s="190" t="s">
        <v>1567</v>
      </c>
      <c r="B1294" s="256" t="s">
        <v>221</v>
      </c>
      <c r="C1294" s="256" t="s">
        <v>413</v>
      </c>
      <c r="D1294" s="256" t="s">
        <v>1700</v>
      </c>
      <c r="E1294" s="256" t="s">
        <v>1568</v>
      </c>
      <c r="F1294" s="195">
        <v>94700</v>
      </c>
      <c r="G1294" s="195">
        <v>94700</v>
      </c>
      <c r="H1294" s="143" t="str">
        <f t="shared" si="20"/>
        <v>090911100S5550520</v>
      </c>
    </row>
    <row r="1295" spans="1:8" ht="51" x14ac:dyDescent="0.2">
      <c r="A1295" s="190" t="s">
        <v>1569</v>
      </c>
      <c r="B1295" s="256" t="s">
        <v>221</v>
      </c>
      <c r="C1295" s="256" t="s">
        <v>413</v>
      </c>
      <c r="D1295" s="256" t="s">
        <v>1700</v>
      </c>
      <c r="E1295" s="256" t="s">
        <v>1570</v>
      </c>
      <c r="F1295" s="195">
        <v>94700</v>
      </c>
      <c r="G1295" s="195">
        <v>94700</v>
      </c>
      <c r="H1295" s="143" t="str">
        <f t="shared" si="20"/>
        <v>090911100S5550521</v>
      </c>
    </row>
    <row r="1296" spans="1:8" ht="25.5" x14ac:dyDescent="0.2">
      <c r="A1296" s="190" t="s">
        <v>2106</v>
      </c>
      <c r="B1296" s="256" t="s">
        <v>221</v>
      </c>
      <c r="C1296" s="256" t="s">
        <v>2107</v>
      </c>
      <c r="D1296" s="256" t="s">
        <v>1314</v>
      </c>
      <c r="E1296" s="256" t="s">
        <v>1314</v>
      </c>
      <c r="F1296" s="195">
        <v>2740</v>
      </c>
      <c r="G1296" s="195">
        <v>2740</v>
      </c>
      <c r="H1296" s="143" t="str">
        <f t="shared" si="20"/>
        <v>1300</v>
      </c>
    </row>
    <row r="1297" spans="1:8" ht="25.5" x14ac:dyDescent="0.2">
      <c r="A1297" s="190" t="s">
        <v>2108</v>
      </c>
      <c r="B1297" s="256" t="s">
        <v>221</v>
      </c>
      <c r="C1297" s="256" t="s">
        <v>2109</v>
      </c>
      <c r="D1297" s="256" t="s">
        <v>1314</v>
      </c>
      <c r="E1297" s="256" t="s">
        <v>1314</v>
      </c>
      <c r="F1297" s="195">
        <v>2740</v>
      </c>
      <c r="G1297" s="195">
        <v>2740</v>
      </c>
      <c r="H1297" s="143" t="str">
        <f t="shared" si="20"/>
        <v>1301</v>
      </c>
    </row>
    <row r="1298" spans="1:8" ht="25.5" x14ac:dyDescent="0.2">
      <c r="A1298" s="190" t="s">
        <v>648</v>
      </c>
      <c r="B1298" s="256" t="s">
        <v>221</v>
      </c>
      <c r="C1298" s="256" t="s">
        <v>2109</v>
      </c>
      <c r="D1298" s="256" t="s">
        <v>1072</v>
      </c>
      <c r="E1298" s="256" t="s">
        <v>1314</v>
      </c>
      <c r="F1298" s="195">
        <v>2740</v>
      </c>
      <c r="G1298" s="195">
        <v>2740</v>
      </c>
      <c r="H1298" s="143" t="str">
        <f t="shared" si="20"/>
        <v>13019000000000</v>
      </c>
    </row>
    <row r="1299" spans="1:8" ht="38.25" x14ac:dyDescent="0.2">
      <c r="A1299" s="190" t="s">
        <v>471</v>
      </c>
      <c r="B1299" s="256" t="s">
        <v>221</v>
      </c>
      <c r="C1299" s="256" t="s">
        <v>2109</v>
      </c>
      <c r="D1299" s="256" t="s">
        <v>1076</v>
      </c>
      <c r="E1299" s="256" t="s">
        <v>1314</v>
      </c>
      <c r="F1299" s="195">
        <v>2740</v>
      </c>
      <c r="G1299" s="195">
        <v>2740</v>
      </c>
      <c r="H1299" s="143" t="str">
        <f t="shared" si="20"/>
        <v>13019090000000</v>
      </c>
    </row>
    <row r="1300" spans="1:8" ht="38.25" x14ac:dyDescent="0.2">
      <c r="A1300" s="190" t="s">
        <v>471</v>
      </c>
      <c r="B1300" s="256" t="s">
        <v>221</v>
      </c>
      <c r="C1300" s="256" t="s">
        <v>2109</v>
      </c>
      <c r="D1300" s="256" t="s">
        <v>852</v>
      </c>
      <c r="E1300" s="256" t="s">
        <v>1314</v>
      </c>
      <c r="F1300" s="195">
        <v>2740</v>
      </c>
      <c r="G1300" s="195">
        <v>2740</v>
      </c>
      <c r="H1300" s="143" t="str">
        <f t="shared" si="20"/>
        <v>13019090080000</v>
      </c>
    </row>
    <row r="1301" spans="1:8" ht="25.5" x14ac:dyDescent="0.2">
      <c r="A1301" s="190" t="s">
        <v>2110</v>
      </c>
      <c r="B1301" s="256" t="s">
        <v>221</v>
      </c>
      <c r="C1301" s="256" t="s">
        <v>2109</v>
      </c>
      <c r="D1301" s="256" t="s">
        <v>852</v>
      </c>
      <c r="E1301" s="256" t="s">
        <v>2111</v>
      </c>
      <c r="F1301" s="195">
        <v>2740</v>
      </c>
      <c r="G1301" s="195">
        <v>2740</v>
      </c>
      <c r="H1301" s="143" t="str">
        <f t="shared" si="20"/>
        <v>13019090080000700</v>
      </c>
    </row>
    <row r="1302" spans="1:8" x14ac:dyDescent="0.2">
      <c r="A1302" s="190" t="s">
        <v>2112</v>
      </c>
      <c r="B1302" s="256" t="s">
        <v>221</v>
      </c>
      <c r="C1302" s="256" t="s">
        <v>2109</v>
      </c>
      <c r="D1302" s="256" t="s">
        <v>852</v>
      </c>
      <c r="E1302" s="256" t="s">
        <v>2113</v>
      </c>
      <c r="F1302" s="195">
        <v>2740</v>
      </c>
      <c r="G1302" s="195">
        <v>2740</v>
      </c>
      <c r="H1302" s="143" t="str">
        <f t="shared" si="20"/>
        <v>13019090080000730</v>
      </c>
    </row>
    <row r="1303" spans="1:8" ht="51" x14ac:dyDescent="0.2">
      <c r="A1303" s="190" t="s">
        <v>1236</v>
      </c>
      <c r="B1303" s="256" t="s">
        <v>221</v>
      </c>
      <c r="C1303" s="256" t="s">
        <v>1237</v>
      </c>
      <c r="D1303" s="256" t="s">
        <v>1314</v>
      </c>
      <c r="E1303" s="256" t="s">
        <v>1314</v>
      </c>
      <c r="F1303" s="195">
        <v>102989500</v>
      </c>
      <c r="G1303" s="195">
        <v>102989500</v>
      </c>
      <c r="H1303" s="143" t="str">
        <f t="shared" si="20"/>
        <v>1400</v>
      </c>
    </row>
    <row r="1304" spans="1:8" ht="38.25" x14ac:dyDescent="0.2">
      <c r="A1304" s="190" t="s">
        <v>227</v>
      </c>
      <c r="B1304" s="256" t="s">
        <v>221</v>
      </c>
      <c r="C1304" s="256" t="s">
        <v>477</v>
      </c>
      <c r="D1304" s="256" t="s">
        <v>1314</v>
      </c>
      <c r="E1304" s="256" t="s">
        <v>1314</v>
      </c>
      <c r="F1304" s="195">
        <v>74739500</v>
      </c>
      <c r="G1304" s="195">
        <v>74739500</v>
      </c>
      <c r="H1304" s="143" t="str">
        <f t="shared" si="20"/>
        <v>1401</v>
      </c>
    </row>
    <row r="1305" spans="1:8" ht="38.25" x14ac:dyDescent="0.2">
      <c r="A1305" s="190" t="s">
        <v>1563</v>
      </c>
      <c r="B1305" s="256" t="s">
        <v>221</v>
      </c>
      <c r="C1305" s="256" t="s">
        <v>477</v>
      </c>
      <c r="D1305" s="256" t="s">
        <v>1060</v>
      </c>
      <c r="E1305" s="256" t="s">
        <v>1314</v>
      </c>
      <c r="F1305" s="195">
        <v>74739500</v>
      </c>
      <c r="G1305" s="195">
        <v>74739500</v>
      </c>
      <c r="H1305" s="143" t="str">
        <f t="shared" si="20"/>
        <v>14011100000000</v>
      </c>
    </row>
    <row r="1306" spans="1:8" ht="76.5" x14ac:dyDescent="0.2">
      <c r="A1306" s="190" t="s">
        <v>1566</v>
      </c>
      <c r="B1306" s="256" t="s">
        <v>221</v>
      </c>
      <c r="C1306" s="256" t="s">
        <v>477</v>
      </c>
      <c r="D1306" s="256" t="s">
        <v>1061</v>
      </c>
      <c r="E1306" s="256" t="s">
        <v>1314</v>
      </c>
      <c r="F1306" s="195">
        <v>74739500</v>
      </c>
      <c r="G1306" s="195">
        <v>74739500</v>
      </c>
      <c r="H1306" s="143" t="str">
        <f t="shared" si="20"/>
        <v>14011110000000</v>
      </c>
    </row>
    <row r="1307" spans="1:8" ht="165.75" x14ac:dyDescent="0.2">
      <c r="A1307" s="190" t="s">
        <v>1573</v>
      </c>
      <c r="B1307" s="256" t="s">
        <v>221</v>
      </c>
      <c r="C1307" s="256" t="s">
        <v>477</v>
      </c>
      <c r="D1307" s="256" t="s">
        <v>858</v>
      </c>
      <c r="E1307" s="256" t="s">
        <v>1314</v>
      </c>
      <c r="F1307" s="195">
        <v>34224500</v>
      </c>
      <c r="G1307" s="195">
        <v>34224500</v>
      </c>
      <c r="H1307" s="143" t="str">
        <f t="shared" si="20"/>
        <v>14011110076010</v>
      </c>
    </row>
    <row r="1308" spans="1:8" x14ac:dyDescent="0.2">
      <c r="A1308" s="190" t="s">
        <v>1512</v>
      </c>
      <c r="B1308" s="256" t="s">
        <v>221</v>
      </c>
      <c r="C1308" s="256" t="s">
        <v>477</v>
      </c>
      <c r="D1308" s="256" t="s">
        <v>858</v>
      </c>
      <c r="E1308" s="256" t="s">
        <v>1513</v>
      </c>
      <c r="F1308" s="195">
        <v>34224500</v>
      </c>
      <c r="G1308" s="195">
        <v>34224500</v>
      </c>
      <c r="H1308" s="143" t="str">
        <f t="shared" si="20"/>
        <v>14011110076010500</v>
      </c>
    </row>
    <row r="1309" spans="1:8" x14ac:dyDescent="0.2">
      <c r="A1309" s="190" t="s">
        <v>1350</v>
      </c>
      <c r="B1309" s="256" t="s">
        <v>221</v>
      </c>
      <c r="C1309" s="256" t="s">
        <v>477</v>
      </c>
      <c r="D1309" s="256" t="s">
        <v>858</v>
      </c>
      <c r="E1309" s="256" t="s">
        <v>1351</v>
      </c>
      <c r="F1309" s="195">
        <v>34224500</v>
      </c>
      <c r="G1309" s="195">
        <v>34224500</v>
      </c>
      <c r="H1309" s="143" t="str">
        <f t="shared" si="20"/>
        <v>14011110076010510</v>
      </c>
    </row>
    <row r="1310" spans="1:8" ht="25.5" x14ac:dyDescent="0.2">
      <c r="A1310" s="190" t="s">
        <v>590</v>
      </c>
      <c r="B1310" s="256" t="s">
        <v>221</v>
      </c>
      <c r="C1310" s="256" t="s">
        <v>477</v>
      </c>
      <c r="D1310" s="256" t="s">
        <v>858</v>
      </c>
      <c r="E1310" s="256" t="s">
        <v>478</v>
      </c>
      <c r="F1310" s="195">
        <v>34224500</v>
      </c>
      <c r="G1310" s="195">
        <v>34224500</v>
      </c>
      <c r="H1310" s="143" t="str">
        <f t="shared" si="20"/>
        <v>14011110076010511</v>
      </c>
    </row>
    <row r="1311" spans="1:8" ht="127.5" x14ac:dyDescent="0.2">
      <c r="A1311" s="190" t="s">
        <v>582</v>
      </c>
      <c r="B1311" s="256" t="s">
        <v>221</v>
      </c>
      <c r="C1311" s="256" t="s">
        <v>477</v>
      </c>
      <c r="D1311" s="256" t="s">
        <v>859</v>
      </c>
      <c r="E1311" s="256" t="s">
        <v>1314</v>
      </c>
      <c r="F1311" s="195">
        <v>40515000</v>
      </c>
      <c r="G1311" s="195">
        <v>40515000</v>
      </c>
      <c r="H1311" s="143" t="str">
        <f t="shared" si="20"/>
        <v>14011110080130</v>
      </c>
    </row>
    <row r="1312" spans="1:8" x14ac:dyDescent="0.2">
      <c r="A1312" s="190" t="s">
        <v>1512</v>
      </c>
      <c r="B1312" s="256" t="s">
        <v>221</v>
      </c>
      <c r="C1312" s="256" t="s">
        <v>477</v>
      </c>
      <c r="D1312" s="256" t="s">
        <v>859</v>
      </c>
      <c r="E1312" s="256" t="s">
        <v>1513</v>
      </c>
      <c r="F1312" s="195">
        <v>40515000</v>
      </c>
      <c r="G1312" s="195">
        <v>40515000</v>
      </c>
      <c r="H1312" s="143" t="str">
        <f t="shared" si="20"/>
        <v>14011110080130500</v>
      </c>
    </row>
    <row r="1313" spans="1:8" x14ac:dyDescent="0.2">
      <c r="A1313" s="256" t="s">
        <v>1350</v>
      </c>
      <c r="B1313" s="256" t="s">
        <v>221</v>
      </c>
      <c r="C1313" s="256" t="s">
        <v>477</v>
      </c>
      <c r="D1313" s="256" t="s">
        <v>859</v>
      </c>
      <c r="E1313" s="256" t="s">
        <v>1351</v>
      </c>
      <c r="F1313" s="195">
        <v>40515000</v>
      </c>
      <c r="G1313" s="195">
        <v>40515000</v>
      </c>
      <c r="H1313" s="143" t="str">
        <f t="shared" si="20"/>
        <v>14011110080130510</v>
      </c>
    </row>
    <row r="1314" spans="1:8" x14ac:dyDescent="0.2">
      <c r="A1314" s="256" t="s">
        <v>590</v>
      </c>
      <c r="B1314" s="256" t="s">
        <v>221</v>
      </c>
      <c r="C1314" s="256" t="s">
        <v>477</v>
      </c>
      <c r="D1314" s="256" t="s">
        <v>859</v>
      </c>
      <c r="E1314" s="256" t="s">
        <v>478</v>
      </c>
      <c r="F1314" s="195">
        <v>40515000</v>
      </c>
      <c r="G1314" s="195">
        <v>40515000</v>
      </c>
      <c r="H1314" s="143" t="str">
        <f t="shared" si="20"/>
        <v>14011110080130511</v>
      </c>
    </row>
    <row r="1315" spans="1:8" ht="25.5" x14ac:dyDescent="0.2">
      <c r="A1315" s="190" t="s">
        <v>267</v>
      </c>
      <c r="B1315" s="256" t="s">
        <v>221</v>
      </c>
      <c r="C1315" s="256" t="s">
        <v>479</v>
      </c>
      <c r="D1315" s="256" t="s">
        <v>1314</v>
      </c>
      <c r="E1315" s="256" t="s">
        <v>1314</v>
      </c>
      <c r="F1315" s="195">
        <v>28250000</v>
      </c>
      <c r="G1315" s="195">
        <v>28250000</v>
      </c>
    </row>
    <row r="1316" spans="1:8" ht="38.25" x14ac:dyDescent="0.2">
      <c r="A1316" s="190" t="s">
        <v>1563</v>
      </c>
      <c r="B1316" s="256" t="s">
        <v>221</v>
      </c>
      <c r="C1316" s="256" t="s">
        <v>479</v>
      </c>
      <c r="D1316" s="256" t="s">
        <v>1060</v>
      </c>
      <c r="E1316" s="256" t="s">
        <v>1314</v>
      </c>
      <c r="F1316" s="195">
        <v>28250000</v>
      </c>
      <c r="G1316" s="195">
        <v>28250000</v>
      </c>
    </row>
    <row r="1317" spans="1:8" ht="76.5" x14ac:dyDescent="0.2">
      <c r="A1317" s="190" t="s">
        <v>1566</v>
      </c>
      <c r="B1317" s="256" t="s">
        <v>221</v>
      </c>
      <c r="C1317" s="256" t="s">
        <v>479</v>
      </c>
      <c r="D1317" s="256" t="s">
        <v>1061</v>
      </c>
      <c r="E1317" s="256" t="s">
        <v>1314</v>
      </c>
      <c r="F1317" s="195">
        <v>28250000</v>
      </c>
      <c r="G1317" s="195">
        <v>28250000</v>
      </c>
    </row>
    <row r="1318" spans="1:8" ht="140.25" x14ac:dyDescent="0.2">
      <c r="A1318" s="190" t="s">
        <v>1702</v>
      </c>
      <c r="B1318" s="256" t="s">
        <v>221</v>
      </c>
      <c r="C1318" s="256" t="s">
        <v>479</v>
      </c>
      <c r="D1318" s="256" t="s">
        <v>860</v>
      </c>
      <c r="E1318" s="256" t="s">
        <v>1314</v>
      </c>
      <c r="F1318" s="195">
        <v>28250000</v>
      </c>
      <c r="G1318" s="195">
        <v>28250000</v>
      </c>
    </row>
    <row r="1319" spans="1:8" x14ac:dyDescent="0.2">
      <c r="A1319" s="190" t="s">
        <v>1512</v>
      </c>
      <c r="B1319" s="256" t="s">
        <v>221</v>
      </c>
      <c r="C1319" s="256" t="s">
        <v>479</v>
      </c>
      <c r="D1319" s="256" t="s">
        <v>860</v>
      </c>
      <c r="E1319" s="256" t="s">
        <v>1513</v>
      </c>
      <c r="F1319" s="195">
        <v>28250000</v>
      </c>
      <c r="G1319" s="195">
        <v>28250000</v>
      </c>
    </row>
    <row r="1320" spans="1:8" x14ac:dyDescent="0.2">
      <c r="A1320" s="190" t="s">
        <v>72</v>
      </c>
      <c r="B1320" s="256" t="s">
        <v>221</v>
      </c>
      <c r="C1320" s="256" t="s">
        <v>479</v>
      </c>
      <c r="D1320" s="256" t="s">
        <v>860</v>
      </c>
      <c r="E1320" s="256" t="s">
        <v>470</v>
      </c>
      <c r="F1320" s="195">
        <v>28250000</v>
      </c>
      <c r="G1320" s="195">
        <v>28250000</v>
      </c>
    </row>
    <row r="1321" spans="1:8" x14ac:dyDescent="0.2">
      <c r="A1321" s="190" t="s">
        <v>2105</v>
      </c>
      <c r="B1321" s="256"/>
      <c r="C1321" s="256"/>
      <c r="D1321" s="256"/>
      <c r="E1321" s="256"/>
      <c r="F1321" s="195">
        <v>28000000</v>
      </c>
      <c r="G1321" s="195">
        <v>58500000</v>
      </c>
    </row>
  </sheetData>
  <autoFilter ref="A6:I1321"/>
  <mergeCells count="7">
    <mergeCell ref="A1:G1"/>
    <mergeCell ref="A2:G2"/>
    <mergeCell ref="A3:G3"/>
    <mergeCell ref="G5:G6"/>
    <mergeCell ref="A5:A6"/>
    <mergeCell ref="B5:E5"/>
    <mergeCell ref="F5:F6"/>
  </mergeCells>
  <pageMargins left="0.70866141732283472" right="0.31496062992125984" top="0.74803149606299213" bottom="0.74803149606299213" header="0.31496062992125984" footer="0.31496062992125984"/>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00B0F0"/>
  </sheetPr>
  <dimension ref="A1:D58"/>
  <sheetViews>
    <sheetView topLeftCell="A2" zoomScaleNormal="100" workbookViewId="0">
      <selection activeCell="D25" sqref="D25"/>
    </sheetView>
  </sheetViews>
  <sheetFormatPr defaultRowHeight="12.75" x14ac:dyDescent="0.2"/>
  <cols>
    <col min="1" max="1" width="50.7109375" style="3" customWidth="1"/>
    <col min="2" max="2" width="8.140625" style="3" customWidth="1"/>
    <col min="3" max="3" width="11" style="3" customWidth="1"/>
    <col min="4" max="4" width="18.42578125" style="3" customWidth="1"/>
    <col min="5" max="16384" width="9.140625" style="3"/>
  </cols>
  <sheetData>
    <row r="1" spans="1:4" ht="51" hidden="1" customHeight="1" x14ac:dyDescent="0.2">
      <c r="A1" s="444" t="str">
        <f>"Приложение №"&amp;Н2фун&amp;"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c r="C1" s="444"/>
      <c r="D1" s="444"/>
    </row>
    <row r="2" spans="1:4" ht="47.25" customHeight="1" x14ac:dyDescent="0.2">
      <c r="A2" s="444" t="str">
        <f>"Приложение "&amp;Н1фун&amp;" к решению
Богучанского районного Совета депутатов
от "&amp;Р1дата&amp;" года №"&amp;Р1номер</f>
        <v>Приложение 7 к решению
Богучанского районного Совета депутатов
от  04.12.2020 года №5/1-16</v>
      </c>
      <c r="B2" s="444"/>
      <c r="C2" s="444"/>
      <c r="D2" s="444"/>
    </row>
    <row r="3" spans="1:4" ht="64.5" customHeight="1" x14ac:dyDescent="0.25">
      <c r="A3" s="443" t="str">
        <f>"Распределение бюджетных ассигнований по разделам и подразделам бюджетной классификации расходов бюджетов Российской Федерации  на "&amp;год&amp;" год"</f>
        <v>Распределение бюджетных ассигнований по разделам и подразделам бюджетной классификации расходов бюджетов Российской Федерации  на 2021 год</v>
      </c>
      <c r="B3" s="443"/>
      <c r="C3" s="443"/>
      <c r="D3" s="443"/>
    </row>
    <row r="4" spans="1:4" x14ac:dyDescent="0.2">
      <c r="D4" s="8" t="s">
        <v>73</v>
      </c>
    </row>
    <row r="5" spans="1:4" ht="12.75" customHeight="1" x14ac:dyDescent="0.2">
      <c r="A5" s="479" t="s">
        <v>1519</v>
      </c>
      <c r="B5" s="480" t="s">
        <v>184</v>
      </c>
      <c r="C5" s="481"/>
      <c r="D5" s="479" t="s">
        <v>1417</v>
      </c>
    </row>
    <row r="6" spans="1:4" x14ac:dyDescent="0.2">
      <c r="A6" s="479"/>
      <c r="B6" s="219" t="s">
        <v>1077</v>
      </c>
      <c r="C6" s="219" t="s">
        <v>249</v>
      </c>
      <c r="D6" s="479"/>
    </row>
    <row r="7" spans="1:4" s="11" customFormat="1" x14ac:dyDescent="0.2">
      <c r="A7" s="415" t="s">
        <v>694</v>
      </c>
      <c r="B7" s="416" t="s">
        <v>1314</v>
      </c>
      <c r="C7" s="293" t="s">
        <v>1314</v>
      </c>
      <c r="D7" s="294">
        <v>2325163267</v>
      </c>
    </row>
    <row r="8" spans="1:4" x14ac:dyDescent="0.2">
      <c r="A8" s="415" t="s">
        <v>250</v>
      </c>
      <c r="B8" s="416" t="s">
        <v>138</v>
      </c>
      <c r="C8" s="293" t="s">
        <v>134</v>
      </c>
      <c r="D8" s="294">
        <v>167560360</v>
      </c>
    </row>
    <row r="9" spans="1:4" ht="38.25" x14ac:dyDescent="0.2">
      <c r="A9" s="210" t="s">
        <v>1489</v>
      </c>
      <c r="B9" s="295" t="s">
        <v>138</v>
      </c>
      <c r="C9" s="296" t="s">
        <v>239</v>
      </c>
      <c r="D9" s="297">
        <v>2569341</v>
      </c>
    </row>
    <row r="10" spans="1:4" ht="51" x14ac:dyDescent="0.2">
      <c r="A10" s="210" t="s">
        <v>71</v>
      </c>
      <c r="B10" s="295" t="s">
        <v>138</v>
      </c>
      <c r="C10" s="296" t="s">
        <v>251</v>
      </c>
      <c r="D10" s="297">
        <v>7075198</v>
      </c>
    </row>
    <row r="11" spans="1:4" ht="51" x14ac:dyDescent="0.2">
      <c r="A11" s="210" t="s">
        <v>252</v>
      </c>
      <c r="B11" s="295" t="s">
        <v>138</v>
      </c>
      <c r="C11" s="296" t="s">
        <v>253</v>
      </c>
      <c r="D11" s="297">
        <v>63896375</v>
      </c>
    </row>
    <row r="12" spans="1:4" x14ac:dyDescent="0.2">
      <c r="A12" s="210" t="s">
        <v>1333</v>
      </c>
      <c r="B12" s="295" t="s">
        <v>138</v>
      </c>
      <c r="C12" s="296" t="s">
        <v>243</v>
      </c>
      <c r="D12" s="297">
        <v>22100</v>
      </c>
    </row>
    <row r="13" spans="1:4" ht="38.25" x14ac:dyDescent="0.2">
      <c r="A13" s="210" t="s">
        <v>232</v>
      </c>
      <c r="B13" s="295" t="s">
        <v>138</v>
      </c>
      <c r="C13" s="296" t="s">
        <v>244</v>
      </c>
      <c r="D13" s="297">
        <v>21098286</v>
      </c>
    </row>
    <row r="14" spans="1:4" x14ac:dyDescent="0.2">
      <c r="A14" s="210" t="s">
        <v>62</v>
      </c>
      <c r="B14" s="295" t="s">
        <v>138</v>
      </c>
      <c r="C14" s="296" t="s">
        <v>29</v>
      </c>
      <c r="D14" s="297">
        <v>2000000</v>
      </c>
    </row>
    <row r="15" spans="1:4" x14ac:dyDescent="0.2">
      <c r="A15" s="210" t="s">
        <v>233</v>
      </c>
      <c r="B15" s="295" t="s">
        <v>138</v>
      </c>
      <c r="C15" s="296" t="s">
        <v>75</v>
      </c>
      <c r="D15" s="297">
        <v>70899060</v>
      </c>
    </row>
    <row r="16" spans="1:4" x14ac:dyDescent="0.2">
      <c r="A16" s="210" t="s">
        <v>200</v>
      </c>
      <c r="B16" s="295" t="s">
        <v>239</v>
      </c>
      <c r="C16" s="296" t="s">
        <v>134</v>
      </c>
      <c r="D16" s="297">
        <v>4948600</v>
      </c>
    </row>
    <row r="17" spans="1:4" x14ac:dyDescent="0.2">
      <c r="A17" s="415" t="s">
        <v>201</v>
      </c>
      <c r="B17" s="416" t="s">
        <v>239</v>
      </c>
      <c r="C17" s="293" t="s">
        <v>251</v>
      </c>
      <c r="D17" s="294">
        <v>4948600</v>
      </c>
    </row>
    <row r="18" spans="1:4" ht="25.5" x14ac:dyDescent="0.2">
      <c r="A18" s="210" t="s">
        <v>254</v>
      </c>
      <c r="B18" s="295" t="s">
        <v>251</v>
      </c>
      <c r="C18" s="296" t="s">
        <v>134</v>
      </c>
      <c r="D18" s="297">
        <v>35175104</v>
      </c>
    </row>
    <row r="19" spans="1:4" x14ac:dyDescent="0.2">
      <c r="A19" s="415" t="s">
        <v>2028</v>
      </c>
      <c r="B19" s="416" t="s">
        <v>251</v>
      </c>
      <c r="C19" s="293" t="s">
        <v>28</v>
      </c>
      <c r="D19" s="294">
        <v>4259557</v>
      </c>
    </row>
    <row r="20" spans="1:4" ht="38.25" x14ac:dyDescent="0.2">
      <c r="A20" s="210" t="s">
        <v>2032</v>
      </c>
      <c r="B20" s="295" t="s">
        <v>251</v>
      </c>
      <c r="C20" s="296" t="s">
        <v>205</v>
      </c>
      <c r="D20" s="297">
        <v>30915547</v>
      </c>
    </row>
    <row r="21" spans="1:4" x14ac:dyDescent="0.2">
      <c r="A21" s="210" t="s">
        <v>190</v>
      </c>
      <c r="B21" s="295" t="s">
        <v>253</v>
      </c>
      <c r="C21" s="296" t="s">
        <v>134</v>
      </c>
      <c r="D21" s="297">
        <v>105270100</v>
      </c>
    </row>
    <row r="22" spans="1:4" x14ac:dyDescent="0.2">
      <c r="A22" s="415" t="s">
        <v>191</v>
      </c>
      <c r="B22" s="416" t="s">
        <v>253</v>
      </c>
      <c r="C22" s="293" t="s">
        <v>243</v>
      </c>
      <c r="D22" s="294">
        <v>1757900</v>
      </c>
    </row>
    <row r="23" spans="1:4" x14ac:dyDescent="0.2">
      <c r="A23" s="210" t="s">
        <v>1963</v>
      </c>
      <c r="B23" s="295" t="s">
        <v>253</v>
      </c>
      <c r="C23" s="296" t="s">
        <v>24</v>
      </c>
      <c r="D23" s="297">
        <v>2047000</v>
      </c>
    </row>
    <row r="24" spans="1:4" x14ac:dyDescent="0.2">
      <c r="A24" s="210" t="s">
        <v>192</v>
      </c>
      <c r="B24" s="295" t="s">
        <v>253</v>
      </c>
      <c r="C24" s="296" t="s">
        <v>33</v>
      </c>
      <c r="D24" s="297">
        <v>64042200</v>
      </c>
    </row>
    <row r="25" spans="1:4" x14ac:dyDescent="0.2">
      <c r="A25" s="210" t="s">
        <v>269</v>
      </c>
      <c r="B25" s="295" t="s">
        <v>253</v>
      </c>
      <c r="C25" s="296" t="s">
        <v>28</v>
      </c>
      <c r="D25" s="297">
        <v>35167000</v>
      </c>
    </row>
    <row r="26" spans="1:4" x14ac:dyDescent="0.2">
      <c r="A26" s="210" t="s">
        <v>152</v>
      </c>
      <c r="B26" s="295" t="s">
        <v>253</v>
      </c>
      <c r="C26" s="296" t="s">
        <v>212</v>
      </c>
      <c r="D26" s="297">
        <v>2256000</v>
      </c>
    </row>
    <row r="27" spans="1:4" x14ac:dyDescent="0.2">
      <c r="A27" s="210" t="s">
        <v>255</v>
      </c>
      <c r="B27" s="295" t="s">
        <v>243</v>
      </c>
      <c r="C27" s="296" t="s">
        <v>134</v>
      </c>
      <c r="D27" s="297">
        <v>238897387</v>
      </c>
    </row>
    <row r="28" spans="1:4" x14ac:dyDescent="0.2">
      <c r="A28" s="415" t="s">
        <v>3</v>
      </c>
      <c r="B28" s="416" t="s">
        <v>243</v>
      </c>
      <c r="C28" s="293" t="s">
        <v>138</v>
      </c>
      <c r="D28" s="294">
        <v>1342955</v>
      </c>
    </row>
    <row r="29" spans="1:4" x14ac:dyDescent="0.2">
      <c r="A29" s="210" t="s">
        <v>153</v>
      </c>
      <c r="B29" s="295" t="s">
        <v>243</v>
      </c>
      <c r="C29" s="296" t="s">
        <v>239</v>
      </c>
      <c r="D29" s="297">
        <v>230058516</v>
      </c>
    </row>
    <row r="30" spans="1:4" x14ac:dyDescent="0.2">
      <c r="A30" s="210" t="s">
        <v>39</v>
      </c>
      <c r="B30" s="295" t="s">
        <v>243</v>
      </c>
      <c r="C30" s="296" t="s">
        <v>251</v>
      </c>
      <c r="D30" s="297">
        <v>1869040</v>
      </c>
    </row>
    <row r="31" spans="1:4" ht="25.5" x14ac:dyDescent="0.2">
      <c r="A31" s="210" t="s">
        <v>158</v>
      </c>
      <c r="B31" s="295" t="s">
        <v>243</v>
      </c>
      <c r="C31" s="296" t="s">
        <v>243</v>
      </c>
      <c r="D31" s="297">
        <v>5626876</v>
      </c>
    </row>
    <row r="32" spans="1:4" x14ac:dyDescent="0.2">
      <c r="A32" s="210" t="s">
        <v>1938</v>
      </c>
      <c r="B32" s="295" t="s">
        <v>244</v>
      </c>
      <c r="C32" s="296" t="s">
        <v>134</v>
      </c>
      <c r="D32" s="297">
        <v>1401500</v>
      </c>
    </row>
    <row r="33" spans="1:4" ht="25.5" x14ac:dyDescent="0.2">
      <c r="A33" s="415" t="s">
        <v>2042</v>
      </c>
      <c r="B33" s="416" t="s">
        <v>244</v>
      </c>
      <c r="C33" s="293" t="s">
        <v>251</v>
      </c>
      <c r="D33" s="294">
        <v>1151500</v>
      </c>
    </row>
    <row r="34" spans="1:4" x14ac:dyDescent="0.2">
      <c r="A34" s="210" t="s">
        <v>1940</v>
      </c>
      <c r="B34" s="295" t="s">
        <v>244</v>
      </c>
      <c r="C34" s="296" t="s">
        <v>243</v>
      </c>
      <c r="D34" s="297">
        <v>250000</v>
      </c>
    </row>
    <row r="35" spans="1:4" x14ac:dyDescent="0.2">
      <c r="A35" s="415" t="s">
        <v>147</v>
      </c>
      <c r="B35" s="416" t="s">
        <v>24</v>
      </c>
      <c r="C35" s="293" t="s">
        <v>134</v>
      </c>
      <c r="D35" s="294">
        <v>1337796081</v>
      </c>
    </row>
    <row r="36" spans="1:4" x14ac:dyDescent="0.2">
      <c r="A36" s="210" t="s">
        <v>159</v>
      </c>
      <c r="B36" s="295" t="s">
        <v>24</v>
      </c>
      <c r="C36" s="296" t="s">
        <v>138</v>
      </c>
      <c r="D36" s="297">
        <v>426827443</v>
      </c>
    </row>
    <row r="37" spans="1:4" x14ac:dyDescent="0.2">
      <c r="A37" s="210" t="s">
        <v>160</v>
      </c>
      <c r="B37" s="295" t="s">
        <v>24</v>
      </c>
      <c r="C37" s="296" t="s">
        <v>239</v>
      </c>
      <c r="D37" s="297">
        <v>698671463</v>
      </c>
    </row>
    <row r="38" spans="1:4" x14ac:dyDescent="0.2">
      <c r="A38" s="210" t="s">
        <v>1147</v>
      </c>
      <c r="B38" s="295" t="s">
        <v>24</v>
      </c>
      <c r="C38" s="296" t="s">
        <v>251</v>
      </c>
      <c r="D38" s="297">
        <v>97462100</v>
      </c>
    </row>
    <row r="39" spans="1:4" x14ac:dyDescent="0.2">
      <c r="A39" s="210" t="s">
        <v>1145</v>
      </c>
      <c r="B39" s="295" t="s">
        <v>24</v>
      </c>
      <c r="C39" s="296" t="s">
        <v>24</v>
      </c>
      <c r="D39" s="297">
        <v>31624361</v>
      </c>
    </row>
    <row r="40" spans="1:4" x14ac:dyDescent="0.2">
      <c r="A40" s="210" t="s">
        <v>4</v>
      </c>
      <c r="B40" s="295" t="s">
        <v>24</v>
      </c>
      <c r="C40" s="296" t="s">
        <v>28</v>
      </c>
      <c r="D40" s="297">
        <v>83210714</v>
      </c>
    </row>
    <row r="41" spans="1:4" x14ac:dyDescent="0.2">
      <c r="A41" s="415" t="s">
        <v>266</v>
      </c>
      <c r="B41" s="416" t="s">
        <v>33</v>
      </c>
      <c r="C41" s="293" t="s">
        <v>134</v>
      </c>
      <c r="D41" s="294">
        <v>215597616</v>
      </c>
    </row>
    <row r="42" spans="1:4" x14ac:dyDescent="0.2">
      <c r="A42" s="210" t="s">
        <v>222</v>
      </c>
      <c r="B42" s="295" t="s">
        <v>33</v>
      </c>
      <c r="C42" s="296" t="s">
        <v>138</v>
      </c>
      <c r="D42" s="297">
        <v>136621367</v>
      </c>
    </row>
    <row r="43" spans="1:4" x14ac:dyDescent="0.2">
      <c r="A43" s="210" t="s">
        <v>0</v>
      </c>
      <c r="B43" s="295" t="s">
        <v>33</v>
      </c>
      <c r="C43" s="296" t="s">
        <v>253</v>
      </c>
      <c r="D43" s="297">
        <v>78976249</v>
      </c>
    </row>
    <row r="44" spans="1:4" x14ac:dyDescent="0.2">
      <c r="A44" s="415" t="s">
        <v>264</v>
      </c>
      <c r="B44" s="416" t="s">
        <v>28</v>
      </c>
      <c r="C44" s="293" t="s">
        <v>134</v>
      </c>
      <c r="D44" s="294">
        <v>94700</v>
      </c>
    </row>
    <row r="45" spans="1:4" x14ac:dyDescent="0.2">
      <c r="A45" s="210" t="s">
        <v>1235</v>
      </c>
      <c r="B45" s="295" t="s">
        <v>28</v>
      </c>
      <c r="C45" s="296" t="s">
        <v>28</v>
      </c>
      <c r="D45" s="297">
        <v>94700</v>
      </c>
    </row>
    <row r="46" spans="1:4" x14ac:dyDescent="0.2">
      <c r="A46" s="415" t="s">
        <v>148</v>
      </c>
      <c r="B46" s="416" t="s">
        <v>205</v>
      </c>
      <c r="C46" s="293" t="s">
        <v>134</v>
      </c>
      <c r="D46" s="294">
        <v>72626807</v>
      </c>
    </row>
    <row r="47" spans="1:4" x14ac:dyDescent="0.2">
      <c r="A47" s="210" t="s">
        <v>104</v>
      </c>
      <c r="B47" s="295" t="s">
        <v>205</v>
      </c>
      <c r="C47" s="296" t="s">
        <v>138</v>
      </c>
      <c r="D47" s="297">
        <v>2405107</v>
      </c>
    </row>
    <row r="48" spans="1:4" x14ac:dyDescent="0.2">
      <c r="A48" s="210" t="s">
        <v>105</v>
      </c>
      <c r="B48" s="295" t="s">
        <v>205</v>
      </c>
      <c r="C48" s="296" t="s">
        <v>251</v>
      </c>
      <c r="D48" s="297">
        <v>61201300</v>
      </c>
    </row>
    <row r="49" spans="1:4" x14ac:dyDescent="0.2">
      <c r="A49" s="210" t="s">
        <v>19</v>
      </c>
      <c r="B49" s="295" t="s">
        <v>205</v>
      </c>
      <c r="C49" s="296" t="s">
        <v>253</v>
      </c>
      <c r="D49" s="297">
        <v>8114100</v>
      </c>
    </row>
    <row r="50" spans="1:4" x14ac:dyDescent="0.2">
      <c r="A50" s="210" t="s">
        <v>65</v>
      </c>
      <c r="B50" s="295" t="s">
        <v>205</v>
      </c>
      <c r="C50" s="296" t="s">
        <v>244</v>
      </c>
      <c r="D50" s="297">
        <v>906300</v>
      </c>
    </row>
    <row r="51" spans="1:4" x14ac:dyDescent="0.2">
      <c r="A51" s="415" t="s">
        <v>265</v>
      </c>
      <c r="B51" s="416" t="s">
        <v>29</v>
      </c>
      <c r="C51" s="293" t="s">
        <v>134</v>
      </c>
      <c r="D51" s="294">
        <v>15788072</v>
      </c>
    </row>
    <row r="52" spans="1:4" x14ac:dyDescent="0.2">
      <c r="A52" s="210" t="s">
        <v>1384</v>
      </c>
      <c r="B52" s="295" t="s">
        <v>29</v>
      </c>
      <c r="C52" s="296" t="s">
        <v>138</v>
      </c>
      <c r="D52" s="297">
        <v>14840842</v>
      </c>
    </row>
    <row r="53" spans="1:4" x14ac:dyDescent="0.2">
      <c r="A53" s="210" t="s">
        <v>226</v>
      </c>
      <c r="B53" s="295" t="s">
        <v>29</v>
      </c>
      <c r="C53" s="296" t="s">
        <v>239</v>
      </c>
      <c r="D53" s="297">
        <v>947230</v>
      </c>
    </row>
    <row r="54" spans="1:4" ht="25.5" x14ac:dyDescent="0.2">
      <c r="A54" s="415" t="s">
        <v>2106</v>
      </c>
      <c r="B54" s="416" t="s">
        <v>75</v>
      </c>
      <c r="C54" s="293" t="s">
        <v>134</v>
      </c>
      <c r="D54" s="294">
        <v>2740</v>
      </c>
    </row>
    <row r="55" spans="1:4" ht="25.5" x14ac:dyDescent="0.2">
      <c r="A55" s="210" t="s">
        <v>2108</v>
      </c>
      <c r="B55" s="295" t="s">
        <v>75</v>
      </c>
      <c r="C55" s="296" t="s">
        <v>138</v>
      </c>
      <c r="D55" s="297">
        <v>2740</v>
      </c>
    </row>
    <row r="56" spans="1:4" ht="40.5" customHeight="1" x14ac:dyDescent="0.2">
      <c r="A56" s="415" t="s">
        <v>1236</v>
      </c>
      <c r="B56" s="416" t="s">
        <v>77</v>
      </c>
      <c r="C56" s="293" t="s">
        <v>134</v>
      </c>
      <c r="D56" s="294">
        <v>130004200</v>
      </c>
    </row>
    <row r="57" spans="1:4" ht="38.25" x14ac:dyDescent="0.2">
      <c r="A57" s="52" t="s">
        <v>227</v>
      </c>
      <c r="B57" s="5" t="s">
        <v>77</v>
      </c>
      <c r="C57" s="5" t="s">
        <v>138</v>
      </c>
      <c r="D57" s="195">
        <v>93434200</v>
      </c>
    </row>
    <row r="58" spans="1:4" x14ac:dyDescent="0.2">
      <c r="A58" s="52" t="s">
        <v>267</v>
      </c>
      <c r="B58" s="5" t="s">
        <v>77</v>
      </c>
      <c r="C58" s="5" t="s">
        <v>251</v>
      </c>
      <c r="D58" s="195">
        <v>36570000</v>
      </c>
    </row>
  </sheetData>
  <autoFilter ref="A6:D55"/>
  <mergeCells count="6">
    <mergeCell ref="A1:D1"/>
    <mergeCell ref="A2:D2"/>
    <mergeCell ref="A3:D3"/>
    <mergeCell ref="A5:A6"/>
    <mergeCell ref="B5:C5"/>
    <mergeCell ref="D5:D6"/>
  </mergeCells>
  <phoneticPr fontId="0" type="noConversion"/>
  <pageMargins left="0.78740157480314965" right="0.23622047244094491" top="0.19685039370078741" bottom="0.19685039370078741" header="0.15748031496062992" footer="0.15748031496062992"/>
  <pageSetup paperSize="9" scale="95"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57"/>
  <sheetViews>
    <sheetView topLeftCell="A2" zoomScaleNormal="100" workbookViewId="0">
      <selection activeCell="E18" sqref="E18"/>
    </sheetView>
  </sheetViews>
  <sheetFormatPr defaultRowHeight="12.75" x14ac:dyDescent="0.2"/>
  <cols>
    <col min="1" max="1" width="40.85546875" style="3" customWidth="1"/>
    <col min="2" max="2" width="9" style="3" customWidth="1"/>
    <col min="3" max="3" width="7.5703125" style="3" customWidth="1"/>
    <col min="4" max="4" width="20.140625" style="3" customWidth="1"/>
    <col min="5" max="5" width="20.140625" style="19" customWidth="1"/>
    <col min="6" max="6" width="9.140625" style="3"/>
    <col min="7" max="7" width="19.28515625" style="3" customWidth="1"/>
    <col min="8" max="16384" width="9.140625" style="3"/>
  </cols>
  <sheetData>
    <row r="1" spans="1:7" ht="45" hidden="1" customHeight="1" x14ac:dyDescent="0.2">
      <c r="A1" s="444" t="str">
        <f>"Приложение №"&amp;Н2фун1&amp;" к решению
Богучанского районного Совета депутатов
от "&amp;Р2дата&amp;" года №"&amp;Р2номер</f>
        <v>Приложение № к решению
Богучанского районного Совета депутатов
от 04.12.2020 года №5/1-16</v>
      </c>
      <c r="B1" s="444"/>
      <c r="C1" s="444"/>
      <c r="D1" s="444"/>
      <c r="E1" s="444"/>
    </row>
    <row r="2" spans="1:7" ht="47.25" customHeight="1" x14ac:dyDescent="0.2">
      <c r="A2" s="444" t="str">
        <f>"Приложение "&amp;Н1фун1&amp;" к решению
Богучанского районного Совета депутатов
от "&amp;Р1дата&amp;" года №"&amp;Р1номер</f>
        <v>Приложение 8 к решению
Богучанского районного Совета депутатов
от  04.12.2020 года №5/1-16</v>
      </c>
      <c r="B2" s="444"/>
      <c r="C2" s="444"/>
      <c r="D2" s="444"/>
      <c r="E2" s="444"/>
    </row>
    <row r="3" spans="1:7" ht="65.25" customHeight="1" x14ac:dyDescent="0.25">
      <c r="A3" s="443" t="str">
        <f>"Распределение  бюджетных ассигнований по разделам и подразделам бюджетной классификации расходов бюджетов Российской Федерации  на  плановый период "&amp;ПлПер&amp;" годов"</f>
        <v>Распределение  бюджетных ассигнований по разделам и подразделам бюджетной классификации расходов бюджетов Российской Федерации  на  плановый период 2022-2023 годов</v>
      </c>
      <c r="B3" s="443"/>
      <c r="C3" s="443"/>
      <c r="D3" s="443"/>
      <c r="E3" s="443"/>
      <c r="G3" s="176"/>
    </row>
    <row r="4" spans="1:7" x14ac:dyDescent="0.2">
      <c r="E4" s="8" t="s">
        <v>73</v>
      </c>
    </row>
    <row r="5" spans="1:7" ht="12.75" customHeight="1" x14ac:dyDescent="0.2">
      <c r="A5" s="479" t="s">
        <v>248</v>
      </c>
      <c r="B5" s="482" t="s">
        <v>184</v>
      </c>
      <c r="C5" s="482"/>
      <c r="D5" s="479" t="s">
        <v>1523</v>
      </c>
      <c r="E5" s="479" t="s">
        <v>2082</v>
      </c>
    </row>
    <row r="6" spans="1:7" ht="25.5" customHeight="1" x14ac:dyDescent="0.2">
      <c r="A6" s="479"/>
      <c r="B6" s="288" t="s">
        <v>1077</v>
      </c>
      <c r="C6" s="52" t="s">
        <v>249</v>
      </c>
      <c r="D6" s="479"/>
      <c r="E6" s="479"/>
    </row>
    <row r="7" spans="1:7" s="11" customFormat="1" x14ac:dyDescent="0.2">
      <c r="A7" s="417" t="s">
        <v>1337</v>
      </c>
      <c r="B7" s="418" t="s">
        <v>1314</v>
      </c>
      <c r="C7" s="419" t="s">
        <v>1314</v>
      </c>
      <c r="D7" s="420">
        <f>2197637720+D57</f>
        <v>2225637720</v>
      </c>
      <c r="E7" s="420">
        <f>2216506420+E57</f>
        <v>2275006420</v>
      </c>
    </row>
    <row r="8" spans="1:7" x14ac:dyDescent="0.2">
      <c r="A8" s="52" t="s">
        <v>250</v>
      </c>
      <c r="B8" s="52" t="s">
        <v>138</v>
      </c>
      <c r="C8" s="136" t="s">
        <v>134</v>
      </c>
      <c r="D8" s="372">
        <v>117431300</v>
      </c>
      <c r="E8" s="372">
        <v>146588300</v>
      </c>
    </row>
    <row r="9" spans="1:7" ht="38.25" x14ac:dyDescent="0.2">
      <c r="A9" s="52" t="s">
        <v>1489</v>
      </c>
      <c r="B9" s="52" t="s">
        <v>138</v>
      </c>
      <c r="C9" s="135" t="s">
        <v>239</v>
      </c>
      <c r="D9" s="372">
        <v>2569341</v>
      </c>
      <c r="E9" s="372">
        <v>2569341</v>
      </c>
    </row>
    <row r="10" spans="1:7" ht="51" x14ac:dyDescent="0.2">
      <c r="A10" s="52" t="s">
        <v>71</v>
      </c>
      <c r="B10" s="52" t="s">
        <v>138</v>
      </c>
      <c r="C10" s="135" t="s">
        <v>251</v>
      </c>
      <c r="D10" s="372">
        <v>7075198</v>
      </c>
      <c r="E10" s="372">
        <v>7075198</v>
      </c>
    </row>
    <row r="11" spans="1:7" ht="63.75" x14ac:dyDescent="0.2">
      <c r="A11" s="52" t="s">
        <v>252</v>
      </c>
      <c r="B11" s="52" t="s">
        <v>138</v>
      </c>
      <c r="C11" s="135" t="s">
        <v>253</v>
      </c>
      <c r="D11" s="372">
        <v>63896375</v>
      </c>
      <c r="E11" s="372">
        <v>63896375</v>
      </c>
    </row>
    <row r="12" spans="1:7" x14ac:dyDescent="0.2">
      <c r="A12" s="52" t="s">
        <v>1333</v>
      </c>
      <c r="B12" s="52" t="s">
        <v>138</v>
      </c>
      <c r="C12" s="135" t="s">
        <v>243</v>
      </c>
      <c r="D12" s="372">
        <v>172900</v>
      </c>
      <c r="E12" s="373">
        <v>0</v>
      </c>
    </row>
    <row r="13" spans="1:7" ht="51" x14ac:dyDescent="0.2">
      <c r="A13" s="52" t="s">
        <v>232</v>
      </c>
      <c r="B13" s="52" t="s">
        <v>138</v>
      </c>
      <c r="C13" s="135" t="s">
        <v>244</v>
      </c>
      <c r="D13" s="372">
        <v>21098286</v>
      </c>
      <c r="E13" s="373">
        <v>21098286</v>
      </c>
    </row>
    <row r="14" spans="1:7" x14ac:dyDescent="0.2">
      <c r="A14" s="52" t="s">
        <v>62</v>
      </c>
      <c r="B14" s="52" t="s">
        <v>138</v>
      </c>
      <c r="C14" s="136" t="s">
        <v>29</v>
      </c>
      <c r="D14" s="372">
        <v>2000000</v>
      </c>
      <c r="E14" s="373">
        <v>2000000</v>
      </c>
    </row>
    <row r="15" spans="1:7" x14ac:dyDescent="0.2">
      <c r="A15" s="52" t="s">
        <v>233</v>
      </c>
      <c r="B15" s="52" t="s">
        <v>138</v>
      </c>
      <c r="C15" s="136" t="s">
        <v>75</v>
      </c>
      <c r="D15" s="372">
        <v>20619200</v>
      </c>
      <c r="E15" s="373">
        <v>49949100</v>
      </c>
    </row>
    <row r="16" spans="1:7" x14ac:dyDescent="0.2">
      <c r="A16" s="151" t="s">
        <v>200</v>
      </c>
      <c r="B16" s="151" t="s">
        <v>239</v>
      </c>
      <c r="C16" s="135" t="s">
        <v>134</v>
      </c>
      <c r="D16" s="372">
        <v>5097000</v>
      </c>
      <c r="E16" s="373">
        <v>0</v>
      </c>
    </row>
    <row r="17" spans="1:5" ht="25.5" x14ac:dyDescent="0.2">
      <c r="A17" s="52" t="s">
        <v>201</v>
      </c>
      <c r="B17" s="52" t="s">
        <v>239</v>
      </c>
      <c r="C17" s="135" t="s">
        <v>251</v>
      </c>
      <c r="D17" s="372">
        <v>5097000</v>
      </c>
      <c r="E17" s="373">
        <v>0</v>
      </c>
    </row>
    <row r="18" spans="1:5" ht="25.5" x14ac:dyDescent="0.2">
      <c r="A18" s="52" t="s">
        <v>254</v>
      </c>
      <c r="B18" s="52" t="s">
        <v>251</v>
      </c>
      <c r="C18" s="136" t="s">
        <v>134</v>
      </c>
      <c r="D18" s="372">
        <v>35175104</v>
      </c>
      <c r="E18" s="373">
        <v>35175104</v>
      </c>
    </row>
    <row r="19" spans="1:5" x14ac:dyDescent="0.2">
      <c r="A19" s="52" t="s">
        <v>2028</v>
      </c>
      <c r="B19" s="52" t="s">
        <v>251</v>
      </c>
      <c r="C19" s="135" t="s">
        <v>28</v>
      </c>
      <c r="D19" s="372">
        <v>4259557</v>
      </c>
      <c r="E19" s="373">
        <v>4259557</v>
      </c>
    </row>
    <row r="20" spans="1:5" ht="51" x14ac:dyDescent="0.2">
      <c r="A20" s="52" t="s">
        <v>2032</v>
      </c>
      <c r="B20" s="52" t="s">
        <v>251</v>
      </c>
      <c r="C20" s="135" t="s">
        <v>205</v>
      </c>
      <c r="D20" s="372">
        <v>30915547</v>
      </c>
      <c r="E20" s="373">
        <v>30915547</v>
      </c>
    </row>
    <row r="21" spans="1:5" x14ac:dyDescent="0.2">
      <c r="A21" s="52" t="s">
        <v>190</v>
      </c>
      <c r="B21" s="52" t="s">
        <v>253</v>
      </c>
      <c r="C21" s="135" t="s">
        <v>134</v>
      </c>
      <c r="D21" s="372">
        <v>70905500</v>
      </c>
      <c r="E21" s="373">
        <v>71270000</v>
      </c>
    </row>
    <row r="22" spans="1:5" x14ac:dyDescent="0.2">
      <c r="A22" s="51" t="s">
        <v>191</v>
      </c>
      <c r="B22" s="51" t="s">
        <v>253</v>
      </c>
      <c r="C22" s="136" t="s">
        <v>243</v>
      </c>
      <c r="D22" s="372">
        <v>1761700</v>
      </c>
      <c r="E22" s="373">
        <v>1768600</v>
      </c>
    </row>
    <row r="23" spans="1:5" x14ac:dyDescent="0.2">
      <c r="A23" s="52" t="s">
        <v>1963</v>
      </c>
      <c r="B23" s="52" t="s">
        <v>253</v>
      </c>
      <c r="C23" s="136" t="s">
        <v>24</v>
      </c>
      <c r="D23" s="372">
        <v>1887000</v>
      </c>
      <c r="E23" s="373">
        <v>1887000</v>
      </c>
    </row>
    <row r="24" spans="1:5" x14ac:dyDescent="0.2">
      <c r="A24" s="52" t="s">
        <v>192</v>
      </c>
      <c r="B24" s="52" t="s">
        <v>253</v>
      </c>
      <c r="C24" s="135" t="s">
        <v>33</v>
      </c>
      <c r="D24" s="372">
        <v>30390000</v>
      </c>
      <c r="E24" s="373">
        <v>30390000</v>
      </c>
    </row>
    <row r="25" spans="1:5" x14ac:dyDescent="0.2">
      <c r="A25" s="52" t="s">
        <v>269</v>
      </c>
      <c r="B25" s="52" t="s">
        <v>253</v>
      </c>
      <c r="C25" s="135" t="s">
        <v>28</v>
      </c>
      <c r="D25" s="372">
        <v>35510800</v>
      </c>
      <c r="E25" s="373">
        <v>35868400</v>
      </c>
    </row>
    <row r="26" spans="1:5" ht="25.5" x14ac:dyDescent="0.2">
      <c r="A26" s="52" t="s">
        <v>152</v>
      </c>
      <c r="B26" s="52" t="s">
        <v>253</v>
      </c>
      <c r="C26" s="135" t="s">
        <v>212</v>
      </c>
      <c r="D26" s="372">
        <v>1356000</v>
      </c>
      <c r="E26" s="373">
        <v>1356000</v>
      </c>
    </row>
    <row r="27" spans="1:5" x14ac:dyDescent="0.2">
      <c r="A27" s="52" t="s">
        <v>255</v>
      </c>
      <c r="B27" s="52" t="s">
        <v>243</v>
      </c>
      <c r="C27" s="135" t="s">
        <v>134</v>
      </c>
      <c r="D27" s="372">
        <v>232423231</v>
      </c>
      <c r="E27" s="373">
        <v>251959431</v>
      </c>
    </row>
    <row r="28" spans="1:5" x14ac:dyDescent="0.2">
      <c r="A28" s="52" t="s">
        <v>3</v>
      </c>
      <c r="B28" s="52" t="s">
        <v>243</v>
      </c>
      <c r="C28" s="136" t="s">
        <v>138</v>
      </c>
      <c r="D28" s="372">
        <v>792955</v>
      </c>
      <c r="E28" s="373">
        <v>20329155</v>
      </c>
    </row>
    <row r="29" spans="1:5" x14ac:dyDescent="0.2">
      <c r="A29" s="52" t="s">
        <v>153</v>
      </c>
      <c r="B29" s="52" t="s">
        <v>243</v>
      </c>
      <c r="C29" s="135" t="s">
        <v>239</v>
      </c>
      <c r="D29" s="374">
        <v>226003400</v>
      </c>
      <c r="E29" s="374">
        <v>226003400</v>
      </c>
    </row>
    <row r="30" spans="1:5" ht="25.5" x14ac:dyDescent="0.2">
      <c r="A30" s="52" t="s">
        <v>158</v>
      </c>
      <c r="B30" s="52" t="s">
        <v>243</v>
      </c>
      <c r="C30" s="52" t="s">
        <v>243</v>
      </c>
      <c r="D30" s="375">
        <v>5626876</v>
      </c>
      <c r="E30" s="375">
        <v>5626876</v>
      </c>
    </row>
    <row r="31" spans="1:5" x14ac:dyDescent="0.2">
      <c r="A31" s="52" t="s">
        <v>1938</v>
      </c>
      <c r="B31" s="52" t="s">
        <v>244</v>
      </c>
      <c r="C31" s="173" t="s">
        <v>134</v>
      </c>
      <c r="D31" s="375">
        <v>1151500</v>
      </c>
      <c r="E31" s="375">
        <v>1151500</v>
      </c>
    </row>
    <row r="32" spans="1:5" ht="25.5" x14ac:dyDescent="0.2">
      <c r="A32" s="52" t="s">
        <v>2042</v>
      </c>
      <c r="B32" s="52" t="s">
        <v>244</v>
      </c>
      <c r="C32" s="52" t="s">
        <v>251</v>
      </c>
      <c r="D32" s="375">
        <v>1151500</v>
      </c>
      <c r="E32" s="375">
        <v>1151500</v>
      </c>
    </row>
    <row r="33" spans="1:5" x14ac:dyDescent="0.2">
      <c r="A33" s="52" t="s">
        <v>147</v>
      </c>
      <c r="B33" s="52" t="s">
        <v>24</v>
      </c>
      <c r="C33" s="52" t="s">
        <v>134</v>
      </c>
      <c r="D33" s="375">
        <v>1338316550</v>
      </c>
      <c r="E33" s="375">
        <v>1328386050</v>
      </c>
    </row>
    <row r="34" spans="1:5" x14ac:dyDescent="0.2">
      <c r="A34" s="52" t="s">
        <v>159</v>
      </c>
      <c r="B34" s="52" t="s">
        <v>24</v>
      </c>
      <c r="C34" s="173" t="s">
        <v>138</v>
      </c>
      <c r="D34" s="375">
        <v>425879258</v>
      </c>
      <c r="E34" s="375">
        <v>425903858</v>
      </c>
    </row>
    <row r="35" spans="1:5" x14ac:dyDescent="0.2">
      <c r="A35" s="52" t="s">
        <v>160</v>
      </c>
      <c r="B35" s="52" t="s">
        <v>24</v>
      </c>
      <c r="C35" s="52" t="s">
        <v>239</v>
      </c>
      <c r="D35" s="375">
        <v>700103017</v>
      </c>
      <c r="E35" s="375">
        <v>690147917</v>
      </c>
    </row>
    <row r="36" spans="1:5" x14ac:dyDescent="0.2">
      <c r="A36" s="52" t="s">
        <v>1147</v>
      </c>
      <c r="B36" s="52" t="s">
        <v>24</v>
      </c>
      <c r="C36" s="173" t="s">
        <v>251</v>
      </c>
      <c r="D36" s="375">
        <v>97462100</v>
      </c>
      <c r="E36" s="375">
        <v>97462100</v>
      </c>
    </row>
    <row r="37" spans="1:5" x14ac:dyDescent="0.2">
      <c r="A37" s="52" t="s">
        <v>1145</v>
      </c>
      <c r="B37" s="52" t="s">
        <v>24</v>
      </c>
      <c r="C37" s="173" t="s">
        <v>24</v>
      </c>
      <c r="D37" s="375">
        <v>31661461</v>
      </c>
      <c r="E37" s="375">
        <v>31661461</v>
      </c>
    </row>
    <row r="38" spans="1:5" x14ac:dyDescent="0.2">
      <c r="A38" s="52" t="s">
        <v>4</v>
      </c>
      <c r="B38" s="52" t="s">
        <v>24</v>
      </c>
      <c r="C38" s="52" t="s">
        <v>28</v>
      </c>
      <c r="D38" s="375">
        <v>83210714</v>
      </c>
      <c r="E38" s="375">
        <v>83210714</v>
      </c>
    </row>
    <row r="39" spans="1:5" x14ac:dyDescent="0.2">
      <c r="A39" s="52" t="s">
        <v>266</v>
      </c>
      <c r="B39" s="52" t="s">
        <v>33</v>
      </c>
      <c r="C39" s="173" t="s">
        <v>134</v>
      </c>
      <c r="D39" s="375">
        <v>213847616</v>
      </c>
      <c r="E39" s="375">
        <v>213847616</v>
      </c>
    </row>
    <row r="40" spans="1:5" x14ac:dyDescent="0.2">
      <c r="A40" s="52" t="s">
        <v>222</v>
      </c>
      <c r="B40" s="52" t="s">
        <v>33</v>
      </c>
      <c r="C40" s="52" t="s">
        <v>138</v>
      </c>
      <c r="D40" s="375">
        <v>134871367</v>
      </c>
      <c r="E40" s="375">
        <v>134871367</v>
      </c>
    </row>
    <row r="41" spans="1:5" ht="25.5" x14ac:dyDescent="0.2">
      <c r="A41" s="52" t="s">
        <v>0</v>
      </c>
      <c r="B41" s="52" t="s">
        <v>33</v>
      </c>
      <c r="C41" s="52" t="s">
        <v>253</v>
      </c>
      <c r="D41" s="375">
        <v>78976249</v>
      </c>
      <c r="E41" s="375">
        <v>78976249</v>
      </c>
    </row>
    <row r="42" spans="1:5" x14ac:dyDescent="0.2">
      <c r="A42" s="52" t="s">
        <v>264</v>
      </c>
      <c r="B42" s="52" t="s">
        <v>28</v>
      </c>
      <c r="C42" s="173" t="s">
        <v>134</v>
      </c>
      <c r="D42" s="375">
        <v>94700</v>
      </c>
      <c r="E42" s="375">
        <v>94700</v>
      </c>
    </row>
    <row r="43" spans="1:5" x14ac:dyDescent="0.2">
      <c r="A43" s="52" t="s">
        <v>1235</v>
      </c>
      <c r="B43" s="52" t="s">
        <v>28</v>
      </c>
      <c r="C43" s="52" t="s">
        <v>28</v>
      </c>
      <c r="D43" s="375">
        <v>94700</v>
      </c>
      <c r="E43" s="375">
        <v>94700</v>
      </c>
    </row>
    <row r="44" spans="1:5" x14ac:dyDescent="0.2">
      <c r="A44" s="52" t="s">
        <v>148</v>
      </c>
      <c r="B44" s="52" t="s">
        <v>205</v>
      </c>
      <c r="C44" s="173" t="s">
        <v>134</v>
      </c>
      <c r="D44" s="375">
        <v>64414907</v>
      </c>
      <c r="E44" s="375">
        <v>49253407</v>
      </c>
    </row>
    <row r="45" spans="1:5" x14ac:dyDescent="0.2">
      <c r="A45" s="52" t="s">
        <v>104</v>
      </c>
      <c r="B45" s="52" t="s">
        <v>205</v>
      </c>
      <c r="C45" s="173" t="s">
        <v>138</v>
      </c>
      <c r="D45" s="375">
        <v>2405107</v>
      </c>
      <c r="E45" s="375">
        <v>2405107</v>
      </c>
    </row>
    <row r="46" spans="1:5" x14ac:dyDescent="0.2">
      <c r="A46" s="52" t="s">
        <v>105</v>
      </c>
      <c r="B46" s="52" t="s">
        <v>205</v>
      </c>
      <c r="C46" s="52" t="s">
        <v>251</v>
      </c>
      <c r="D46" s="375">
        <v>56492300</v>
      </c>
      <c r="E46" s="375">
        <v>38992600</v>
      </c>
    </row>
    <row r="47" spans="1:5" x14ac:dyDescent="0.2">
      <c r="A47" s="52" t="s">
        <v>19</v>
      </c>
      <c r="B47" s="52" t="s">
        <v>205</v>
      </c>
      <c r="C47" s="173" t="s">
        <v>253</v>
      </c>
      <c r="D47" s="375">
        <v>4611200</v>
      </c>
      <c r="E47" s="375">
        <v>6949400</v>
      </c>
    </row>
    <row r="48" spans="1:5" ht="25.5" x14ac:dyDescent="0.2">
      <c r="A48" s="52" t="s">
        <v>65</v>
      </c>
      <c r="B48" s="52" t="s">
        <v>205</v>
      </c>
      <c r="C48" s="173" t="s">
        <v>244</v>
      </c>
      <c r="D48" s="308">
        <v>906300</v>
      </c>
      <c r="E48" s="309">
        <v>906300</v>
      </c>
    </row>
    <row r="49" spans="1:5" x14ac:dyDescent="0.2">
      <c r="A49" s="52" t="s">
        <v>265</v>
      </c>
      <c r="B49" s="52" t="s">
        <v>29</v>
      </c>
      <c r="C49" s="182" t="s">
        <v>134</v>
      </c>
      <c r="D49" s="308">
        <v>15788072</v>
      </c>
      <c r="E49" s="309">
        <v>15788072</v>
      </c>
    </row>
    <row r="50" spans="1:5" x14ac:dyDescent="0.2">
      <c r="A50" s="52" t="s">
        <v>1384</v>
      </c>
      <c r="B50" s="52" t="s">
        <v>29</v>
      </c>
      <c r="C50" s="5" t="s">
        <v>138</v>
      </c>
      <c r="D50" s="308">
        <v>14840842</v>
      </c>
      <c r="E50" s="309">
        <v>14840842</v>
      </c>
    </row>
    <row r="51" spans="1:5" x14ac:dyDescent="0.2">
      <c r="A51" s="52" t="s">
        <v>226</v>
      </c>
      <c r="B51" s="52" t="s">
        <v>29</v>
      </c>
      <c r="C51" s="5" t="s">
        <v>239</v>
      </c>
      <c r="D51" s="308">
        <v>947230</v>
      </c>
      <c r="E51" s="309">
        <v>947230</v>
      </c>
    </row>
    <row r="52" spans="1:5" ht="25.5" x14ac:dyDescent="0.2">
      <c r="A52" s="52" t="s">
        <v>2106</v>
      </c>
      <c r="B52" s="5" t="s">
        <v>75</v>
      </c>
      <c r="C52" s="5" t="s">
        <v>134</v>
      </c>
      <c r="D52" s="308">
        <v>2740</v>
      </c>
      <c r="E52" s="309">
        <v>2740</v>
      </c>
    </row>
    <row r="53" spans="1:5" ht="25.5" x14ac:dyDescent="0.2">
      <c r="A53" s="52" t="s">
        <v>2108</v>
      </c>
      <c r="B53" s="5" t="s">
        <v>75</v>
      </c>
      <c r="C53" s="5" t="s">
        <v>138</v>
      </c>
      <c r="D53" s="308">
        <v>2740</v>
      </c>
      <c r="E53" s="309">
        <v>2740</v>
      </c>
    </row>
    <row r="54" spans="1:5" x14ac:dyDescent="0.2">
      <c r="A54" s="5" t="s">
        <v>1236</v>
      </c>
      <c r="B54" s="5" t="s">
        <v>77</v>
      </c>
      <c r="C54" s="5" t="s">
        <v>134</v>
      </c>
      <c r="D54" s="163">
        <v>102989500</v>
      </c>
      <c r="E54" s="163">
        <v>102989500</v>
      </c>
    </row>
    <row r="55" spans="1:5" x14ac:dyDescent="0.2">
      <c r="A55" s="5" t="s">
        <v>227</v>
      </c>
      <c r="B55" s="5" t="s">
        <v>77</v>
      </c>
      <c r="C55" s="5" t="s">
        <v>138</v>
      </c>
      <c r="D55" s="195">
        <v>74739500</v>
      </c>
      <c r="E55" s="291">
        <v>74739500</v>
      </c>
    </row>
    <row r="56" spans="1:5" x14ac:dyDescent="0.2">
      <c r="A56" s="5" t="s">
        <v>267</v>
      </c>
      <c r="B56" s="5" t="s">
        <v>77</v>
      </c>
      <c r="C56" s="5" t="s">
        <v>251</v>
      </c>
      <c r="D56" s="195">
        <v>28250000</v>
      </c>
      <c r="E56" s="196">
        <v>28250000</v>
      </c>
    </row>
    <row r="57" spans="1:5" x14ac:dyDescent="0.2">
      <c r="A57" s="5" t="s">
        <v>2105</v>
      </c>
      <c r="B57" s="5"/>
      <c r="C57" s="5"/>
      <c r="D57" s="195">
        <v>28000000</v>
      </c>
      <c r="E57" s="196">
        <v>58500000</v>
      </c>
    </row>
  </sheetData>
  <autoFilter ref="A6:E54"/>
  <mergeCells count="7">
    <mergeCell ref="B5:C5"/>
    <mergeCell ref="A1:E1"/>
    <mergeCell ref="D5:D6"/>
    <mergeCell ref="A2:E2"/>
    <mergeCell ref="A3:E3"/>
    <mergeCell ref="A5:A6"/>
    <mergeCell ref="E5:E6"/>
  </mergeCells>
  <pageMargins left="0.70866141732283472" right="0.31496062992125984" top="0.35433070866141736" bottom="0.35433070866141736"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152</vt:i4>
      </vt:variant>
    </vt:vector>
  </HeadingPairs>
  <TitlesOfParts>
    <vt:vector size="189" baseType="lpstr">
      <vt:lpstr>Деф</vt:lpstr>
      <vt:lpstr>АдмДох</vt:lpstr>
      <vt:lpstr>АдмИст</vt:lpstr>
      <vt:lpstr>Норм</vt:lpstr>
      <vt:lpstr>Дох </vt:lpstr>
      <vt:lpstr>Вед21</vt:lpstr>
      <vt:lpstr>вед 22-23</vt:lpstr>
      <vt:lpstr>Фун21</vt:lpstr>
      <vt:lpstr>Фун 22-23</vt:lpstr>
      <vt:lpstr>ЦСР 21</vt:lpstr>
      <vt:lpstr>ЦСР 22-23</vt:lpstr>
      <vt:lpstr>публ</vt:lpstr>
      <vt:lpstr>пов зп 06</vt:lpstr>
      <vt:lpstr>благ</vt:lpstr>
      <vt:lpstr>налог п</vt:lpstr>
      <vt:lpstr>уч УДС</vt:lpstr>
      <vt:lpstr>благ м</vt:lpstr>
      <vt:lpstr>Полн</vt:lpstr>
      <vt:lpstr>сбал</vt:lpstr>
      <vt:lpstr>ФФП</vt:lpstr>
      <vt:lpstr>Молод</vt:lpstr>
      <vt:lpstr>адм к</vt:lpstr>
      <vt:lpstr>ВУС</vt:lpstr>
      <vt:lpstr>ак</vt:lpstr>
      <vt:lpstr>Заим</vt:lpstr>
      <vt:lpstr>переч субс</vt:lpstr>
      <vt:lpstr>дороги с</vt:lpstr>
      <vt:lpstr>дороги к</vt:lpstr>
      <vt:lpstr>пожарка</vt:lpstr>
      <vt:lpstr>софин</vt:lpstr>
      <vt:lpstr>гор ср</vt:lpstr>
      <vt:lpstr>БДД</vt:lpstr>
      <vt:lpstr>пов зп 10</vt:lpstr>
      <vt:lpstr>рег вып</vt:lpstr>
      <vt:lpstr>спр</vt:lpstr>
      <vt:lpstr>Лист1</vt:lpstr>
      <vt:lpstr>Лист2</vt:lpstr>
      <vt:lpstr>H1благ</vt:lpstr>
      <vt:lpstr>H1благмалое</vt:lpstr>
      <vt:lpstr>H1ДК</vt:lpstr>
      <vt:lpstr>H1зппов</vt:lpstr>
      <vt:lpstr>H1пожар</vt:lpstr>
      <vt:lpstr>H1потенциал</vt:lpstr>
      <vt:lpstr>H1УДС</vt:lpstr>
      <vt:lpstr>H2благ</vt:lpstr>
      <vt:lpstr>H2благмалое</vt:lpstr>
      <vt:lpstr>H2ДК</vt:lpstr>
      <vt:lpstr>H2зппов</vt:lpstr>
      <vt:lpstr>H2пожар</vt:lpstr>
      <vt:lpstr>H2потенциал</vt:lpstr>
      <vt:lpstr>H2УДС</vt:lpstr>
      <vt:lpstr>АдмДох!год</vt:lpstr>
      <vt:lpstr>год</vt:lpstr>
      <vt:lpstr>'адм к'!Заголовки_для_печати</vt:lpstr>
      <vt:lpstr>АдмДох!Заголовки_для_печати</vt:lpstr>
      <vt:lpstr>АдмИст!Заголовки_для_печати</vt:lpstr>
      <vt:lpstr>'вед 22-23'!Заголовки_для_печати</vt:lpstr>
      <vt:lpstr>Вед21!Заголовки_для_печати</vt:lpstr>
      <vt:lpstr>ВУС!Заголовки_для_печати</vt:lpstr>
      <vt:lpstr>Деф!Заголовки_для_печати</vt:lpstr>
      <vt:lpstr>'Дох '!Заголовки_для_печати</vt:lpstr>
      <vt:lpstr>Молод!Заголовки_для_печати</vt:lpstr>
      <vt:lpstr>Полн!Заголовки_для_печати</vt:lpstr>
      <vt:lpstr>Фун21!Заголовки_для_печати</vt:lpstr>
      <vt:lpstr>ФФП!Заголовки_для_печати</vt:lpstr>
      <vt:lpstr>'ЦСР 21'!Заголовки_для_печати</vt:lpstr>
      <vt:lpstr>АдмДох!квр13</vt:lpstr>
      <vt:lpstr>квр13</vt:lpstr>
      <vt:lpstr>АдмДох!кврПлПер</vt:lpstr>
      <vt:lpstr>кврПлПер</vt:lpstr>
      <vt:lpstr>АдмДох!Н1адох</vt:lpstr>
      <vt:lpstr>Н1адох</vt:lpstr>
      <vt:lpstr>АдмДох!Н1аист</vt:lpstr>
      <vt:lpstr>Н1аист</vt:lpstr>
      <vt:lpstr>Н1акк</vt:lpstr>
      <vt:lpstr>Н1благ</vt:lpstr>
      <vt:lpstr>АдмДох!Н1вед</vt:lpstr>
      <vt:lpstr>Н1вед</vt:lpstr>
      <vt:lpstr>АдмДох!Н1вед1</vt:lpstr>
      <vt:lpstr>Н1вед1</vt:lpstr>
      <vt:lpstr>Н1вод</vt:lpstr>
      <vt:lpstr>АдмДох!Н1вус</vt:lpstr>
      <vt:lpstr>Н1вус</vt:lpstr>
      <vt:lpstr>Н1гранты</vt:lpstr>
      <vt:lpstr>АдмДох!Н1деф</vt:lpstr>
      <vt:lpstr>Н1деф</vt:lpstr>
      <vt:lpstr>Н1Дор</vt:lpstr>
      <vt:lpstr>Н1доркап</vt:lpstr>
      <vt:lpstr>Н1Дороги</vt:lpstr>
      <vt:lpstr>АдмДох!Н1дох</vt:lpstr>
      <vt:lpstr>Н1дох</vt:lpstr>
      <vt:lpstr>Н1займ</vt:lpstr>
      <vt:lpstr>Н1ком</vt:lpstr>
      <vt:lpstr>Н1метвус</vt:lpstr>
      <vt:lpstr>Н1мин</vt:lpstr>
      <vt:lpstr>Н1мол</vt:lpstr>
      <vt:lpstr>Н1Норм</vt:lpstr>
      <vt:lpstr>Н1Перес</vt:lpstr>
      <vt:lpstr>Н1Пересел</vt:lpstr>
      <vt:lpstr>Н1пож</vt:lpstr>
      <vt:lpstr>Н1пожар</vt:lpstr>
      <vt:lpstr>Н1пол</vt:lpstr>
      <vt:lpstr>Н1поощ</vt:lpstr>
      <vt:lpstr>Н1потенц</vt:lpstr>
      <vt:lpstr>АдмДох!Н1Публ</vt:lpstr>
      <vt:lpstr>Н1Публ</vt:lpstr>
      <vt:lpstr>Н1сбал</vt:lpstr>
      <vt:lpstr>Н1софин</vt:lpstr>
      <vt:lpstr>Н1фун</vt:lpstr>
      <vt:lpstr>Н1фун1</vt:lpstr>
      <vt:lpstr>АдмДох!Н1ффп</vt:lpstr>
      <vt:lpstr>Н1ффп</vt:lpstr>
      <vt:lpstr>Н1цср</vt:lpstr>
      <vt:lpstr>Н1цср1</vt:lpstr>
      <vt:lpstr>Н2адох</vt:lpstr>
      <vt:lpstr>Н2аист</vt:lpstr>
      <vt:lpstr>Н2акк</vt:lpstr>
      <vt:lpstr>Н2благ</vt:lpstr>
      <vt:lpstr>Н2вед</vt:lpstr>
      <vt:lpstr>Н2вед1</vt:lpstr>
      <vt:lpstr>Н2вод</vt:lpstr>
      <vt:lpstr>Н2вус</vt:lpstr>
      <vt:lpstr>Н2гранты</vt:lpstr>
      <vt:lpstr>Н2деф</vt:lpstr>
      <vt:lpstr>Н2дор</vt:lpstr>
      <vt:lpstr>Н2доркап</vt:lpstr>
      <vt:lpstr>Н2Дороги</vt:lpstr>
      <vt:lpstr>Н2дох</vt:lpstr>
      <vt:lpstr>Н2займ</vt:lpstr>
      <vt:lpstr>Н2ком</vt:lpstr>
      <vt:lpstr>Н2метвус</vt:lpstr>
      <vt:lpstr>Н2мин</vt:lpstr>
      <vt:lpstr>Н2мол</vt:lpstr>
      <vt:lpstr>Н2Норм</vt:lpstr>
      <vt:lpstr>Н2Перес</vt:lpstr>
      <vt:lpstr>Н2Пересел</vt:lpstr>
      <vt:lpstr>Н2пож</vt:lpstr>
      <vt:lpstr>Н2пожар</vt:lpstr>
      <vt:lpstr>Н2пол</vt:lpstr>
      <vt:lpstr>Н2поощ</vt:lpstr>
      <vt:lpstr>Н2потенц</vt:lpstr>
      <vt:lpstr>Н2публ</vt:lpstr>
      <vt:lpstr>Н2сбал</vt:lpstr>
      <vt:lpstr>Н2софин</vt:lpstr>
      <vt:lpstr>Н2фун</vt:lpstr>
      <vt:lpstr>Н2фун1</vt:lpstr>
      <vt:lpstr>Н2ффп</vt:lpstr>
      <vt:lpstr>Н2цср</vt:lpstr>
      <vt:lpstr>Н2цср1</vt:lpstr>
      <vt:lpstr>Надох</vt:lpstr>
      <vt:lpstr>'адм к'!Область_печати</vt:lpstr>
      <vt:lpstr>АдмДох!Область_печати</vt:lpstr>
      <vt:lpstr>АдмИст!Область_печати</vt:lpstr>
      <vt:lpstr>ак!Область_печати</vt:lpstr>
      <vt:lpstr>БДД!Область_печати</vt:lpstr>
      <vt:lpstr>'вед 22-23'!Область_печати</vt:lpstr>
      <vt:lpstr>Вед21!Область_печати</vt:lpstr>
      <vt:lpstr>ВУС!Область_печати</vt:lpstr>
      <vt:lpstr>'гор ср'!Область_печати</vt:lpstr>
      <vt:lpstr>Деф!Область_печати</vt:lpstr>
      <vt:lpstr>'Дох '!Область_печати</vt:lpstr>
      <vt:lpstr>Заим!Область_печати</vt:lpstr>
      <vt:lpstr>Молод!Область_печати</vt:lpstr>
      <vt:lpstr>пожарка!Область_печати</vt:lpstr>
      <vt:lpstr>Полн!Область_печати</vt:lpstr>
      <vt:lpstr>публ!Область_печати</vt:lpstr>
      <vt:lpstr>сбал!Область_печати</vt:lpstr>
      <vt:lpstr>Фун21!Область_печати</vt:lpstr>
      <vt:lpstr>ФФП!Область_печати</vt:lpstr>
      <vt:lpstr>АдмДох!ПлПер</vt:lpstr>
      <vt:lpstr>ПлПер</vt:lpstr>
      <vt:lpstr>АдмДох!Р1дата</vt:lpstr>
      <vt:lpstr>Р1дата</vt:lpstr>
      <vt:lpstr>АдмДох!Р1номер</vt:lpstr>
      <vt:lpstr>Р1номер</vt:lpstr>
      <vt:lpstr>Р2дата</vt:lpstr>
      <vt:lpstr>Р2номер</vt:lpstr>
      <vt:lpstr>АдмДох!РзПз</vt:lpstr>
      <vt:lpstr>РзПз</vt:lpstr>
      <vt:lpstr>АдмДох!РзПзПлПер</vt:lpstr>
      <vt:lpstr>РзПзПлПер</vt:lpstr>
      <vt:lpstr>АдмДох!СумВед</vt:lpstr>
      <vt:lpstr>СумВед</vt:lpstr>
      <vt:lpstr>АдмДох!СумВед14</vt:lpstr>
      <vt:lpstr>СумВед14</vt:lpstr>
      <vt:lpstr>АдмДох!СумВед15</vt:lpstr>
      <vt:lpstr>СумВед15</vt:lpstr>
      <vt:lpstr>цср</vt:lpstr>
      <vt:lpstr>цср1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Adminn</dc:creator>
  <cp:lastModifiedBy>User</cp:lastModifiedBy>
  <cp:lastPrinted>2020-12-08T01:35:37Z</cp:lastPrinted>
  <dcterms:created xsi:type="dcterms:W3CDTF">2009-03-19T02:39:24Z</dcterms:created>
  <dcterms:modified xsi:type="dcterms:W3CDTF">2020-12-08T01:36:31Z</dcterms:modified>
</cp:coreProperties>
</file>