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4670" windowHeight="9525" activeTab="3"/>
  </bookViews>
  <sheets>
    <sheet name="Расчет СОБОЛЬ 16 Новая форма  " sheetId="1" r:id="rId1"/>
    <sheet name="Расчет ДСО 16 Новая форма " sheetId="2" r:id="rId2"/>
    <sheet name="Расчет Лось 16 Новая форма" sheetId="3" r:id="rId3"/>
    <sheet name="Распределение квот 2016г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'Расчет ДСО 16 Новая форма '!$A$2:$W$118</definedName>
    <definedName name="_xlnm.Print_Area" localSheetId="2">'Расчет Лось 16 Новая форма'!$A$1:$Y$113</definedName>
    <definedName name="_xlnm.Print_Area" localSheetId="0">'Расчет СОБОЛЬ 16 Новая форма  '!$A$1:$AK$123</definedName>
  </definedNames>
  <calcPr fullCalcOnLoad="1"/>
</workbook>
</file>

<file path=xl/sharedStrings.xml><?xml version="1.0" encoding="utf-8"?>
<sst xmlns="http://schemas.openxmlformats.org/spreadsheetml/2006/main" count="595" uniqueCount="181">
  <si>
    <t>Ведомость расчета зверей</t>
  </si>
  <si>
    <t>Форма А - 4</t>
  </si>
  <si>
    <t>Магаданская область</t>
  </si>
  <si>
    <t>Вид:</t>
  </si>
  <si>
    <t>шт.</t>
  </si>
  <si>
    <t>Принято к обработке -</t>
  </si>
  <si>
    <t>Отнесено к браку -</t>
  </si>
  <si>
    <t xml:space="preserve">               Пересчетный коэффициент</t>
  </si>
  <si>
    <t>Норматив</t>
  </si>
  <si>
    <t>№</t>
  </si>
  <si>
    <t>Соболь</t>
  </si>
  <si>
    <t>Пользователь</t>
  </si>
  <si>
    <t>ООО "Тахтоямск"</t>
  </si>
  <si>
    <t>ООО "Прибр.рыболовная компания"</t>
  </si>
  <si>
    <t>ЗАО "Сев-Эвен.пром.комп."</t>
  </si>
  <si>
    <t>РОМН "Екчен"</t>
  </si>
  <si>
    <t>ООПТ "Малкачанская тундра" рег. зн.</t>
  </si>
  <si>
    <t>ООПТ "Одян" регионального значения</t>
  </si>
  <si>
    <r>
      <t>ООО "Кулу"</t>
    </r>
    <r>
      <rPr>
        <sz val="10"/>
        <rFont val="Arial"/>
        <family val="0"/>
      </rPr>
      <t xml:space="preserve"> - </t>
    </r>
    <r>
      <rPr>
        <i/>
        <sz val="10"/>
        <rFont val="Arial Cyr"/>
        <family val="0"/>
      </rPr>
      <t>3</t>
    </r>
  </si>
  <si>
    <t>МООООиР "Кречет"</t>
  </si>
  <si>
    <t>РОМН "Булун"</t>
  </si>
  <si>
    <t>ООПТ "Омолонский" регионального зн.</t>
  </si>
  <si>
    <t>ООПТ "Тайгонос" регионального зн.</t>
  </si>
  <si>
    <t>МООО "ООиР" Сусуманский"</t>
  </si>
  <si>
    <t>ООПТ "Хинике" регионального знач.</t>
  </si>
  <si>
    <t>ООО "Бахапча"</t>
  </si>
  <si>
    <t>МООО "ООиР" "Хасынский"</t>
  </si>
  <si>
    <t>МООО "ООиР" "Ягоднинский"</t>
  </si>
  <si>
    <t>Итого по Магаданской области</t>
  </si>
  <si>
    <t>РОМН "Аситкан"</t>
  </si>
  <si>
    <t>ИП Топалов А.И. Фактория таежная</t>
  </si>
  <si>
    <t>ИП Тимофеенко Бургагылкан</t>
  </si>
  <si>
    <t>ООО ГК "Океан"</t>
  </si>
  <si>
    <t>Общедоступные охот.угодья</t>
  </si>
  <si>
    <t>ООО Тайга участок № 1</t>
  </si>
  <si>
    <t>ИП Федюшин Р.Г.</t>
  </si>
  <si>
    <t>РОКМН и ЭГС Каньон</t>
  </si>
  <si>
    <t>РОКМНС Махаянга</t>
  </si>
  <si>
    <t>ИП Гарифулин</t>
  </si>
  <si>
    <t>ООПТ "Кавинская долина" рег. зн.</t>
  </si>
  <si>
    <t>Лось</t>
  </si>
  <si>
    <t>Число карточек</t>
  </si>
  <si>
    <t>ООО "Усть-Магаданский рыбозавод"</t>
  </si>
  <si>
    <t>ОДОУ Бургали</t>
  </si>
  <si>
    <t>ООО "Кривбасс"</t>
  </si>
  <si>
    <t>РОМН "Учак"</t>
  </si>
  <si>
    <t>экз.</t>
  </si>
  <si>
    <t>К добыче  3%</t>
  </si>
  <si>
    <t>минимальная численность на участок</t>
  </si>
  <si>
    <r>
      <t xml:space="preserve">РОКМНС Гижига </t>
    </r>
    <r>
      <rPr>
        <sz val="10"/>
        <rFont val="Arial Cyr"/>
        <family val="0"/>
      </rPr>
      <t>участок №1 Ахавеем</t>
    </r>
  </si>
  <si>
    <t>РОМН "Балыгычан"</t>
  </si>
  <si>
    <t>ООО "Север Спец Транс"</t>
  </si>
  <si>
    <t>ООО "ПрофМонтажСтрой"</t>
  </si>
  <si>
    <r>
      <t xml:space="preserve">ОДОУ </t>
    </r>
    <r>
      <rPr>
        <sz val="10"/>
        <rFont val="Arial Cyr"/>
        <family val="0"/>
      </rPr>
      <t>Ясачная</t>
    </r>
  </si>
  <si>
    <r>
      <t xml:space="preserve">ИП Пинчук </t>
    </r>
    <r>
      <rPr>
        <sz val="10"/>
        <rFont val="Arial Cyr"/>
        <family val="0"/>
      </rPr>
      <t>уч.Нелькоба</t>
    </r>
  </si>
  <si>
    <t>ООО "Маглан Сервис"</t>
  </si>
  <si>
    <t>МООО ООиР "Кулу"</t>
  </si>
  <si>
    <t>МООО ООиР "Детрин"</t>
  </si>
  <si>
    <t>ОДОУ Халанчига Студеная</t>
  </si>
  <si>
    <t>ОДОУ Сиглан</t>
  </si>
  <si>
    <r>
      <t>ООО Колыма-Трэвел</t>
    </r>
    <r>
      <rPr>
        <sz val="10"/>
        <rFont val="Arial"/>
        <family val="0"/>
      </rPr>
      <t xml:space="preserve"> Омолонский</t>
    </r>
  </si>
  <si>
    <t>ООО Колыма Трэвел Кегали</t>
  </si>
  <si>
    <t>ООО "С-Вост.Сервис" Участок Сиглан</t>
  </si>
  <si>
    <t>ООО "С-Вост.Сервис"Участок Средняя</t>
  </si>
  <si>
    <t>ОДОУ Дегдекан</t>
  </si>
  <si>
    <t>ОДОУ Ланковая</t>
  </si>
  <si>
    <t>ОДОУ Сугой</t>
  </si>
  <si>
    <t>ООО "Восточный рубеж"</t>
  </si>
  <si>
    <t>МБУ "КЗХ"</t>
  </si>
  <si>
    <t>ООО "МиС"</t>
  </si>
  <si>
    <t>2016 год</t>
  </si>
  <si>
    <t xml:space="preserve"> ОДОУ уч. Сивуч</t>
  </si>
  <si>
    <t>ОДОУ р. Яма, Маякан,Тахтояма</t>
  </si>
  <si>
    <t>ОДОУ р.Дулакан-р.Улиткан</t>
  </si>
  <si>
    <t>ИП Гарбуз</t>
  </si>
  <si>
    <t>ОДОУ Момолтыкис,Сеймкан,Яна</t>
  </si>
  <si>
    <t>ООО Экспедиция-Тур о. Завьялова</t>
  </si>
  <si>
    <t>ООО "Омсукчан-Транстехснаб"</t>
  </si>
  <si>
    <t>ООО"Экспедиция-Тур" уч."Вилига"</t>
  </si>
  <si>
    <t>ОДОУ "Академик"</t>
  </si>
  <si>
    <t xml:space="preserve"> ОДОУ Алы-Юрях,Токур-Юрях</t>
  </si>
  <si>
    <t>ОДОУ Правый Токур-Юрях</t>
  </si>
  <si>
    <t>МУП Фактория Кадар</t>
  </si>
  <si>
    <t>ООО "Рыбная компания" уч.№1</t>
  </si>
  <si>
    <t>ООО "Рыбная компания" уч.№2</t>
  </si>
  <si>
    <t>ООО "Кулу" уч. № 5</t>
  </si>
  <si>
    <t>ООО "Кулу" уч. № 4</t>
  </si>
  <si>
    <t>ИП Наумкина КФХ Ханчалан</t>
  </si>
  <si>
    <t>ООО "Кедон"</t>
  </si>
  <si>
    <t>ОДОУ</t>
  </si>
  <si>
    <t>ООО "Кей Эм Машинери</t>
  </si>
  <si>
    <t>ИП Гончаренко</t>
  </si>
  <si>
    <t>Дикий северный олень</t>
  </si>
  <si>
    <t>ООО "Кулу" уч. №1 Наслачан</t>
  </si>
  <si>
    <t>ООО "Кулу" уч. №2 Пьягино</t>
  </si>
  <si>
    <t>ООО "Кулу" ук. №6</t>
  </si>
  <si>
    <t>МООО "ООиР" уч. "Прибрежный"</t>
  </si>
  <si>
    <t>МООО "ООиР" уч. "Ольско-Танонский"</t>
  </si>
  <si>
    <t>МООО "ООиР" уч. "Верхне-Янский"</t>
  </si>
  <si>
    <t>МООО "ООиР" уч. "Уптарский"</t>
  </si>
  <si>
    <t>МООО "Хурэн"  уч. №1</t>
  </si>
  <si>
    <t>МООО "Хурэн" уч. №2</t>
  </si>
  <si>
    <t>МООО "Хурэн" ук. №3</t>
  </si>
  <si>
    <t xml:space="preserve">         Ольский городской округ</t>
  </si>
  <si>
    <t>МО г. Магадан</t>
  </si>
  <si>
    <t>Омсукчанский городской округ</t>
  </si>
  <si>
    <t>Среднеканский городской округ</t>
  </si>
  <si>
    <t xml:space="preserve">     Северо-Эвенский городской округ</t>
  </si>
  <si>
    <t xml:space="preserve">          Сусуманский городской округ</t>
  </si>
  <si>
    <t xml:space="preserve">          Тенькинский городской округ</t>
  </si>
  <si>
    <t xml:space="preserve">           Хасынский городской округ</t>
  </si>
  <si>
    <t xml:space="preserve">           Ягоднинский городской округ</t>
  </si>
  <si>
    <t>Площадь угодий пригодных для обитания (тыс. га)</t>
  </si>
  <si>
    <t>ООО Колыма-Трэвел  Уч. № 2 Шкипера</t>
  </si>
  <si>
    <t>ООО Колыма-Трэвел уч-к "Нараули"</t>
  </si>
  <si>
    <t>ООО Тайга Участок № 2</t>
  </si>
  <si>
    <t>Разрешено к добыче, (особей)</t>
  </si>
  <si>
    <t>Заявленная квота, (особей)</t>
  </si>
  <si>
    <t>Установленная квота, (особей)</t>
  </si>
  <si>
    <t>МООО "ООиР" участок "Ороекск-Глух. № 1"</t>
  </si>
  <si>
    <t>МООО "ООиР"   участок "Ороекск-Глух. № 2"</t>
  </si>
  <si>
    <t>МООО "ООиР" участок "Сеймчанский"</t>
  </si>
  <si>
    <t>МООО "ООиР"  участок "Омолонский № 1"</t>
  </si>
  <si>
    <t>ОДОУ Лариончик Столбовая Намандыкан</t>
  </si>
  <si>
    <t>РОКМНС Гижига  участок №2 Хивач</t>
  </si>
  <si>
    <t xml:space="preserve"> Общая площадь угодий (тыс. га)</t>
  </si>
  <si>
    <t>ОДОУ Ягоднинского г.о.</t>
  </si>
  <si>
    <t>Протяженность маршрутов, по полю (км)</t>
  </si>
  <si>
    <t>Протяженность маршрутов, по лесу (км)</t>
  </si>
  <si>
    <t>Число пересечений следов по лесу</t>
  </si>
  <si>
    <t>Число пересечений следов, по полю</t>
  </si>
  <si>
    <t>Число пересечений следов на 10 км. по лесу</t>
  </si>
  <si>
    <t>Число пересечений следов на 10 км. по полю</t>
  </si>
  <si>
    <t xml:space="preserve">Плотность особей  на 1000га. в поле </t>
  </si>
  <si>
    <t xml:space="preserve">Плотность особей  на 1000га. в лесу </t>
  </si>
  <si>
    <t>Протяженность маршрутов, всего (км)</t>
  </si>
  <si>
    <t>Численность  в лесу,(особей)</t>
  </si>
  <si>
    <t>Численность в поле,(особей)</t>
  </si>
  <si>
    <t>Численность всего (особей)</t>
  </si>
  <si>
    <t>Площадь леса (тыс. га)</t>
  </si>
  <si>
    <t>Площадь поля (тыс. га)</t>
  </si>
  <si>
    <t>К добыче  18%</t>
  </si>
  <si>
    <t xml:space="preserve">                          К добыче  35%</t>
  </si>
  <si>
    <r>
      <t>ООО "Кулу"</t>
    </r>
    <r>
      <rPr>
        <sz val="10"/>
        <rFont val="Arial"/>
        <family val="0"/>
      </rPr>
      <t xml:space="preserve"> - </t>
    </r>
    <r>
      <rPr>
        <i/>
        <sz val="10"/>
        <rFont val="Arial Cyr"/>
        <family val="0"/>
      </rPr>
      <t>3 "Буксунда"</t>
    </r>
  </si>
  <si>
    <t>ОДОУ Тенькинского г.о.</t>
  </si>
  <si>
    <t>*   пустая ячейка в столбце "Заявленная квота" свидетельствует об отсутствии заявки на установление квот</t>
  </si>
  <si>
    <t>материалы учета не предоставлены, либо материалы не приняты к обработке</t>
  </si>
  <si>
    <t>Средняя плотность, особей на 1000га. пригодной площади.</t>
  </si>
  <si>
    <t>Медведь бурый</t>
  </si>
  <si>
    <t>Снежный баран</t>
  </si>
  <si>
    <t>*</t>
  </si>
  <si>
    <t>**</t>
  </si>
  <si>
    <t xml:space="preserve">Рекомендуемое распределение квот добычи охотничьих ресурсов между  </t>
  </si>
  <si>
    <r>
      <t xml:space="preserve">* - </t>
    </r>
    <r>
      <rPr>
        <sz val="10"/>
        <rFont val="Times New Roman"/>
        <family val="1"/>
      </rPr>
      <t>квоты, установленные Департаментом по охране и надзору за использованием объектов животного мира и среды их обитания Магаданской области</t>
    </r>
  </si>
  <si>
    <r>
      <t xml:space="preserve">** - </t>
    </r>
    <r>
      <rPr>
        <sz val="10"/>
        <rFont val="Times New Roman"/>
        <family val="1"/>
      </rPr>
      <t>рекомендуемое распределение квот по результатам ГЭЭ</t>
    </r>
  </si>
  <si>
    <t xml:space="preserve">                                                                                                                                                               </t>
  </si>
  <si>
    <t>СОГЛАСОВАНО:</t>
  </si>
  <si>
    <t xml:space="preserve">за использованием объектов животного мира </t>
  </si>
  <si>
    <t xml:space="preserve">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</si>
  <si>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м.п.</t>
  </si>
  <si>
    <t xml:space="preserve">          Министр природных ресурсов</t>
  </si>
  <si>
    <t xml:space="preserve">          и экологии Магаданской области                                                                                                      В.И.Митькин</t>
  </si>
  <si>
    <r>
      <t xml:space="preserve">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м.п. </t>
    </r>
  </si>
  <si>
    <t xml:space="preserve">И.о. руководителя департамента по охране и надзору </t>
  </si>
  <si>
    <t>ООПТ "Кавинская долина"</t>
  </si>
  <si>
    <t>ИП Пинчук уч.Нелькоба</t>
  </si>
  <si>
    <t>ОДОУ Сусуманского городского округа</t>
  </si>
  <si>
    <t>ООПТ "Хинике"</t>
  </si>
  <si>
    <t>ОДОУ Тенькинского городского округа</t>
  </si>
  <si>
    <t>ОДОУ Северо-Эвенского городского округа</t>
  </si>
  <si>
    <t>ОДОУ Хасынского городского округа</t>
  </si>
  <si>
    <t>ОДОУ Ягоднинского городского округа</t>
  </si>
  <si>
    <t>ООПТ "Тайгонос"</t>
  </si>
  <si>
    <t>ООПТ "Омолонский"</t>
  </si>
  <si>
    <t xml:space="preserve">ООПТ "Одян" </t>
  </si>
  <si>
    <t xml:space="preserve">ООПТ "Малкачанская тундра" </t>
  </si>
  <si>
    <t>ОДОУ Ланковая, верх. р. Тоб</t>
  </si>
  <si>
    <t>ОДОУ Омсукчанского городского округа</t>
  </si>
  <si>
    <t>и среды их обитания Магаданской области                                                                                           А.И.Сырченко</t>
  </si>
  <si>
    <t>Предложение по лимитам изъятия особо ценных в хозяйственном отношении видов охотничьих ресурсов в сезоне охоты 2017-2018гг. на территории Магаданской области и материалы, обосновывающиелимиты и квоты добычи охотничьих ресурсов на период с 01.08.2017г. до  01.08.2018г. на территории Магаданской области департамента по охране и надзору за использованием объектов животного мира и среды их обитания Магаданской области</t>
  </si>
  <si>
    <t>пользователями охотничьих угодий Магаданской области в сезоне охоты 2017-2018 г.г.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</si>
</sst>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000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6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" fontId="12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 horizontal="left"/>
    </xf>
    <xf numFmtId="2" fontId="0" fillId="0" borderId="0" xfId="0" applyNumberFormat="1" applyAlignment="1">
      <alignment/>
    </xf>
    <xf numFmtId="191" fontId="0" fillId="0" borderId="0" xfId="0" applyNumberFormat="1" applyAlignment="1">
      <alignment/>
    </xf>
    <xf numFmtId="2" fontId="15" fillId="2" borderId="14" xfId="0" applyNumberFormat="1" applyFont="1" applyFill="1" applyBorder="1" applyAlignment="1">
      <alignment horizontal="center" vertical="center"/>
    </xf>
    <xf numFmtId="188" fontId="0" fillId="0" borderId="0" xfId="0" applyNumberFormat="1" applyAlignment="1">
      <alignment/>
    </xf>
    <xf numFmtId="0" fontId="0" fillId="33" borderId="0" xfId="0" applyFill="1" applyAlignment="1">
      <alignment/>
    </xf>
    <xf numFmtId="2" fontId="12" fillId="34" borderId="14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/>
    </xf>
    <xf numFmtId="2" fontId="15" fillId="34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wrapText="1"/>
    </xf>
    <xf numFmtId="188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2" fillId="0" borderId="16" xfId="0" applyFont="1" applyFill="1" applyBorder="1" applyAlignment="1">
      <alignment vertical="center" wrapText="1"/>
    </xf>
    <xf numFmtId="0" fontId="7" fillId="35" borderId="11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6" fillId="36" borderId="11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0" fontId="0" fillId="0" borderId="10" xfId="0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13" borderId="11" xfId="0" applyFont="1" applyFill="1" applyBorder="1" applyAlignment="1">
      <alignment horizontal="left" wrapText="1"/>
    </xf>
    <xf numFmtId="0" fontId="6" fillId="36" borderId="11" xfId="0" applyFont="1" applyFill="1" applyBorder="1" applyAlignment="1">
      <alignment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0" fontId="10" fillId="33" borderId="11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0" fillId="0" borderId="19" xfId="0" applyBorder="1" applyAlignment="1">
      <alignment/>
    </xf>
    <xf numFmtId="0" fontId="3" fillId="0" borderId="0" xfId="0" applyFont="1" applyAlignment="1">
      <alignment horizontal="left" indent="4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 indent="2"/>
    </xf>
    <xf numFmtId="0" fontId="20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88" fontId="12" fillId="2" borderId="10" xfId="0" applyNumberFormat="1" applyFont="1" applyFill="1" applyBorder="1" applyAlignment="1">
      <alignment horizontal="center" vertical="center"/>
    </xf>
    <xf numFmtId="188" fontId="0" fillId="2" borderId="10" xfId="0" applyNumberFormat="1" applyFont="1" applyFill="1" applyBorder="1" applyAlignment="1">
      <alignment horizontal="center" vertical="center"/>
    </xf>
    <xf numFmtId="1" fontId="0" fillId="2" borderId="10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/>
    </xf>
    <xf numFmtId="0" fontId="0" fillId="18" borderId="10" xfId="0" applyFill="1" applyBorder="1" applyAlignment="1">
      <alignment/>
    </xf>
    <xf numFmtId="0" fontId="11" fillId="18" borderId="10" xfId="0" applyFont="1" applyFill="1" applyBorder="1" applyAlignment="1">
      <alignment/>
    </xf>
    <xf numFmtId="0" fontId="6" fillId="18" borderId="11" xfId="0" applyFont="1" applyFill="1" applyBorder="1" applyAlignment="1">
      <alignment horizontal="left"/>
    </xf>
    <xf numFmtId="0" fontId="6" fillId="18" borderId="13" xfId="0" applyFont="1" applyFill="1" applyBorder="1" applyAlignment="1">
      <alignment horizontal="left"/>
    </xf>
    <xf numFmtId="188" fontId="19" fillId="2" borderId="10" xfId="0" applyNumberFormat="1" applyFont="1" applyFill="1" applyBorder="1" applyAlignment="1">
      <alignment horizontal="center" vertical="center"/>
    </xf>
    <xf numFmtId="1" fontId="19" fillId="2" borderId="10" xfId="0" applyNumberFormat="1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left"/>
    </xf>
    <xf numFmtId="0" fontId="6" fillId="37" borderId="13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0" fontId="6" fillId="18" borderId="11" xfId="0" applyFont="1" applyFill="1" applyBorder="1" applyAlignment="1">
      <alignment/>
    </xf>
    <xf numFmtId="0" fontId="6" fillId="18" borderId="12" xfId="0" applyFont="1" applyFill="1" applyBorder="1" applyAlignment="1">
      <alignment/>
    </xf>
    <xf numFmtId="0" fontId="2" fillId="2" borderId="10" xfId="0" applyFont="1" applyFill="1" applyBorder="1" applyAlignment="1">
      <alignment horizontal="center" vertical="center"/>
    </xf>
    <xf numFmtId="188" fontId="10" fillId="2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2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1" fontId="12" fillId="2" borderId="10" xfId="0" applyNumberFormat="1" applyFont="1" applyFill="1" applyBorder="1" applyAlignment="1">
      <alignment/>
    </xf>
    <xf numFmtId="2" fontId="12" fillId="2" borderId="10" xfId="0" applyNumberFormat="1" applyFont="1" applyFill="1" applyBorder="1" applyAlignment="1">
      <alignment horizontal="right"/>
    </xf>
    <xf numFmtId="188" fontId="12" fillId="2" borderId="10" xfId="0" applyNumberFormat="1" applyFont="1" applyFill="1" applyBorder="1" applyAlignment="1">
      <alignment horizontal="right"/>
    </xf>
    <xf numFmtId="2" fontId="10" fillId="2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/>
    </xf>
    <xf numFmtId="0" fontId="6" fillId="32" borderId="11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10" fillId="0" borderId="11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1" fontId="0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12" fillId="0" borderId="20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11" xfId="0" applyBorder="1" applyAlignment="1">
      <alignment wrapText="1"/>
    </xf>
    <xf numFmtId="0" fontId="6" fillId="0" borderId="25" xfId="0" applyFont="1" applyBorder="1" applyAlignment="1">
      <alignment horizontal="center" wrapText="1"/>
    </xf>
    <xf numFmtId="1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/>
    </xf>
    <xf numFmtId="0" fontId="7" fillId="0" borderId="29" xfId="0" applyFont="1" applyFill="1" applyBorder="1" applyAlignment="1">
      <alignment horizontal="center" wrapText="1"/>
    </xf>
    <xf numFmtId="1" fontId="12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1" fontId="0" fillId="0" borderId="31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12" fillId="0" borderId="26" xfId="0" applyNumberFormat="1" applyFont="1" applyBorder="1" applyAlignment="1">
      <alignment/>
    </xf>
    <xf numFmtId="1" fontId="12" fillId="0" borderId="33" xfId="0" applyNumberFormat="1" applyFont="1" applyBorder="1" applyAlignment="1">
      <alignment/>
    </xf>
    <xf numFmtId="0" fontId="6" fillId="38" borderId="11" xfId="0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/>
    </xf>
    <xf numFmtId="1" fontId="12" fillId="0" borderId="33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13" xfId="0" applyFill="1" applyBorder="1" applyAlignment="1">
      <alignment/>
    </xf>
    <xf numFmtId="1" fontId="12" fillId="0" borderId="20" xfId="0" applyNumberFormat="1" applyFont="1" applyFill="1" applyBorder="1" applyAlignment="1">
      <alignment/>
    </xf>
    <xf numFmtId="1" fontId="12" fillId="0" borderId="35" xfId="0" applyNumberFormat="1" applyFont="1" applyFill="1" applyBorder="1" applyAlignment="1">
      <alignment/>
    </xf>
    <xf numFmtId="1" fontId="12" fillId="0" borderId="29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1" fontId="0" fillId="0" borderId="37" xfId="0" applyNumberFormat="1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39" xfId="0" applyNumberFormat="1" applyBorder="1" applyAlignment="1">
      <alignment/>
    </xf>
    <xf numFmtId="0" fontId="0" fillId="0" borderId="29" xfId="0" applyBorder="1" applyAlignment="1">
      <alignment/>
    </xf>
    <xf numFmtId="1" fontId="19" fillId="0" borderId="29" xfId="0" applyNumberFormat="1" applyFont="1" applyBorder="1" applyAlignment="1">
      <alignment/>
    </xf>
    <xf numFmtId="0" fontId="21" fillId="0" borderId="29" xfId="0" applyFont="1" applyBorder="1" applyAlignment="1">
      <alignment horizontal="center" vertical="top" wrapText="1"/>
    </xf>
    <xf numFmtId="0" fontId="19" fillId="0" borderId="29" xfId="0" applyFont="1" applyBorder="1" applyAlignment="1">
      <alignment/>
    </xf>
    <xf numFmtId="1" fontId="19" fillId="0" borderId="29" xfId="0" applyNumberFormat="1" applyFont="1" applyFill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40" xfId="0" applyNumberFormat="1" applyFont="1" applyBorder="1" applyAlignment="1">
      <alignment/>
    </xf>
    <xf numFmtId="1" fontId="0" fillId="0" borderId="41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37" xfId="0" applyNumberFormat="1" applyBorder="1" applyAlignment="1">
      <alignment/>
    </xf>
    <xf numFmtId="188" fontId="14" fillId="2" borderId="10" xfId="0" applyNumberFormat="1" applyFont="1" applyFill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left"/>
    </xf>
    <xf numFmtId="188" fontId="2" fillId="0" borderId="10" xfId="0" applyNumberFormat="1" applyFont="1" applyFill="1" applyBorder="1" applyAlignment="1">
      <alignment horizontal="center" vertical="center"/>
    </xf>
    <xf numFmtId="188" fontId="12" fillId="2" borderId="10" xfId="0" applyNumberFormat="1" applyFont="1" applyFill="1" applyBorder="1" applyAlignment="1">
      <alignment/>
    </xf>
    <xf numFmtId="188" fontId="12" fillId="0" borderId="10" xfId="0" applyNumberFormat="1" applyFont="1" applyBorder="1" applyAlignment="1">
      <alignment/>
    </xf>
    <xf numFmtId="188" fontId="12" fillId="0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left"/>
    </xf>
    <xf numFmtId="188" fontId="0" fillId="0" borderId="0" xfId="0" applyNumberFormat="1" applyAlignment="1">
      <alignment horizontal="center"/>
    </xf>
    <xf numFmtId="188" fontId="0" fillId="33" borderId="10" xfId="0" applyNumberFormat="1" applyFont="1" applyFill="1" applyBorder="1" applyAlignment="1">
      <alignment horizontal="center" vertical="center"/>
    </xf>
    <xf numFmtId="2" fontId="12" fillId="39" borderId="10" xfId="0" applyNumberFormat="1" applyFont="1" applyFill="1" applyBorder="1" applyAlignment="1">
      <alignment horizontal="center"/>
    </xf>
    <xf numFmtId="188" fontId="12" fillId="39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10" xfId="0" applyFont="1" applyFill="1" applyBorder="1" applyAlignment="1">
      <alignment horizontal="center" vertical="center"/>
    </xf>
    <xf numFmtId="188" fontId="0" fillId="38" borderId="10" xfId="0" applyNumberFormat="1" applyFont="1" applyFill="1" applyBorder="1" applyAlignment="1">
      <alignment horizontal="center" vertical="center"/>
    </xf>
    <xf numFmtId="188" fontId="2" fillId="38" borderId="10" xfId="0" applyNumberFormat="1" applyFont="1" applyFill="1" applyBorder="1" applyAlignment="1">
      <alignment horizontal="left"/>
    </xf>
    <xf numFmtId="188" fontId="2" fillId="38" borderId="10" xfId="0" applyNumberFormat="1" applyFont="1" applyFill="1" applyBorder="1" applyAlignment="1">
      <alignment horizontal="center" vertical="center"/>
    </xf>
    <xf numFmtId="1" fontId="0" fillId="38" borderId="10" xfId="0" applyNumberFormat="1" applyFont="1" applyFill="1" applyBorder="1" applyAlignment="1">
      <alignment horizontal="center" vertical="center"/>
    </xf>
    <xf numFmtId="2" fontId="0" fillId="38" borderId="10" xfId="0" applyNumberFormat="1" applyFont="1" applyFill="1" applyBorder="1" applyAlignment="1">
      <alignment horizontal="center" vertical="center"/>
    </xf>
    <xf numFmtId="1" fontId="0" fillId="38" borderId="10" xfId="0" applyNumberFormat="1" applyFont="1" applyFill="1" applyBorder="1" applyAlignment="1">
      <alignment horizontal="center" vertical="center" wrapText="1"/>
    </xf>
    <xf numFmtId="1" fontId="0" fillId="38" borderId="10" xfId="0" applyNumberFormat="1" applyFill="1" applyBorder="1" applyAlignment="1">
      <alignment/>
    </xf>
    <xf numFmtId="2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35" borderId="11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6" fillId="18" borderId="11" xfId="0" applyFont="1" applyFill="1" applyBorder="1" applyAlignment="1">
      <alignment horizontal="center"/>
    </xf>
    <xf numFmtId="0" fontId="6" fillId="18" borderId="13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/>
    </xf>
    <xf numFmtId="0" fontId="6" fillId="32" borderId="13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43" xfId="0" applyFont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37" borderId="11" xfId="0" applyFont="1" applyFill="1" applyBorder="1" applyAlignment="1">
      <alignment horizontal="left"/>
    </xf>
    <xf numFmtId="0" fontId="6" fillId="37" borderId="13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0" fillId="0" borderId="0" xfId="0" applyNumberFormat="1" applyFont="1" applyAlignment="1">
      <alignment horizontal="center" vertical="center" wrapText="1"/>
    </xf>
    <xf numFmtId="0" fontId="6" fillId="32" borderId="11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18" borderId="11" xfId="0" applyFont="1" applyFill="1" applyBorder="1" applyAlignment="1">
      <alignment horizontal="left"/>
    </xf>
    <xf numFmtId="0" fontId="6" fillId="18" borderId="1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13" fillId="35" borderId="11" xfId="0" applyFont="1" applyFill="1" applyBorder="1" applyAlignment="1">
      <alignment horizontal="center" wrapText="1"/>
    </xf>
    <xf numFmtId="0" fontId="13" fillId="35" borderId="12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4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50;&#1086;&#1083;&#1103;\&#1056;&#1072;&#1073;&#1086;&#1090;&#1072;\&#1047;&#1052;&#1059;%202009\&#1057;&#1074;&#1086;&#1076;&#1085;&#1072;&#1103;%20&#1060;&#1086;&#1088;&#1084;&#1072;%20&#1040;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3.1\&#1082;.415$\Users\User\Desktop\&#1052;&#1080;&#1088;&#1086;&#1085;&#1086;&#1074;%20&#1052;&#1072;&#1090;&#1077;&#1088;&#1080;&#1072;&#1083;&#1099;%20&#1047;&#1052;&#1059;%20&#1080;%20&#1088;&#1072;&#1089;&#1095;&#1077;&#1090;%20&#1095;&#1080;&#1089;&#1083;&#1077;&#1085;&#1085;&#1086;&#1089;&#1090;&#1080;%20&#1083;&#1080;&#1084;&#1080;&#1090;&#1080;&#1088;&#1086;&#1074;&#1072;&#1085;&#1085;&#1099;&#1093;%20&#1074;&#1080;&#1076;&#1086;&#1074;%20&#1074;%20%202016&#1075;\&#1057;&#1074;&#1086;&#1076;&#1085;&#1072;&#1103;%20&#1060;&#1086;&#1088;&#1084;&#1072;%20&#1040;%20&#1085;&#1086;&#1088;&#1084;&#1072;&#1090;&#1080;&#1074;&#1099;%20&#1084;&#1072;&#1088;&#1096;&#1088;&#1091;&#1090;&#1086;&#1074;%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3.1\&#1082;.415$\Users\User\Desktop\&#1052;&#1080;&#1088;&#1086;&#1085;&#1086;&#1074;%20&#1052;&#1072;&#1090;&#1077;&#1088;&#1080;&#1072;&#1083;&#1099;%20&#1047;&#1052;&#1059;%20&#1080;%20&#1088;&#1072;&#1089;&#1095;&#1077;&#1090;%20&#1095;&#1080;&#1089;&#1083;&#1077;&#1085;&#1085;&#1086;&#1089;&#1090;&#1080;%20&#1083;&#1080;&#1084;&#1080;&#1090;&#1080;&#1088;&#1086;&#1074;&#1072;&#1085;&#1085;&#1099;&#1093;%20&#1074;&#1080;&#1076;&#1086;&#1074;%20&#1074;%20%202016&#1075;\&#1057;&#1074;&#1086;&#1076;&#1085;&#1072;&#1103;%20&#1060;&#1086;&#1088;&#1084;&#1072;%20&#1040;%20&#1085;&#1086;&#1088;&#1084;&#1072;&#1090;&#1080;&#1074;&#1099;%20&#1084;&#1072;&#1088;&#1096;&#1088;&#1091;&#1090;&#1086;&#1074;%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3.1\&#1082;.415$\Users\User\Desktop\&#1052;&#1080;&#1088;&#1086;&#1085;&#1086;&#1074;%20&#1052;&#1072;&#1090;&#1077;&#1088;&#1080;&#1072;&#1083;&#1099;%20&#1047;&#1052;&#1059;%20&#1080;%20&#1088;&#1072;&#1089;&#1095;&#1077;&#1090;%20&#1095;&#1080;&#1089;&#1083;&#1077;&#1085;&#1085;&#1086;&#1089;&#1090;&#1080;%20&#1083;&#1080;&#1084;&#1080;&#1090;&#1080;&#1088;&#1086;&#1074;&#1072;&#1085;&#1085;&#1099;&#1093;%20&#1074;&#1080;&#1076;&#1086;&#1074;%20&#1074;%20%202016&#1075;\Users\&#1050;&#1086;&#1083;&#1103;\&#1056;&#1072;&#1073;&#1086;&#1090;&#1072;\&#1047;&#1052;&#1059;%202009\&#1057;&#1074;&#1086;&#1076;&#1085;&#1072;&#1103;%20&#1060;&#1086;&#1088;&#1084;&#1072;%20&#1040;-5%20&#1085;&#1086;&#1088;&#1084;&#1072;&#1090;&#1080;&#1074;&#1099;%20&#1084;&#1072;&#1088;&#1096;&#1088;&#1091;&#1090;&#1086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3.1\&#1082;.415$\Users\User\Desktop\&#1052;&#1080;&#1088;&#1086;&#1085;&#1086;&#1074;%20&#1052;&#1072;&#1090;&#1077;&#1088;&#1080;&#1072;&#1083;&#1099;%20&#1047;&#1052;&#1059;%20&#1080;%20&#1088;&#1072;&#1089;&#1095;&#1077;&#1090;%20&#1095;&#1080;&#1089;&#1083;&#1077;&#1085;&#1085;&#1086;&#1089;&#1090;&#1080;%20&#1083;&#1080;&#1084;&#1080;&#1090;&#1080;&#1088;&#1086;&#1074;&#1072;&#1085;&#1085;&#1099;&#1093;%20&#1074;&#1080;&#1076;&#1086;&#1074;%20&#1074;%20%202016&#1075;\&#1057;&#1074;&#1086;&#1076;&#1085;&#1072;&#1103;%20&#1060;&#1086;&#1088;&#1084;&#1072;%20&#1040;%20&#1085;&#1086;&#1088;&#1084;&#1072;&#1090;&#1080;&#1074;&#1099;%20&#1084;&#1072;&#1088;&#1096;&#1088;&#1091;&#1090;&#1086;&#1074;%20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3.1\&#1082;.415$\Users\User\Desktop\&#1052;&#1080;&#1088;&#1086;&#1085;&#1086;&#1074;%20&#1052;&#1072;&#1090;&#1077;&#1088;&#1080;&#1072;&#1083;&#1099;%20&#1047;&#1052;&#1059;%20&#1080;%20&#1088;&#1072;&#1089;&#1095;&#1077;&#1090;%20&#1095;&#1080;&#1089;&#1083;&#1077;&#1085;&#1085;&#1086;&#1089;&#1090;&#1080;%20&#1083;&#1080;&#1084;&#1080;&#1090;&#1080;&#1088;&#1086;&#1074;&#1072;&#1085;&#1085;&#1099;&#1093;%20&#1074;&#1080;&#1076;&#1086;&#1074;%20&#1074;%20%202016&#1075;\Users\&#1050;&#1086;&#1083;&#1103;\&#1056;&#1072;&#1073;&#1086;&#1090;&#1072;\&#1056;&#1045;&#1045;&#1057;&#1058;&#1056;&#1067;%20&#1040;&#1076;&#1088;&#1077;&#1089;&#1072;%20&#1076;&#1086;&#1083;&#1075;&#1086;&#1089;&#1088;&#1086;&#1095;&#1085;&#1080;&#1082;&#1086;&#1074;\&#1056;&#1077;&#1077;&#1089;&#1090;&#1088;%20&#1076;&#1077;&#1081;&#1089;&#1090;&#1074;&#1091;&#1102;&#1097;&#1080;&#1093;%20&#1076;&#1086;&#1083;&#1075;&#1086;&#1089;&#1088;&#1086;&#1095;&#1085;&#1080;&#1082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-5"/>
      <sheetName val="А-4"/>
      <sheetName val="Норматив и фактически"/>
    </sheetNames>
    <sheetDataSet>
      <sheetData sheetId="2">
        <row r="130">
          <cell r="K130">
            <v>144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-5"/>
      <sheetName val="А-4"/>
      <sheetName val="Норматив и фактически 2016"/>
    </sheetNames>
    <sheetDataSet>
      <sheetData sheetId="1">
        <row r="10">
          <cell r="F10">
            <v>2</v>
          </cell>
          <cell r="G10">
            <v>11.5</v>
          </cell>
          <cell r="H10">
            <v>8.5</v>
          </cell>
          <cell r="Q10">
            <v>0</v>
          </cell>
          <cell r="R10">
            <v>0</v>
          </cell>
          <cell r="T10">
            <v>1</v>
          </cell>
          <cell r="AC10">
            <v>0</v>
          </cell>
          <cell r="AD10">
            <v>0</v>
          </cell>
          <cell r="AF10">
            <v>0</v>
          </cell>
        </row>
        <row r="12">
          <cell r="F12">
            <v>3</v>
          </cell>
          <cell r="G12">
            <v>21.6</v>
          </cell>
          <cell r="H12">
            <v>8.399999999999999</v>
          </cell>
          <cell r="Q12">
            <v>5</v>
          </cell>
          <cell r="R12">
            <v>0</v>
          </cell>
          <cell r="T12">
            <v>5</v>
          </cell>
          <cell r="AC12">
            <v>0</v>
          </cell>
          <cell r="AD12">
            <v>0</v>
          </cell>
          <cell r="AF12">
            <v>0</v>
          </cell>
        </row>
        <row r="13">
          <cell r="F13">
            <v>3</v>
          </cell>
          <cell r="G13">
            <v>23.7</v>
          </cell>
          <cell r="H13">
            <v>6.15</v>
          </cell>
          <cell r="Q13">
            <v>3</v>
          </cell>
          <cell r="R13">
            <v>3</v>
          </cell>
          <cell r="T13">
            <v>3</v>
          </cell>
          <cell r="AC13">
            <v>0</v>
          </cell>
          <cell r="AD13">
            <v>0</v>
          </cell>
          <cell r="AF13">
            <v>1</v>
          </cell>
        </row>
        <row r="14">
          <cell r="F14">
            <v>3</v>
          </cell>
          <cell r="G14">
            <v>26.3</v>
          </cell>
          <cell r="H14">
            <v>3.7</v>
          </cell>
          <cell r="Q14">
            <v>9</v>
          </cell>
          <cell r="R14">
            <v>24</v>
          </cell>
          <cell r="T14">
            <v>5</v>
          </cell>
          <cell r="AC14">
            <v>0</v>
          </cell>
          <cell r="AD14">
            <v>0</v>
          </cell>
          <cell r="AF14">
            <v>0</v>
          </cell>
        </row>
        <row r="16">
          <cell r="F16">
            <v>3</v>
          </cell>
          <cell r="G16">
            <v>27</v>
          </cell>
          <cell r="H16">
            <v>3.7</v>
          </cell>
          <cell r="Q16">
            <v>7</v>
          </cell>
          <cell r="R16">
            <v>16</v>
          </cell>
          <cell r="T16">
            <v>14</v>
          </cell>
          <cell r="AC16">
            <v>2</v>
          </cell>
          <cell r="AD16">
            <v>14</v>
          </cell>
          <cell r="AF16">
            <v>4</v>
          </cell>
        </row>
        <row r="17">
          <cell r="F17">
            <v>3</v>
          </cell>
          <cell r="G17">
            <v>18.1</v>
          </cell>
          <cell r="H17">
            <v>13</v>
          </cell>
          <cell r="Q17">
            <v>8</v>
          </cell>
          <cell r="R17">
            <v>17</v>
          </cell>
          <cell r="T17">
            <v>14</v>
          </cell>
          <cell r="AC17">
            <v>2</v>
          </cell>
          <cell r="AD17">
            <v>11</v>
          </cell>
          <cell r="AF17">
            <v>5</v>
          </cell>
        </row>
        <row r="18">
          <cell r="F18">
            <v>3</v>
          </cell>
          <cell r="G18">
            <v>19.799999999999997</v>
          </cell>
          <cell r="H18">
            <v>10.8</v>
          </cell>
          <cell r="Q18">
            <v>7</v>
          </cell>
          <cell r="R18">
            <v>16</v>
          </cell>
          <cell r="T18">
            <v>12</v>
          </cell>
          <cell r="AC18">
            <v>1</v>
          </cell>
          <cell r="AD18">
            <v>7</v>
          </cell>
          <cell r="AF18">
            <v>3</v>
          </cell>
        </row>
        <row r="20">
          <cell r="F20">
            <v>1</v>
          </cell>
          <cell r="G20">
            <v>11</v>
          </cell>
          <cell r="H20">
            <v>1.1</v>
          </cell>
          <cell r="Q20">
            <v>0</v>
          </cell>
          <cell r="R20">
            <v>1</v>
          </cell>
          <cell r="T20">
            <v>2</v>
          </cell>
          <cell r="AC20">
            <v>0</v>
          </cell>
          <cell r="AD20">
            <v>0</v>
          </cell>
          <cell r="AF20">
            <v>0</v>
          </cell>
        </row>
        <row r="21">
          <cell r="F21">
            <v>3</v>
          </cell>
          <cell r="G21">
            <v>31.900000000000002</v>
          </cell>
          <cell r="H21">
            <v>4.9</v>
          </cell>
          <cell r="Q21">
            <v>0</v>
          </cell>
          <cell r="R21">
            <v>3</v>
          </cell>
          <cell r="T21">
            <v>7</v>
          </cell>
          <cell r="AC21">
            <v>0</v>
          </cell>
          <cell r="AD21">
            <v>0</v>
          </cell>
          <cell r="AF21">
            <v>0</v>
          </cell>
        </row>
        <row r="22">
          <cell r="F22">
            <v>3</v>
          </cell>
          <cell r="G22">
            <v>36.7</v>
          </cell>
          <cell r="H22">
            <v>3.7</v>
          </cell>
          <cell r="Q22">
            <v>2</v>
          </cell>
          <cell r="R22">
            <v>4</v>
          </cell>
          <cell r="T22">
            <v>7</v>
          </cell>
          <cell r="AC22">
            <v>0</v>
          </cell>
          <cell r="AD22">
            <v>0</v>
          </cell>
          <cell r="AF22">
            <v>1</v>
          </cell>
        </row>
        <row r="23">
          <cell r="F23">
            <v>0</v>
          </cell>
          <cell r="G23">
            <v>0</v>
          </cell>
          <cell r="H23">
            <v>0</v>
          </cell>
          <cell r="Q23">
            <v>0</v>
          </cell>
          <cell r="R23">
            <v>0</v>
          </cell>
          <cell r="T23">
            <v>0</v>
          </cell>
          <cell r="AC23">
            <v>0</v>
          </cell>
          <cell r="AD23">
            <v>0</v>
          </cell>
          <cell r="AF23">
            <v>0</v>
          </cell>
        </row>
        <row r="24">
          <cell r="F24">
            <v>5</v>
          </cell>
          <cell r="G24">
            <v>52.85</v>
          </cell>
          <cell r="H24">
            <v>1.6</v>
          </cell>
          <cell r="Q24">
            <v>14</v>
          </cell>
          <cell r="R24">
            <v>10</v>
          </cell>
          <cell r="T24">
            <v>11</v>
          </cell>
          <cell r="AC24">
            <v>0</v>
          </cell>
          <cell r="AD24">
            <v>0</v>
          </cell>
          <cell r="AF24">
            <v>1</v>
          </cell>
        </row>
        <row r="25">
          <cell r="F25">
            <v>3</v>
          </cell>
          <cell r="G25">
            <v>26.199999999999996</v>
          </cell>
          <cell r="H25">
            <v>6.2</v>
          </cell>
          <cell r="Q25">
            <v>9</v>
          </cell>
          <cell r="R25">
            <v>0</v>
          </cell>
          <cell r="T25">
            <v>14</v>
          </cell>
          <cell r="AC25">
            <v>0</v>
          </cell>
          <cell r="AD25">
            <v>0</v>
          </cell>
          <cell r="AF25">
            <v>3</v>
          </cell>
        </row>
        <row r="26">
          <cell r="F26">
            <v>1</v>
          </cell>
          <cell r="G26">
            <v>10.9</v>
          </cell>
          <cell r="H26">
            <v>1.5</v>
          </cell>
          <cell r="Q26">
            <v>1</v>
          </cell>
          <cell r="R26">
            <v>0</v>
          </cell>
          <cell r="T26">
            <v>1</v>
          </cell>
          <cell r="AC26">
            <v>0</v>
          </cell>
          <cell r="AD26">
            <v>0</v>
          </cell>
          <cell r="AF26">
            <v>1</v>
          </cell>
        </row>
        <row r="27">
          <cell r="F27">
            <v>3</v>
          </cell>
          <cell r="G27">
            <v>31.299999999999997</v>
          </cell>
          <cell r="H27">
            <v>3.9</v>
          </cell>
          <cell r="Q27">
            <v>0</v>
          </cell>
          <cell r="R27">
            <v>2</v>
          </cell>
          <cell r="T27">
            <v>4</v>
          </cell>
          <cell r="AC27">
            <v>0</v>
          </cell>
          <cell r="AD27">
            <v>0</v>
          </cell>
          <cell r="AF27">
            <v>0</v>
          </cell>
        </row>
        <row r="28">
          <cell r="F28">
            <v>2</v>
          </cell>
          <cell r="G28">
            <v>18.6</v>
          </cell>
          <cell r="H28">
            <v>4.1</v>
          </cell>
          <cell r="Q28">
            <v>1</v>
          </cell>
          <cell r="R28">
            <v>3</v>
          </cell>
          <cell r="T28">
            <v>4</v>
          </cell>
          <cell r="AC28">
            <v>0</v>
          </cell>
          <cell r="AD28">
            <v>0</v>
          </cell>
          <cell r="AF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Q29">
            <v>0</v>
          </cell>
          <cell r="R29">
            <v>0</v>
          </cell>
          <cell r="T29">
            <v>0</v>
          </cell>
        </row>
        <row r="31">
          <cell r="F31">
            <v>2</v>
          </cell>
          <cell r="G31">
            <v>17.28</v>
          </cell>
          <cell r="H31">
            <v>0</v>
          </cell>
          <cell r="Q31">
            <v>0</v>
          </cell>
          <cell r="R31">
            <v>0</v>
          </cell>
          <cell r="T31">
            <v>4</v>
          </cell>
          <cell r="AC31">
            <v>0</v>
          </cell>
          <cell r="AD31">
            <v>0</v>
          </cell>
          <cell r="AF31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Q33">
            <v>0</v>
          </cell>
          <cell r="R33">
            <v>0</v>
          </cell>
          <cell r="T33">
            <v>0</v>
          </cell>
          <cell r="AC33">
            <v>0</v>
          </cell>
          <cell r="AD33">
            <v>0</v>
          </cell>
          <cell r="AF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Q34">
            <v>0</v>
          </cell>
          <cell r="R34">
            <v>0</v>
          </cell>
          <cell r="T34">
            <v>0</v>
          </cell>
          <cell r="AC34">
            <v>0</v>
          </cell>
          <cell r="AD34">
            <v>0</v>
          </cell>
          <cell r="AF34">
            <v>0</v>
          </cell>
        </row>
        <row r="35">
          <cell r="F35">
            <v>3</v>
          </cell>
          <cell r="G35">
            <v>21.8</v>
          </cell>
          <cell r="H35">
            <v>4.9</v>
          </cell>
          <cell r="Q35">
            <v>0</v>
          </cell>
          <cell r="R35">
            <v>0</v>
          </cell>
          <cell r="T35">
            <v>4</v>
          </cell>
          <cell r="AC35">
            <v>0</v>
          </cell>
          <cell r="AD35">
            <v>0</v>
          </cell>
          <cell r="AF35">
            <v>1</v>
          </cell>
        </row>
        <row r="36">
          <cell r="F36">
            <v>0</v>
          </cell>
          <cell r="G36">
            <v>0</v>
          </cell>
          <cell r="H36">
            <v>0</v>
          </cell>
          <cell r="Q36">
            <v>0</v>
          </cell>
          <cell r="R36">
            <v>0</v>
          </cell>
          <cell r="T36">
            <v>0</v>
          </cell>
          <cell r="AC36">
            <v>0</v>
          </cell>
          <cell r="AD36">
            <v>0</v>
          </cell>
          <cell r="AF36">
            <v>0</v>
          </cell>
        </row>
        <row r="37">
          <cell r="F37">
            <v>4</v>
          </cell>
          <cell r="G37">
            <v>29.3</v>
          </cell>
          <cell r="H37">
            <v>10.5</v>
          </cell>
          <cell r="Q37">
            <v>7</v>
          </cell>
          <cell r="R37">
            <v>4</v>
          </cell>
          <cell r="T37">
            <v>9</v>
          </cell>
          <cell r="AC37">
            <v>0</v>
          </cell>
          <cell r="AD37">
            <v>0</v>
          </cell>
          <cell r="AF37">
            <v>3</v>
          </cell>
        </row>
        <row r="38">
          <cell r="F38">
            <v>1</v>
          </cell>
          <cell r="G38">
            <v>8</v>
          </cell>
          <cell r="H38">
            <v>0</v>
          </cell>
          <cell r="Q38">
            <v>0</v>
          </cell>
          <cell r="R38">
            <v>8</v>
          </cell>
          <cell r="T38">
            <v>3</v>
          </cell>
          <cell r="AC38">
            <v>0</v>
          </cell>
          <cell r="AD38">
            <v>0</v>
          </cell>
          <cell r="AF38">
            <v>0</v>
          </cell>
        </row>
        <row r="39">
          <cell r="F39">
            <v>3</v>
          </cell>
          <cell r="G39">
            <v>31.5</v>
          </cell>
          <cell r="H39">
            <v>0</v>
          </cell>
          <cell r="Q39">
            <v>9</v>
          </cell>
          <cell r="R39">
            <v>21</v>
          </cell>
          <cell r="T39">
            <v>14</v>
          </cell>
          <cell r="AC39">
            <v>0</v>
          </cell>
          <cell r="AD39">
            <v>0</v>
          </cell>
          <cell r="AF39">
            <v>0</v>
          </cell>
        </row>
        <row r="40">
          <cell r="F40">
            <v>6</v>
          </cell>
          <cell r="G40">
            <v>31.58</v>
          </cell>
          <cell r="H40">
            <v>5.52</v>
          </cell>
          <cell r="Q40">
            <v>8</v>
          </cell>
          <cell r="R40">
            <v>13</v>
          </cell>
          <cell r="T40">
            <v>14</v>
          </cell>
          <cell r="AC40">
            <v>0</v>
          </cell>
          <cell r="AD40">
            <v>0</v>
          </cell>
          <cell r="AF40">
            <v>1</v>
          </cell>
        </row>
        <row r="41">
          <cell r="F41">
            <v>3</v>
          </cell>
          <cell r="G41">
            <v>26.7</v>
          </cell>
          <cell r="H41">
            <v>3.6</v>
          </cell>
          <cell r="Q41">
            <v>9</v>
          </cell>
          <cell r="R41">
            <v>15</v>
          </cell>
          <cell r="T41">
            <v>10</v>
          </cell>
          <cell r="AC41">
            <v>0</v>
          </cell>
          <cell r="AD41">
            <v>0</v>
          </cell>
          <cell r="AF41">
            <v>3</v>
          </cell>
        </row>
        <row r="42">
          <cell r="F42">
            <v>3</v>
          </cell>
          <cell r="G42">
            <v>15.489999999999998</v>
          </cell>
          <cell r="H42">
            <v>16.299999999999997</v>
          </cell>
          <cell r="Q42">
            <v>4</v>
          </cell>
          <cell r="R42">
            <v>6</v>
          </cell>
          <cell r="T42">
            <v>10</v>
          </cell>
          <cell r="AC42">
            <v>1</v>
          </cell>
          <cell r="AD42">
            <v>0</v>
          </cell>
          <cell r="AF42">
            <v>6</v>
          </cell>
        </row>
        <row r="43">
          <cell r="F43">
            <v>3</v>
          </cell>
          <cell r="G43">
            <v>17.79</v>
          </cell>
          <cell r="H43">
            <v>12.67</v>
          </cell>
          <cell r="Q43">
            <v>1</v>
          </cell>
          <cell r="R43">
            <v>0</v>
          </cell>
          <cell r="T43">
            <v>6</v>
          </cell>
          <cell r="AC43">
            <v>2</v>
          </cell>
          <cell r="AD43">
            <v>0</v>
          </cell>
          <cell r="AF43">
            <v>3</v>
          </cell>
        </row>
        <row r="44">
          <cell r="F44">
            <v>3</v>
          </cell>
          <cell r="G44">
            <v>16.9</v>
          </cell>
          <cell r="H44">
            <v>14.3</v>
          </cell>
          <cell r="Q44">
            <v>0</v>
          </cell>
          <cell r="R44">
            <v>2</v>
          </cell>
          <cell r="T44">
            <v>6</v>
          </cell>
          <cell r="AC44">
            <v>1</v>
          </cell>
          <cell r="AD44">
            <v>0</v>
          </cell>
          <cell r="AF44">
            <v>0</v>
          </cell>
        </row>
        <row r="45">
          <cell r="F45">
            <v>3</v>
          </cell>
          <cell r="G45">
            <v>25.1</v>
          </cell>
          <cell r="H45">
            <v>5.3</v>
          </cell>
          <cell r="Q45">
            <v>3</v>
          </cell>
          <cell r="R45">
            <v>5</v>
          </cell>
          <cell r="T45">
            <v>9</v>
          </cell>
          <cell r="AC45">
            <v>0</v>
          </cell>
          <cell r="AD45">
            <v>0</v>
          </cell>
          <cell r="AF45">
            <v>2</v>
          </cell>
        </row>
        <row r="46">
          <cell r="F46">
            <v>2</v>
          </cell>
        </row>
        <row r="47">
          <cell r="F47">
            <v>3</v>
          </cell>
          <cell r="G47">
            <v>2.3</v>
          </cell>
          <cell r="H47">
            <v>30.35</v>
          </cell>
          <cell r="Q47">
            <v>0</v>
          </cell>
          <cell r="R47">
            <v>0</v>
          </cell>
          <cell r="T47">
            <v>2</v>
          </cell>
          <cell r="AC47">
            <v>0</v>
          </cell>
          <cell r="AD47">
            <v>0</v>
          </cell>
          <cell r="AF47">
            <v>6</v>
          </cell>
        </row>
        <row r="48">
          <cell r="F48">
            <v>3</v>
          </cell>
          <cell r="G48">
            <v>0</v>
          </cell>
          <cell r="H48">
            <v>33.2</v>
          </cell>
          <cell r="Q48">
            <v>0</v>
          </cell>
          <cell r="R48">
            <v>0</v>
          </cell>
          <cell r="T48">
            <v>0</v>
          </cell>
          <cell r="AC48">
            <v>0</v>
          </cell>
          <cell r="AD48">
            <v>0</v>
          </cell>
          <cell r="AF48">
            <v>0</v>
          </cell>
        </row>
        <row r="49">
          <cell r="F49">
            <v>3</v>
          </cell>
          <cell r="G49">
            <v>22.4</v>
          </cell>
          <cell r="H49">
            <v>13.600000000000001</v>
          </cell>
          <cell r="Q49">
            <v>0</v>
          </cell>
          <cell r="R49">
            <v>9</v>
          </cell>
          <cell r="T49">
            <v>13</v>
          </cell>
          <cell r="AC49">
            <v>0</v>
          </cell>
          <cell r="AD49">
            <v>0</v>
          </cell>
          <cell r="AF49">
            <v>6</v>
          </cell>
        </row>
        <row r="50">
          <cell r="F50">
            <v>1</v>
          </cell>
          <cell r="G50">
            <v>0</v>
          </cell>
          <cell r="H50">
            <v>9.9</v>
          </cell>
          <cell r="Q50">
            <v>0</v>
          </cell>
          <cell r="R50">
            <v>0</v>
          </cell>
          <cell r="T50">
            <v>0</v>
          </cell>
          <cell r="AC50">
            <v>0</v>
          </cell>
          <cell r="AD50">
            <v>0</v>
          </cell>
          <cell r="AF50">
            <v>0</v>
          </cell>
        </row>
        <row r="59">
          <cell r="G59">
            <v>0</v>
          </cell>
          <cell r="Q59">
            <v>0</v>
          </cell>
          <cell r="R59">
            <v>0</v>
          </cell>
          <cell r="T59">
            <v>0</v>
          </cell>
          <cell r="AC59">
            <v>0</v>
          </cell>
          <cell r="AD59">
            <v>0</v>
          </cell>
          <cell r="AF59">
            <v>0</v>
          </cell>
        </row>
        <row r="60">
          <cell r="F60">
            <v>5</v>
          </cell>
          <cell r="G60">
            <v>56.3</v>
          </cell>
          <cell r="Q60">
            <v>3</v>
          </cell>
          <cell r="R60">
            <v>12</v>
          </cell>
          <cell r="T60">
            <v>11</v>
          </cell>
          <cell r="AC60">
            <v>0</v>
          </cell>
          <cell r="AD60">
            <v>0</v>
          </cell>
          <cell r="AF60">
            <v>4</v>
          </cell>
        </row>
        <row r="62">
          <cell r="F62">
            <v>2</v>
          </cell>
          <cell r="G62">
            <v>25.700000000000003</v>
          </cell>
          <cell r="H62">
            <v>2.9</v>
          </cell>
          <cell r="Q62">
            <v>0</v>
          </cell>
          <cell r="R62">
            <v>0</v>
          </cell>
          <cell r="T62">
            <v>3</v>
          </cell>
          <cell r="AC62">
            <v>0</v>
          </cell>
          <cell r="AD62">
            <v>0</v>
          </cell>
          <cell r="AF62">
            <v>0</v>
          </cell>
        </row>
        <row r="63">
          <cell r="F63">
            <v>20</v>
          </cell>
          <cell r="G63">
            <v>213.2</v>
          </cell>
          <cell r="H63">
            <v>25.7</v>
          </cell>
          <cell r="Q63">
            <v>28</v>
          </cell>
          <cell r="R63">
            <v>52</v>
          </cell>
          <cell r="T63">
            <v>38</v>
          </cell>
          <cell r="AC63">
            <v>2</v>
          </cell>
          <cell r="AD63">
            <v>8</v>
          </cell>
          <cell r="AF63">
            <v>10</v>
          </cell>
        </row>
        <row r="64">
          <cell r="F64">
            <v>5</v>
          </cell>
          <cell r="G64">
            <v>57.2</v>
          </cell>
          <cell r="H64">
            <v>7</v>
          </cell>
          <cell r="Q64">
            <v>8</v>
          </cell>
          <cell r="R64">
            <v>25</v>
          </cell>
          <cell r="T64">
            <v>13</v>
          </cell>
          <cell r="AC64">
            <v>0</v>
          </cell>
          <cell r="AD64">
            <v>0</v>
          </cell>
          <cell r="AF64">
            <v>1</v>
          </cell>
        </row>
        <row r="65">
          <cell r="F65">
            <v>3</v>
          </cell>
          <cell r="G65">
            <v>31.1</v>
          </cell>
          <cell r="H65">
            <v>4.2</v>
          </cell>
          <cell r="Q65">
            <v>11</v>
          </cell>
          <cell r="R65">
            <v>11</v>
          </cell>
          <cell r="T65">
            <v>13</v>
          </cell>
          <cell r="AC65">
            <v>3</v>
          </cell>
          <cell r="AD65">
            <v>0</v>
          </cell>
          <cell r="AF65">
            <v>4</v>
          </cell>
        </row>
        <row r="66">
          <cell r="F66">
            <v>3</v>
          </cell>
          <cell r="G66">
            <v>28</v>
          </cell>
          <cell r="H66">
            <v>12.5</v>
          </cell>
          <cell r="Q66">
            <v>10</v>
          </cell>
          <cell r="R66">
            <v>11</v>
          </cell>
          <cell r="T66">
            <v>16</v>
          </cell>
          <cell r="AC66">
            <v>2</v>
          </cell>
          <cell r="AD66">
            <v>7</v>
          </cell>
          <cell r="AF66">
            <v>4</v>
          </cell>
        </row>
        <row r="67">
          <cell r="F67">
            <v>7</v>
          </cell>
          <cell r="G67">
            <v>76.49999999999999</v>
          </cell>
          <cell r="H67">
            <v>3</v>
          </cell>
          <cell r="Q67">
            <v>5</v>
          </cell>
          <cell r="R67">
            <v>34</v>
          </cell>
          <cell r="T67">
            <v>12</v>
          </cell>
          <cell r="AC67">
            <v>0</v>
          </cell>
          <cell r="AD67">
            <v>0</v>
          </cell>
          <cell r="AF67">
            <v>0</v>
          </cell>
        </row>
        <row r="68">
          <cell r="F68">
            <v>7</v>
          </cell>
          <cell r="G68">
            <v>63.3</v>
          </cell>
          <cell r="H68">
            <v>6.2</v>
          </cell>
          <cell r="Q68">
            <v>0</v>
          </cell>
          <cell r="R68">
            <v>0</v>
          </cell>
          <cell r="T68">
            <v>13</v>
          </cell>
          <cell r="AC68">
            <v>0</v>
          </cell>
          <cell r="AD68">
            <v>0</v>
          </cell>
          <cell r="AF68">
            <v>2</v>
          </cell>
        </row>
        <row r="69">
          <cell r="F69">
            <v>38</v>
          </cell>
          <cell r="G69">
            <v>412.8</v>
          </cell>
          <cell r="H69">
            <v>6.2</v>
          </cell>
          <cell r="Q69">
            <v>50</v>
          </cell>
          <cell r="R69">
            <v>162</v>
          </cell>
          <cell r="T69">
            <v>94</v>
          </cell>
          <cell r="AC69">
            <v>0</v>
          </cell>
          <cell r="AD69">
            <v>0</v>
          </cell>
          <cell r="AF69">
            <v>0</v>
          </cell>
        </row>
        <row r="81">
          <cell r="F81">
            <v>1</v>
          </cell>
          <cell r="G81">
            <v>10</v>
          </cell>
          <cell r="H81">
            <v>0</v>
          </cell>
          <cell r="Q81">
            <v>2</v>
          </cell>
          <cell r="R81">
            <v>0</v>
          </cell>
          <cell r="T81">
            <v>2</v>
          </cell>
          <cell r="AC81">
            <v>0</v>
          </cell>
          <cell r="AD81">
            <v>0</v>
          </cell>
          <cell r="AF81">
            <v>0</v>
          </cell>
        </row>
        <row r="82">
          <cell r="F82">
            <v>5</v>
          </cell>
          <cell r="G82">
            <v>50</v>
          </cell>
          <cell r="H82">
            <v>0</v>
          </cell>
          <cell r="Q82">
            <v>3</v>
          </cell>
          <cell r="R82">
            <v>2</v>
          </cell>
          <cell r="T82">
            <v>6</v>
          </cell>
          <cell r="AC82">
            <v>0</v>
          </cell>
          <cell r="AD82">
            <v>0</v>
          </cell>
          <cell r="AF82">
            <v>0</v>
          </cell>
        </row>
        <row r="83">
          <cell r="F83">
            <v>22</v>
          </cell>
          <cell r="G83">
            <v>171</v>
          </cell>
          <cell r="H83">
            <v>49</v>
          </cell>
          <cell r="Q83">
            <v>9</v>
          </cell>
          <cell r="R83">
            <v>11</v>
          </cell>
          <cell r="T83">
            <v>25</v>
          </cell>
          <cell r="AC83">
            <v>0</v>
          </cell>
          <cell r="AD83">
            <v>0</v>
          </cell>
          <cell r="AF83">
            <v>9</v>
          </cell>
        </row>
        <row r="84">
          <cell r="F84">
            <v>4</v>
          </cell>
          <cell r="G84">
            <v>18</v>
          </cell>
          <cell r="H84">
            <v>22</v>
          </cell>
          <cell r="Q84">
            <v>2</v>
          </cell>
          <cell r="R84">
            <v>0</v>
          </cell>
          <cell r="T84">
            <v>3</v>
          </cell>
          <cell r="AC84">
            <v>10</v>
          </cell>
          <cell r="AD84">
            <v>5</v>
          </cell>
          <cell r="AF84">
            <v>2</v>
          </cell>
        </row>
        <row r="85">
          <cell r="F85">
            <v>0</v>
          </cell>
          <cell r="G85">
            <v>0</v>
          </cell>
          <cell r="H85">
            <v>0</v>
          </cell>
          <cell r="Q85">
            <v>0</v>
          </cell>
          <cell r="R85">
            <v>0</v>
          </cell>
          <cell r="T85">
            <v>0</v>
          </cell>
          <cell r="AC85">
            <v>0</v>
          </cell>
          <cell r="AD85">
            <v>0</v>
          </cell>
          <cell r="AF85">
            <v>0</v>
          </cell>
        </row>
        <row r="86">
          <cell r="F86">
            <v>3</v>
          </cell>
          <cell r="G86">
            <v>10.2</v>
          </cell>
          <cell r="H86">
            <v>21.6</v>
          </cell>
          <cell r="Q86">
            <v>5</v>
          </cell>
          <cell r="R86">
            <v>11</v>
          </cell>
          <cell r="T86">
            <v>5</v>
          </cell>
          <cell r="AC86">
            <v>11</v>
          </cell>
          <cell r="AD86">
            <v>11</v>
          </cell>
          <cell r="AF86">
            <v>10</v>
          </cell>
        </row>
        <row r="87">
          <cell r="F87">
            <v>0</v>
          </cell>
          <cell r="G87">
            <v>0</v>
          </cell>
          <cell r="H87">
            <v>0</v>
          </cell>
          <cell r="Q87">
            <v>0</v>
          </cell>
          <cell r="R87">
            <v>0</v>
          </cell>
          <cell r="T87">
            <v>0</v>
          </cell>
          <cell r="AC87">
            <v>0</v>
          </cell>
          <cell r="AD87">
            <v>0</v>
          </cell>
          <cell r="AF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Q88">
            <v>0</v>
          </cell>
          <cell r="R88">
            <v>0</v>
          </cell>
          <cell r="T88">
            <v>0</v>
          </cell>
          <cell r="AC88">
            <v>0</v>
          </cell>
          <cell r="AD88">
            <v>0</v>
          </cell>
          <cell r="AF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Q89">
            <v>0</v>
          </cell>
          <cell r="R89">
            <v>0</v>
          </cell>
          <cell r="T89">
            <v>0</v>
          </cell>
          <cell r="AC89">
            <v>0</v>
          </cell>
          <cell r="AD89">
            <v>0</v>
          </cell>
          <cell r="AF89">
            <v>0</v>
          </cell>
        </row>
        <row r="90">
          <cell r="F90">
            <v>2</v>
          </cell>
          <cell r="G90">
            <v>0</v>
          </cell>
          <cell r="H90">
            <v>21.7</v>
          </cell>
          <cell r="Q90">
            <v>0</v>
          </cell>
          <cell r="R90">
            <v>0</v>
          </cell>
          <cell r="T90">
            <v>0</v>
          </cell>
          <cell r="AC90">
            <v>11</v>
          </cell>
          <cell r="AD90">
            <v>18</v>
          </cell>
          <cell r="AF90">
            <v>9</v>
          </cell>
        </row>
        <row r="91">
          <cell r="AC91">
            <v>0</v>
          </cell>
          <cell r="AD91">
            <v>0</v>
          </cell>
          <cell r="AF91">
            <v>0</v>
          </cell>
        </row>
        <row r="92">
          <cell r="F92">
            <v>5</v>
          </cell>
          <cell r="G92">
            <v>29.2</v>
          </cell>
          <cell r="H92">
            <v>26.8</v>
          </cell>
          <cell r="Q92">
            <v>11</v>
          </cell>
          <cell r="R92">
            <v>18</v>
          </cell>
          <cell r="T92">
            <v>10</v>
          </cell>
        </row>
        <row r="93">
          <cell r="F93">
            <v>0</v>
          </cell>
          <cell r="G93">
            <v>0</v>
          </cell>
          <cell r="H93">
            <v>0</v>
          </cell>
          <cell r="Q93">
            <v>0</v>
          </cell>
          <cell r="R93">
            <v>0</v>
          </cell>
          <cell r="T93">
            <v>0</v>
          </cell>
          <cell r="AC93">
            <v>0</v>
          </cell>
          <cell r="AD93">
            <v>0</v>
          </cell>
          <cell r="AF93">
            <v>0</v>
          </cell>
        </row>
        <row r="94">
          <cell r="F94">
            <v>3</v>
          </cell>
          <cell r="G94">
            <v>10.5</v>
          </cell>
          <cell r="H94">
            <v>22</v>
          </cell>
          <cell r="Q94">
            <v>6</v>
          </cell>
          <cell r="R94">
            <v>7</v>
          </cell>
          <cell r="T94">
            <v>5</v>
          </cell>
          <cell r="AC94">
            <v>11</v>
          </cell>
          <cell r="AD94">
            <v>12</v>
          </cell>
          <cell r="AF94">
            <v>11</v>
          </cell>
        </row>
        <row r="95">
          <cell r="F95">
            <v>1</v>
          </cell>
          <cell r="G95">
            <v>0</v>
          </cell>
          <cell r="H95">
            <v>10.3</v>
          </cell>
          <cell r="Q95">
            <v>0</v>
          </cell>
          <cell r="R95">
            <v>0</v>
          </cell>
          <cell r="T95">
            <v>0</v>
          </cell>
          <cell r="AC95">
            <v>5</v>
          </cell>
          <cell r="AD95">
            <v>3</v>
          </cell>
          <cell r="AF95">
            <v>5</v>
          </cell>
        </row>
        <row r="96">
          <cell r="F96">
            <v>0</v>
          </cell>
          <cell r="G96">
            <v>0</v>
          </cell>
          <cell r="H96">
            <v>0</v>
          </cell>
          <cell r="Q96">
            <v>0</v>
          </cell>
          <cell r="R96">
            <v>0</v>
          </cell>
          <cell r="T96">
            <v>0</v>
          </cell>
          <cell r="AC96">
            <v>0</v>
          </cell>
          <cell r="AD96">
            <v>0</v>
          </cell>
          <cell r="AF96">
            <v>0</v>
          </cell>
        </row>
        <row r="97">
          <cell r="F97">
            <v>1</v>
          </cell>
          <cell r="G97">
            <v>7.8</v>
          </cell>
          <cell r="H97">
            <v>4</v>
          </cell>
          <cell r="Q97">
            <v>13</v>
          </cell>
          <cell r="R97">
            <v>9</v>
          </cell>
          <cell r="T97">
            <v>6</v>
          </cell>
          <cell r="AC97">
            <v>6</v>
          </cell>
          <cell r="AD97">
            <v>0</v>
          </cell>
          <cell r="AF97">
            <v>5</v>
          </cell>
        </row>
        <row r="98">
          <cell r="F98">
            <v>6</v>
          </cell>
          <cell r="G98">
            <v>31.099999999999998</v>
          </cell>
          <cell r="H98">
            <v>35</v>
          </cell>
          <cell r="Q98">
            <v>17</v>
          </cell>
          <cell r="R98">
            <v>26</v>
          </cell>
          <cell r="T98">
            <v>19</v>
          </cell>
          <cell r="AC98">
            <v>16</v>
          </cell>
          <cell r="AD98">
            <v>28</v>
          </cell>
          <cell r="AF98">
            <v>17</v>
          </cell>
        </row>
        <row r="113">
          <cell r="F113">
            <v>0</v>
          </cell>
          <cell r="G113">
            <v>0</v>
          </cell>
          <cell r="H113">
            <v>0</v>
          </cell>
          <cell r="Q113">
            <v>0</v>
          </cell>
          <cell r="R113">
            <v>0</v>
          </cell>
          <cell r="T113">
            <v>0</v>
          </cell>
          <cell r="AC113">
            <v>0</v>
          </cell>
          <cell r="AD113">
            <v>0</v>
          </cell>
          <cell r="AF113">
            <v>0</v>
          </cell>
        </row>
        <row r="114">
          <cell r="F114">
            <v>10</v>
          </cell>
          <cell r="G114">
            <v>75.5</v>
          </cell>
          <cell r="H114">
            <v>24.5</v>
          </cell>
          <cell r="Q114">
            <v>19</v>
          </cell>
          <cell r="R114">
            <v>16</v>
          </cell>
          <cell r="T114">
            <v>22</v>
          </cell>
          <cell r="AC114">
            <v>7</v>
          </cell>
          <cell r="AD114">
            <v>29</v>
          </cell>
          <cell r="AF114">
            <v>9</v>
          </cell>
        </row>
        <row r="115">
          <cell r="F115">
            <v>4</v>
          </cell>
          <cell r="G115">
            <v>44.599999999999994</v>
          </cell>
          <cell r="H115">
            <v>3.0999999999999996</v>
          </cell>
          <cell r="Q115">
            <v>5</v>
          </cell>
          <cell r="R115">
            <v>8</v>
          </cell>
          <cell r="T115">
            <v>8</v>
          </cell>
          <cell r="AC115">
            <v>0</v>
          </cell>
          <cell r="AD115">
            <v>0</v>
          </cell>
          <cell r="AF115">
            <v>3</v>
          </cell>
        </row>
        <row r="116">
          <cell r="F116">
            <v>2</v>
          </cell>
          <cell r="G116">
            <v>23.9</v>
          </cell>
          <cell r="H116">
            <v>1.7</v>
          </cell>
          <cell r="Q116">
            <v>1</v>
          </cell>
          <cell r="R116">
            <v>0</v>
          </cell>
          <cell r="T116">
            <v>3</v>
          </cell>
          <cell r="AC116">
            <v>0</v>
          </cell>
          <cell r="AD116">
            <v>0</v>
          </cell>
          <cell r="AF116">
            <v>2</v>
          </cell>
        </row>
        <row r="117">
          <cell r="F117">
            <v>7</v>
          </cell>
          <cell r="G117">
            <v>57.4</v>
          </cell>
          <cell r="H117">
            <v>22.099999999999998</v>
          </cell>
          <cell r="Q117">
            <v>50</v>
          </cell>
          <cell r="R117">
            <v>15</v>
          </cell>
          <cell r="T117">
            <v>48</v>
          </cell>
          <cell r="AC117">
            <v>10</v>
          </cell>
          <cell r="AD117">
            <v>24</v>
          </cell>
          <cell r="AF117">
            <v>14</v>
          </cell>
        </row>
        <row r="118">
          <cell r="F118">
            <v>7</v>
          </cell>
          <cell r="G118">
            <v>53.2</v>
          </cell>
          <cell r="H118">
            <v>19.299999999999997</v>
          </cell>
          <cell r="Q118">
            <v>52</v>
          </cell>
          <cell r="R118">
            <v>42</v>
          </cell>
          <cell r="AC118">
            <v>17</v>
          </cell>
          <cell r="AD118">
            <v>17</v>
          </cell>
          <cell r="AF118">
            <v>24</v>
          </cell>
        </row>
        <row r="119">
          <cell r="F119">
            <v>0</v>
          </cell>
          <cell r="G119">
            <v>0</v>
          </cell>
          <cell r="H119">
            <v>0</v>
          </cell>
          <cell r="Q119">
            <v>0</v>
          </cell>
          <cell r="R119">
            <v>0</v>
          </cell>
          <cell r="T119">
            <v>0</v>
          </cell>
          <cell r="AC119">
            <v>0</v>
          </cell>
          <cell r="AD119">
            <v>0</v>
          </cell>
          <cell r="AF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Q120">
            <v>0</v>
          </cell>
          <cell r="R120">
            <v>0</v>
          </cell>
          <cell r="T120">
            <v>0</v>
          </cell>
          <cell r="AC120">
            <v>0</v>
          </cell>
          <cell r="AD120">
            <v>0</v>
          </cell>
          <cell r="AF120">
            <v>0</v>
          </cell>
        </row>
        <row r="121">
          <cell r="F121">
            <v>4</v>
          </cell>
          <cell r="G121">
            <v>0</v>
          </cell>
          <cell r="H121">
            <v>42.43</v>
          </cell>
          <cell r="Q121">
            <v>0</v>
          </cell>
          <cell r="R121">
            <v>0</v>
          </cell>
          <cell r="T121">
            <v>0</v>
          </cell>
          <cell r="AC121">
            <v>0</v>
          </cell>
          <cell r="AD121">
            <v>0</v>
          </cell>
          <cell r="AF121">
            <v>0</v>
          </cell>
        </row>
        <row r="122">
          <cell r="F122">
            <v>34</v>
          </cell>
          <cell r="G122">
            <v>419.59999999999997</v>
          </cell>
          <cell r="H122">
            <v>83.7</v>
          </cell>
          <cell r="Q122">
            <v>30</v>
          </cell>
          <cell r="R122">
            <v>0</v>
          </cell>
          <cell r="T122">
            <v>54</v>
          </cell>
          <cell r="AC122">
            <v>0</v>
          </cell>
          <cell r="AD122">
            <v>0</v>
          </cell>
          <cell r="AF122">
            <v>1</v>
          </cell>
        </row>
        <row r="123">
          <cell r="F123">
            <v>0</v>
          </cell>
          <cell r="G123">
            <v>0</v>
          </cell>
          <cell r="H123">
            <v>0</v>
          </cell>
          <cell r="Q123">
            <v>0</v>
          </cell>
          <cell r="R123">
            <v>0</v>
          </cell>
          <cell r="T123">
            <v>0</v>
          </cell>
          <cell r="AC123">
            <v>0</v>
          </cell>
          <cell r="AD123">
            <v>0</v>
          </cell>
          <cell r="AF123">
            <v>0</v>
          </cell>
        </row>
        <row r="124">
          <cell r="F124">
            <v>1</v>
          </cell>
          <cell r="G124">
            <v>2.23</v>
          </cell>
          <cell r="H124">
            <v>9.94</v>
          </cell>
          <cell r="Q124">
            <v>3</v>
          </cell>
          <cell r="R124">
            <v>0</v>
          </cell>
          <cell r="T124">
            <v>0</v>
          </cell>
          <cell r="AC124">
            <v>3</v>
          </cell>
          <cell r="AD124">
            <v>0</v>
          </cell>
          <cell r="AF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Q125">
            <v>0</v>
          </cell>
          <cell r="R125">
            <v>0</v>
          </cell>
          <cell r="T125">
            <v>0</v>
          </cell>
          <cell r="AC125">
            <v>0</v>
          </cell>
          <cell r="AD125">
            <v>0</v>
          </cell>
          <cell r="AF125">
            <v>0</v>
          </cell>
        </row>
        <row r="135">
          <cell r="F135">
            <v>40</v>
          </cell>
          <cell r="G135">
            <v>414.48999999999995</v>
          </cell>
          <cell r="H135">
            <v>0</v>
          </cell>
          <cell r="Q135">
            <v>37</v>
          </cell>
          <cell r="R135">
            <v>91</v>
          </cell>
          <cell r="T135">
            <v>19</v>
          </cell>
          <cell r="AC135">
            <v>0</v>
          </cell>
          <cell r="AD135">
            <v>0</v>
          </cell>
          <cell r="AF135">
            <v>0</v>
          </cell>
        </row>
        <row r="137">
          <cell r="F137">
            <v>4</v>
          </cell>
          <cell r="G137">
            <v>37.1</v>
          </cell>
          <cell r="H137">
            <v>7.6</v>
          </cell>
          <cell r="Q137">
            <v>22</v>
          </cell>
          <cell r="R137">
            <v>19</v>
          </cell>
          <cell r="T137">
            <v>3</v>
          </cell>
          <cell r="AC137">
            <v>0</v>
          </cell>
          <cell r="AD137">
            <v>0</v>
          </cell>
          <cell r="AF137">
            <v>1</v>
          </cell>
        </row>
        <row r="138">
          <cell r="F138">
            <v>1</v>
          </cell>
          <cell r="G138">
            <v>11.1</v>
          </cell>
          <cell r="H138">
            <v>0</v>
          </cell>
          <cell r="Q138">
            <v>2</v>
          </cell>
          <cell r="R138">
            <v>5</v>
          </cell>
          <cell r="T138">
            <v>1</v>
          </cell>
          <cell r="AC138">
            <v>0</v>
          </cell>
          <cell r="AD138">
            <v>0</v>
          </cell>
          <cell r="AF138">
            <v>0</v>
          </cell>
        </row>
        <row r="139">
          <cell r="F139">
            <v>11</v>
          </cell>
          <cell r="G139">
            <v>71.65</v>
          </cell>
          <cell r="H139">
            <v>51.76</v>
          </cell>
          <cell r="Q139">
            <v>13</v>
          </cell>
          <cell r="R139">
            <v>15</v>
          </cell>
          <cell r="T139">
            <v>8</v>
          </cell>
          <cell r="AC139">
            <v>4</v>
          </cell>
          <cell r="AD139">
            <v>7</v>
          </cell>
          <cell r="AF139">
            <v>3</v>
          </cell>
        </row>
        <row r="153">
          <cell r="F153">
            <v>2</v>
          </cell>
          <cell r="G153">
            <v>7.5</v>
          </cell>
          <cell r="H153">
            <v>14.8</v>
          </cell>
          <cell r="Q153">
            <v>6</v>
          </cell>
          <cell r="R153">
            <v>12</v>
          </cell>
          <cell r="T153">
            <v>5</v>
          </cell>
          <cell r="AC153">
            <v>7</v>
          </cell>
          <cell r="AD153">
            <v>7</v>
          </cell>
          <cell r="AF153">
            <v>10</v>
          </cell>
        </row>
        <row r="154">
          <cell r="F154">
            <v>3</v>
          </cell>
          <cell r="G154">
            <v>25.1</v>
          </cell>
          <cell r="H154">
            <v>4.9</v>
          </cell>
          <cell r="Q154">
            <v>11</v>
          </cell>
          <cell r="R154">
            <v>12</v>
          </cell>
          <cell r="T154">
            <v>8</v>
          </cell>
          <cell r="AC154">
            <v>0</v>
          </cell>
          <cell r="AD154">
            <v>2</v>
          </cell>
          <cell r="AF154">
            <v>1</v>
          </cell>
        </row>
        <row r="155">
          <cell r="F155">
            <v>12</v>
          </cell>
          <cell r="G155">
            <v>148.2</v>
          </cell>
          <cell r="H155">
            <v>0</v>
          </cell>
          <cell r="Q155">
            <v>21</v>
          </cell>
          <cell r="R155">
            <v>48</v>
          </cell>
          <cell r="T155">
            <v>10</v>
          </cell>
          <cell r="AC155">
            <v>0</v>
          </cell>
          <cell r="AD155">
            <v>0</v>
          </cell>
          <cell r="AF155">
            <v>0</v>
          </cell>
        </row>
        <row r="156">
          <cell r="F156">
            <v>3</v>
          </cell>
          <cell r="G156">
            <v>22.4</v>
          </cell>
          <cell r="H156">
            <v>8.7</v>
          </cell>
          <cell r="Q156">
            <v>7</v>
          </cell>
          <cell r="R156">
            <v>13</v>
          </cell>
          <cell r="T156">
            <v>13</v>
          </cell>
          <cell r="AC156">
            <v>2</v>
          </cell>
          <cell r="AD156">
            <v>6</v>
          </cell>
          <cell r="AF156">
            <v>2</v>
          </cell>
        </row>
        <row r="157">
          <cell r="F157">
            <v>2</v>
          </cell>
          <cell r="G157">
            <v>13.1</v>
          </cell>
          <cell r="H157">
            <v>8.2</v>
          </cell>
          <cell r="Q157">
            <v>11</v>
          </cell>
          <cell r="R157">
            <v>10</v>
          </cell>
          <cell r="T157">
            <v>12</v>
          </cell>
          <cell r="AC157">
            <v>2</v>
          </cell>
          <cell r="AD157">
            <v>12</v>
          </cell>
          <cell r="AF157">
            <v>5</v>
          </cell>
        </row>
        <row r="158">
          <cell r="F158">
            <v>3</v>
          </cell>
          <cell r="G158">
            <v>30</v>
          </cell>
          <cell r="H158">
            <v>0</v>
          </cell>
          <cell r="Q158">
            <v>6</v>
          </cell>
          <cell r="R158">
            <v>10</v>
          </cell>
          <cell r="T158">
            <v>5</v>
          </cell>
          <cell r="AC158">
            <v>0</v>
          </cell>
          <cell r="AD158">
            <v>0</v>
          </cell>
          <cell r="AF158">
            <v>0</v>
          </cell>
        </row>
        <row r="159">
          <cell r="F159">
            <v>10</v>
          </cell>
          <cell r="G159">
            <v>100</v>
          </cell>
          <cell r="H159">
            <v>0</v>
          </cell>
          <cell r="Q159">
            <v>10</v>
          </cell>
          <cell r="R159">
            <v>31</v>
          </cell>
          <cell r="T159">
            <v>16</v>
          </cell>
          <cell r="AC159">
            <v>0</v>
          </cell>
          <cell r="AD159">
            <v>0</v>
          </cell>
          <cell r="AF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Q160">
            <v>0</v>
          </cell>
          <cell r="R160">
            <v>0</v>
          </cell>
          <cell r="T160">
            <v>0</v>
          </cell>
          <cell r="AC160">
            <v>0</v>
          </cell>
          <cell r="AD160">
            <v>0</v>
          </cell>
          <cell r="AF160">
            <v>0</v>
          </cell>
        </row>
        <row r="161">
          <cell r="F161">
            <v>4</v>
          </cell>
          <cell r="G161">
            <v>37.7</v>
          </cell>
          <cell r="H161">
            <v>8.899999999999999</v>
          </cell>
          <cell r="Q161">
            <v>10</v>
          </cell>
          <cell r="R161">
            <v>10</v>
          </cell>
          <cell r="T161">
            <v>8</v>
          </cell>
          <cell r="AC161">
            <v>0</v>
          </cell>
          <cell r="AD161">
            <v>0</v>
          </cell>
          <cell r="AF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Q162">
            <v>0</v>
          </cell>
          <cell r="R162">
            <v>0</v>
          </cell>
          <cell r="T162">
            <v>0</v>
          </cell>
          <cell r="AC162">
            <v>0</v>
          </cell>
          <cell r="AD162">
            <v>0</v>
          </cell>
          <cell r="AF162">
            <v>0</v>
          </cell>
        </row>
        <row r="163">
          <cell r="F163">
            <v>3</v>
          </cell>
          <cell r="G163">
            <v>33.599999999999994</v>
          </cell>
          <cell r="H163">
            <v>2.3</v>
          </cell>
          <cell r="Q163">
            <v>9</v>
          </cell>
          <cell r="R163">
            <v>7</v>
          </cell>
          <cell r="T163">
            <v>8</v>
          </cell>
          <cell r="AC163">
            <v>0</v>
          </cell>
          <cell r="AD163">
            <v>0</v>
          </cell>
          <cell r="AF163">
            <v>0</v>
          </cell>
        </row>
        <row r="164">
          <cell r="F164">
            <v>4</v>
          </cell>
          <cell r="G164">
            <v>45.94</v>
          </cell>
          <cell r="H164">
            <v>0</v>
          </cell>
          <cell r="Q164">
            <v>9</v>
          </cell>
          <cell r="R164">
            <v>14</v>
          </cell>
          <cell r="T164">
            <v>18</v>
          </cell>
          <cell r="AC164">
            <v>0</v>
          </cell>
          <cell r="AD164">
            <v>0</v>
          </cell>
          <cell r="AF164">
            <v>0</v>
          </cell>
        </row>
        <row r="173">
          <cell r="F173">
            <v>32</v>
          </cell>
          <cell r="G173">
            <v>290.2</v>
          </cell>
          <cell r="H173">
            <v>29.779999999999998</v>
          </cell>
          <cell r="Q173">
            <v>21</v>
          </cell>
          <cell r="R173">
            <v>72</v>
          </cell>
          <cell r="T173">
            <v>40</v>
          </cell>
          <cell r="AC173">
            <v>0</v>
          </cell>
          <cell r="AD173">
            <v>4</v>
          </cell>
          <cell r="AF173">
            <v>0</v>
          </cell>
        </row>
        <row r="174">
          <cell r="F174">
            <v>5</v>
          </cell>
          <cell r="G174">
            <v>17.06</v>
          </cell>
          <cell r="H174">
            <v>35.230000000000004</v>
          </cell>
          <cell r="Q174">
            <v>0</v>
          </cell>
          <cell r="R174">
            <v>0</v>
          </cell>
          <cell r="T174">
            <v>3</v>
          </cell>
          <cell r="AC174">
            <v>0</v>
          </cell>
          <cell r="AD174">
            <v>5</v>
          </cell>
          <cell r="AF174">
            <v>2</v>
          </cell>
        </row>
        <row r="178">
          <cell r="F178">
            <v>44</v>
          </cell>
          <cell r="G178">
            <v>441.22</v>
          </cell>
          <cell r="J178">
            <v>441.22</v>
          </cell>
          <cell r="Q178">
            <v>47</v>
          </cell>
          <cell r="R178">
            <v>134</v>
          </cell>
          <cell r="T178">
            <v>33</v>
          </cell>
          <cell r="AC178">
            <v>0</v>
          </cell>
          <cell r="AD178">
            <v>0</v>
          </cell>
          <cell r="AF178">
            <v>0</v>
          </cell>
        </row>
        <row r="179">
          <cell r="F179">
            <v>13</v>
          </cell>
          <cell r="G179">
            <v>75.7</v>
          </cell>
          <cell r="J179">
            <v>101.9</v>
          </cell>
          <cell r="Q179">
            <v>42</v>
          </cell>
          <cell r="R179">
            <v>32</v>
          </cell>
          <cell r="T179">
            <v>11</v>
          </cell>
          <cell r="AC179">
            <v>13</v>
          </cell>
          <cell r="AD179">
            <v>9</v>
          </cell>
          <cell r="AF179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-5"/>
      <sheetName val="А-4"/>
      <sheetName val="Норматив и фактически 2016"/>
      <sheetName val="Норматив и фактически 2015"/>
    </sheetNames>
    <sheetDataSet>
      <sheetData sheetId="3">
        <row r="13">
          <cell r="F13">
            <v>660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-5"/>
      <sheetName val="А-4"/>
      <sheetName val="Норматив и фактически 2009"/>
      <sheetName val="Норматив маршрутов и тро (2010)"/>
      <sheetName val="Омолон"/>
    </sheetNames>
    <sheetDataSet>
      <sheetData sheetId="2">
        <row r="14">
          <cell r="F14">
            <v>566</v>
          </cell>
        </row>
        <row r="15">
          <cell r="F15">
            <v>144</v>
          </cell>
        </row>
        <row r="18">
          <cell r="F18">
            <v>40</v>
          </cell>
        </row>
        <row r="19">
          <cell r="F19">
            <v>85</v>
          </cell>
        </row>
        <row r="20">
          <cell r="F20">
            <v>75</v>
          </cell>
        </row>
        <row r="22">
          <cell r="F22">
            <v>136</v>
          </cell>
        </row>
        <row r="23">
          <cell r="F23">
            <v>113</v>
          </cell>
        </row>
        <row r="24">
          <cell r="F24">
            <v>116</v>
          </cell>
        </row>
        <row r="26">
          <cell r="F26">
            <v>201</v>
          </cell>
        </row>
        <row r="30">
          <cell r="F30">
            <v>101</v>
          </cell>
        </row>
        <row r="35">
          <cell r="F35">
            <v>161</v>
          </cell>
        </row>
        <row r="40">
          <cell r="F40">
            <v>125</v>
          </cell>
        </row>
        <row r="41">
          <cell r="F41">
            <v>240</v>
          </cell>
        </row>
        <row r="59">
          <cell r="F59">
            <v>310</v>
          </cell>
        </row>
        <row r="61">
          <cell r="F61">
            <v>246</v>
          </cell>
        </row>
        <row r="62">
          <cell r="F62">
            <v>1221</v>
          </cell>
        </row>
        <row r="64">
          <cell r="F64">
            <v>662</v>
          </cell>
        </row>
        <row r="71">
          <cell r="F71">
            <v>225</v>
          </cell>
        </row>
        <row r="72">
          <cell r="F72">
            <v>520</v>
          </cell>
        </row>
        <row r="73">
          <cell r="F73">
            <v>2256</v>
          </cell>
        </row>
        <row r="74">
          <cell r="F74">
            <v>256</v>
          </cell>
        </row>
        <row r="75">
          <cell r="F75">
            <v>1728</v>
          </cell>
        </row>
        <row r="78">
          <cell r="F78">
            <v>202</v>
          </cell>
        </row>
        <row r="81">
          <cell r="F81">
            <v>110</v>
          </cell>
        </row>
        <row r="87">
          <cell r="F87">
            <v>160</v>
          </cell>
        </row>
        <row r="96">
          <cell r="F96">
            <v>307</v>
          </cell>
        </row>
        <row r="97">
          <cell r="F97">
            <v>177</v>
          </cell>
        </row>
        <row r="116">
          <cell r="F116">
            <v>37</v>
          </cell>
        </row>
        <row r="121">
          <cell r="F121">
            <v>1679</v>
          </cell>
        </row>
        <row r="126">
          <cell r="F126">
            <v>2316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-5"/>
      <sheetName val="А-4"/>
      <sheetName val="Норматив и фактически 2011"/>
      <sheetName val="Лист1"/>
      <sheetName val="Норматив и фактически 2011 (2)"/>
    </sheetNames>
    <sheetDataSet>
      <sheetData sheetId="2">
        <row r="32">
          <cell r="F32">
            <v>103</v>
          </cell>
        </row>
        <row r="58">
          <cell r="F58">
            <v>282</v>
          </cell>
        </row>
        <row r="62">
          <cell r="F62">
            <v>45</v>
          </cell>
        </row>
        <row r="67">
          <cell r="F67">
            <v>336</v>
          </cell>
        </row>
        <row r="100">
          <cell r="F100">
            <v>215</v>
          </cell>
        </row>
        <row r="116">
          <cell r="F116">
            <v>2465</v>
          </cell>
        </row>
        <row r="124">
          <cell r="F124">
            <v>46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действующих пользователе"/>
    </sheetNames>
    <sheetDataSet>
      <sheetData sheetId="0">
        <row r="127">
          <cell r="I127">
            <v>246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K121"/>
  <sheetViews>
    <sheetView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C1" sqref="C1:W1"/>
    </sheetView>
  </sheetViews>
  <sheetFormatPr defaultColWidth="9.140625" defaultRowHeight="12.75"/>
  <cols>
    <col min="1" max="1" width="3.421875" style="0" customWidth="1"/>
    <col min="2" max="2" width="7.7109375" style="0" customWidth="1"/>
    <col min="3" max="3" width="36.00390625" style="0" customWidth="1"/>
    <col min="4" max="4" width="8.00390625" style="0" customWidth="1"/>
    <col min="5" max="5" width="13.57421875" style="0" customWidth="1"/>
    <col min="6" max="6" width="10.57421875" style="0" customWidth="1"/>
    <col min="7" max="7" width="11.00390625" style="29" customWidth="1"/>
    <col min="8" max="8" width="9.8515625" style="29" customWidth="1"/>
    <col min="9" max="9" width="9.57421875" style="29" customWidth="1"/>
    <col min="10" max="10" width="9.140625" style="29" customWidth="1"/>
    <col min="11" max="11" width="9.00390625" style="29" customWidth="1"/>
    <col min="12" max="12" width="8.8515625" style="29" customWidth="1"/>
    <col min="13" max="13" width="9.28125" style="29" customWidth="1"/>
    <col min="14" max="14" width="7.7109375" style="29" customWidth="1"/>
    <col min="15" max="15" width="8.8515625" style="29" customWidth="1"/>
    <col min="16" max="16" width="7.28125" style="29" customWidth="1"/>
    <col min="17" max="17" width="7.57421875" style="29" customWidth="1"/>
    <col min="18" max="18" width="9.140625" style="29" customWidth="1"/>
    <col min="19" max="19" width="8.8515625" style="29" customWidth="1"/>
    <col min="20" max="20" width="8.8515625" style="0" customWidth="1"/>
    <col min="21" max="21" width="7.421875" style="0" customWidth="1"/>
    <col min="22" max="22" width="6.8515625" style="0" customWidth="1"/>
    <col min="23" max="23" width="7.421875" style="0" customWidth="1"/>
    <col min="24" max="24" width="7.7109375" style="0" customWidth="1"/>
    <col min="25" max="25" width="7.8515625" style="0" customWidth="1"/>
    <col min="26" max="26" width="5.140625" style="0" customWidth="1"/>
    <col min="27" max="27" width="5.57421875" style="0" customWidth="1"/>
    <col min="28" max="28" width="8.00390625" style="0" customWidth="1"/>
    <col min="29" max="29" width="5.57421875" style="0" customWidth="1"/>
    <col min="30" max="30" width="9.421875" style="0" customWidth="1"/>
    <col min="31" max="31" width="5.00390625" style="0" customWidth="1"/>
    <col min="32" max="32" width="5.421875" style="0" customWidth="1"/>
    <col min="33" max="33" width="5.57421875" style="0" customWidth="1"/>
    <col min="34" max="34" width="5.8515625" style="0" customWidth="1"/>
    <col min="35" max="35" width="5.140625" style="0" customWidth="1"/>
    <col min="36" max="36" width="4.7109375" style="0" customWidth="1"/>
  </cols>
  <sheetData>
    <row r="1" spans="3:23" ht="42" customHeight="1">
      <c r="C1" s="267" t="s">
        <v>179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</row>
    <row r="2" spans="2:34" ht="15.75">
      <c r="B2" s="1" t="s">
        <v>0</v>
      </c>
      <c r="C2" s="1"/>
      <c r="D2" s="1"/>
      <c r="E2" s="1"/>
      <c r="F2" s="1"/>
      <c r="G2" s="64"/>
      <c r="H2" s="64"/>
      <c r="I2" s="64"/>
      <c r="J2" s="64"/>
      <c r="K2" s="64"/>
      <c r="L2" s="64"/>
      <c r="M2" s="64"/>
      <c r="N2" s="64"/>
      <c r="O2" s="65"/>
      <c r="P2" s="65"/>
      <c r="AE2" s="2"/>
      <c r="AF2" s="1"/>
      <c r="AG2" s="1"/>
      <c r="AH2" s="2"/>
    </row>
    <row r="3" spans="2:16" ht="15.75">
      <c r="B3" s="1"/>
      <c r="C3" s="1"/>
      <c r="D3" s="1"/>
      <c r="E3" s="1"/>
      <c r="F3" s="1"/>
      <c r="G3" s="64"/>
      <c r="H3" s="64"/>
      <c r="I3" s="64"/>
      <c r="J3" s="64"/>
      <c r="K3" s="64"/>
      <c r="L3" s="64"/>
      <c r="M3" s="64"/>
      <c r="N3" s="64"/>
      <c r="O3" s="65"/>
      <c r="P3" s="65"/>
    </row>
    <row r="4" spans="1:35" ht="15.75">
      <c r="A4" s="2"/>
      <c r="B4" s="3" t="s">
        <v>2</v>
      </c>
      <c r="C4" s="3"/>
      <c r="D4" s="3"/>
      <c r="E4" s="3"/>
      <c r="F4" s="3"/>
      <c r="G4" s="66" t="s">
        <v>70</v>
      </c>
      <c r="H4" s="66"/>
      <c r="I4" s="66"/>
      <c r="J4" s="66"/>
      <c r="K4" s="66"/>
      <c r="L4" s="66"/>
      <c r="M4" s="66"/>
      <c r="N4" s="66"/>
      <c r="O4" s="65"/>
      <c r="P4" s="65"/>
      <c r="Q4" s="1" t="s">
        <v>1</v>
      </c>
      <c r="R4" s="65"/>
      <c r="S4" s="6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2.75">
      <c r="A5" s="2"/>
      <c r="B5" s="2"/>
      <c r="C5" s="2"/>
      <c r="D5" s="2"/>
      <c r="E5" s="2"/>
      <c r="F5" s="2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45" customHeight="1">
      <c r="A6" s="2"/>
      <c r="B6" s="2" t="s">
        <v>3</v>
      </c>
      <c r="C6" s="3" t="s">
        <v>10</v>
      </c>
      <c r="D6" s="3"/>
      <c r="E6" s="3"/>
      <c r="F6" s="3"/>
      <c r="G6" s="67"/>
      <c r="H6" s="67"/>
      <c r="I6" s="67"/>
      <c r="J6" s="67"/>
      <c r="K6" s="67"/>
      <c r="L6" s="270" t="s">
        <v>48</v>
      </c>
      <c r="M6" s="271"/>
      <c r="N6" s="68"/>
      <c r="O6" s="69">
        <v>33</v>
      </c>
      <c r="P6" s="70" t="s">
        <v>46</v>
      </c>
      <c r="Q6" s="79"/>
      <c r="R6" s="65" t="s">
        <v>5</v>
      </c>
      <c r="S6" s="65"/>
      <c r="T6" s="2"/>
      <c r="U6" s="2"/>
      <c r="V6" s="63">
        <f>D117</f>
        <v>495</v>
      </c>
      <c r="W6" s="2" t="s">
        <v>4</v>
      </c>
      <c r="X6" s="2"/>
      <c r="Y6" s="4"/>
      <c r="Z6" s="2"/>
      <c r="AA6" s="2"/>
      <c r="AB6" s="2"/>
      <c r="AC6" s="2"/>
      <c r="AD6" s="2"/>
      <c r="AE6" s="4"/>
      <c r="AF6" s="2"/>
      <c r="AG6" s="2"/>
      <c r="AH6" s="2"/>
      <c r="AI6" s="2"/>
    </row>
    <row r="7" spans="1:35" ht="12.75">
      <c r="A7" s="2"/>
      <c r="B7" s="2"/>
      <c r="C7" s="2"/>
      <c r="D7" s="2"/>
      <c r="E7" s="2"/>
      <c r="F7" s="2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 t="s">
        <v>6</v>
      </c>
      <c r="S7" s="65"/>
      <c r="T7" s="2"/>
      <c r="U7" s="2"/>
      <c r="V7" s="4">
        <v>186</v>
      </c>
      <c r="W7" s="2" t="s">
        <v>4</v>
      </c>
      <c r="X7" s="2"/>
      <c r="Y7" s="5"/>
      <c r="Z7" s="2"/>
      <c r="AA7" s="2"/>
      <c r="AB7" s="2"/>
      <c r="AC7" s="2"/>
      <c r="AD7" s="2"/>
      <c r="AE7" s="4"/>
      <c r="AF7" s="2"/>
      <c r="AG7" s="2"/>
      <c r="AH7" s="2"/>
      <c r="AI7" s="2"/>
    </row>
    <row r="8" spans="1:35" ht="12.75">
      <c r="A8" s="2"/>
      <c r="B8" s="2" t="s">
        <v>7</v>
      </c>
      <c r="C8" s="2"/>
      <c r="D8" s="2"/>
      <c r="E8" s="2"/>
      <c r="F8" s="2"/>
      <c r="G8" s="65"/>
      <c r="H8" s="65"/>
      <c r="I8" s="65"/>
      <c r="J8" s="65"/>
      <c r="K8" s="71"/>
      <c r="L8" s="71"/>
      <c r="M8" s="72">
        <v>0.48</v>
      </c>
      <c r="N8" s="73"/>
      <c r="O8" s="80" t="s">
        <v>142</v>
      </c>
      <c r="P8" s="81"/>
      <c r="Q8" s="80"/>
      <c r="R8" s="65" t="s">
        <v>8</v>
      </c>
      <c r="S8" s="65"/>
      <c r="T8" s="2"/>
      <c r="U8" s="2"/>
      <c r="V8" s="6">
        <v>450</v>
      </c>
      <c r="W8" s="2" t="s">
        <v>4</v>
      </c>
      <c r="X8" s="2"/>
      <c r="Y8" s="2"/>
      <c r="Z8" s="2"/>
      <c r="AA8" s="2"/>
      <c r="AB8" s="2"/>
      <c r="AC8" s="2"/>
      <c r="AD8" s="2"/>
      <c r="AE8" s="6"/>
      <c r="AF8" s="2"/>
      <c r="AG8" s="2"/>
      <c r="AH8" s="2"/>
      <c r="AI8" s="2"/>
    </row>
    <row r="9" spans="1:26" ht="12.75">
      <c r="A9" s="2"/>
      <c r="B9" s="2"/>
      <c r="C9" s="2"/>
      <c r="D9" s="2"/>
      <c r="E9" s="2"/>
      <c r="F9" s="2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2"/>
      <c r="U9" s="2"/>
      <c r="V9" s="2"/>
      <c r="W9" s="2"/>
      <c r="X9" s="2"/>
      <c r="Y9" s="2"/>
      <c r="Z9" s="2"/>
    </row>
    <row r="10" spans="1:23" ht="95.25" customHeight="1">
      <c r="A10" s="61" t="s">
        <v>9</v>
      </c>
      <c r="B10" s="280" t="s">
        <v>11</v>
      </c>
      <c r="C10" s="281"/>
      <c r="D10" s="62" t="s">
        <v>41</v>
      </c>
      <c r="E10" s="62" t="s">
        <v>125</v>
      </c>
      <c r="F10" s="62" t="s">
        <v>112</v>
      </c>
      <c r="G10" s="75" t="s">
        <v>139</v>
      </c>
      <c r="H10" s="75" t="s">
        <v>140</v>
      </c>
      <c r="I10" s="75" t="s">
        <v>135</v>
      </c>
      <c r="J10" s="75" t="s">
        <v>128</v>
      </c>
      <c r="K10" s="75" t="s">
        <v>127</v>
      </c>
      <c r="L10" s="75" t="s">
        <v>129</v>
      </c>
      <c r="M10" s="75" t="s">
        <v>130</v>
      </c>
      <c r="N10" s="75" t="s">
        <v>131</v>
      </c>
      <c r="O10" s="75" t="s">
        <v>132</v>
      </c>
      <c r="P10" s="75" t="s">
        <v>134</v>
      </c>
      <c r="Q10" s="75" t="s">
        <v>133</v>
      </c>
      <c r="R10" s="75" t="s">
        <v>136</v>
      </c>
      <c r="S10" s="75" t="s">
        <v>137</v>
      </c>
      <c r="T10" s="62" t="s">
        <v>138</v>
      </c>
      <c r="U10" s="62" t="s">
        <v>116</v>
      </c>
      <c r="V10" s="62" t="s">
        <v>117</v>
      </c>
      <c r="W10" s="62" t="s">
        <v>118</v>
      </c>
    </row>
    <row r="11" spans="1:24" ht="23.25" customHeight="1">
      <c r="A11" s="145"/>
      <c r="B11" s="272" t="s">
        <v>104</v>
      </c>
      <c r="C11" s="273"/>
      <c r="D11" s="123">
        <f>'[2]А-4'!$F$10</f>
        <v>2</v>
      </c>
      <c r="E11" s="146">
        <f>E12</f>
        <v>47.5</v>
      </c>
      <c r="F11" s="146">
        <f aca="true" t="shared" si="0" ref="F11:W11">F12</f>
        <v>45.44996540390936</v>
      </c>
      <c r="G11" s="146">
        <f t="shared" si="0"/>
        <v>19.03899050769763</v>
      </c>
      <c r="H11" s="146">
        <f t="shared" si="0"/>
        <v>26.410974896211727</v>
      </c>
      <c r="I11" s="146">
        <f t="shared" si="0"/>
        <v>20</v>
      </c>
      <c r="J11" s="146">
        <f t="shared" si="0"/>
        <v>11.5</v>
      </c>
      <c r="K11" s="146">
        <f t="shared" si="0"/>
        <v>8.5</v>
      </c>
      <c r="L11" s="128">
        <f t="shared" si="0"/>
        <v>1</v>
      </c>
      <c r="M11" s="128">
        <f t="shared" si="0"/>
        <v>0</v>
      </c>
      <c r="N11" s="158">
        <f t="shared" si="0"/>
        <v>0.8695652173913043</v>
      </c>
      <c r="O11" s="128">
        <f t="shared" si="0"/>
        <v>0</v>
      </c>
      <c r="P11" s="128">
        <f t="shared" si="0"/>
        <v>0.4</v>
      </c>
      <c r="Q11" s="128">
        <f t="shared" si="0"/>
        <v>0</v>
      </c>
      <c r="R11" s="128">
        <f t="shared" si="0"/>
        <v>7</v>
      </c>
      <c r="S11" s="128">
        <f t="shared" si="0"/>
        <v>0</v>
      </c>
      <c r="T11" s="128">
        <f t="shared" si="0"/>
        <v>7</v>
      </c>
      <c r="U11" s="128">
        <f t="shared" si="0"/>
        <v>0</v>
      </c>
      <c r="V11" s="128">
        <f t="shared" si="0"/>
        <v>10</v>
      </c>
      <c r="W11" s="128">
        <f t="shared" si="0"/>
        <v>0</v>
      </c>
      <c r="X11" s="53">
        <f aca="true" t="shared" si="1" ref="X11:X74">T11/F11</f>
        <v>0.15401551877524416</v>
      </c>
    </row>
    <row r="12" spans="1:30" ht="20.25" customHeight="1">
      <c r="A12" s="30">
        <v>1</v>
      </c>
      <c r="B12" s="50" t="s">
        <v>99</v>
      </c>
      <c r="C12" s="49"/>
      <c r="D12" s="17">
        <f>'[2]А-4'!$F$10</f>
        <v>2</v>
      </c>
      <c r="E12" s="218">
        <v>47.5</v>
      </c>
      <c r="F12" s="219">
        <f>E12*$Y$13</f>
        <v>45.44996540390936</v>
      </c>
      <c r="G12" s="220">
        <f aca="true" t="shared" si="2" ref="G12:G48">F12*0.4189</f>
        <v>19.03899050769763</v>
      </c>
      <c r="H12" s="220">
        <f aca="true" t="shared" si="3" ref="H12:H48">F12*0.5811</f>
        <v>26.410974896211727</v>
      </c>
      <c r="I12" s="224">
        <f>J12+K12</f>
        <v>20</v>
      </c>
      <c r="J12" s="18">
        <f>'[2]А-4'!$G$10</f>
        <v>11.5</v>
      </c>
      <c r="K12" s="18">
        <f>'[2]А-4'!$H$10</f>
        <v>8.5</v>
      </c>
      <c r="L12" s="23">
        <f>'[2]А-4'!$T$10</f>
        <v>1</v>
      </c>
      <c r="M12" s="23">
        <f>'[2]А-4'!$AF$10</f>
        <v>0</v>
      </c>
      <c r="N12" s="22">
        <f>L12*10/J12</f>
        <v>0.8695652173913043</v>
      </c>
      <c r="O12" s="22">
        <f>M12*10/K12</f>
        <v>0</v>
      </c>
      <c r="P12" s="28">
        <f aca="true" t="shared" si="4" ref="P12:Q49">ROUND(N12*$M$8,1)</f>
        <v>0.4</v>
      </c>
      <c r="Q12" s="22">
        <f>ROUND(O12*$M$8,2)</f>
        <v>0</v>
      </c>
      <c r="R12" s="23">
        <f aca="true" t="shared" si="5" ref="R12:S48">ROUNDDOWN((P12*G12),0)</f>
        <v>7</v>
      </c>
      <c r="S12" s="23">
        <f t="shared" si="5"/>
        <v>0</v>
      </c>
      <c r="T12" s="16">
        <f>R12+S12</f>
        <v>7</v>
      </c>
      <c r="U12" s="26">
        <f>ROUNDDOWN(IF(T12&lt;$O$6,"0",T12*35/100),0)</f>
        <v>0</v>
      </c>
      <c r="V12" s="9">
        <v>10</v>
      </c>
      <c r="W12" s="26">
        <f>IF(V12&lt;=U12,V12,U12)</f>
        <v>0</v>
      </c>
      <c r="X12" s="53">
        <f t="shared" si="1"/>
        <v>0.15401551877524416</v>
      </c>
      <c r="AD12">
        <f>Q13*S13</f>
        <v>2241.65</v>
      </c>
    </row>
    <row r="13" spans="1:30" ht="29.25" customHeight="1">
      <c r="A13" s="30"/>
      <c r="B13" s="274" t="s">
        <v>103</v>
      </c>
      <c r="C13" s="275"/>
      <c r="D13" s="129">
        <f aca="true" t="shared" si="6" ref="D13:M13">SUM(D14:D48)</f>
        <v>85</v>
      </c>
      <c r="E13" s="125">
        <f t="shared" si="6"/>
        <v>5781.110000000001</v>
      </c>
      <c r="F13" s="125">
        <f t="shared" si="6"/>
        <v>5531.6052525514615</v>
      </c>
      <c r="G13" s="125">
        <f t="shared" si="6"/>
        <v>2317.1894402938074</v>
      </c>
      <c r="H13" s="125">
        <f t="shared" si="6"/>
        <v>3214.4158122576537</v>
      </c>
      <c r="I13" s="125">
        <f t="shared" si="6"/>
        <v>880.0799999999998</v>
      </c>
      <c r="J13" s="129">
        <f t="shared" si="6"/>
        <v>647.19</v>
      </c>
      <c r="K13" s="129">
        <f t="shared" si="6"/>
        <v>232.89000000000001</v>
      </c>
      <c r="L13" s="129">
        <f t="shared" si="6"/>
        <v>216</v>
      </c>
      <c r="M13" s="129">
        <f t="shared" si="6"/>
        <v>52</v>
      </c>
      <c r="N13" s="130">
        <f>ROUND(L13/J13*10,2)</f>
        <v>3.34</v>
      </c>
      <c r="O13" s="130">
        <f>ROUND(M13/K13*10,2)</f>
        <v>2.23</v>
      </c>
      <c r="P13" s="125">
        <f t="shared" si="4"/>
        <v>1.6</v>
      </c>
      <c r="Q13" s="130">
        <f>ROUND(O13*$M$8,2)</f>
        <v>1.07</v>
      </c>
      <c r="R13" s="129">
        <f aca="true" t="shared" si="7" ref="R13:W13">SUM(R14:R48)</f>
        <v>2918</v>
      </c>
      <c r="S13" s="125">
        <f t="shared" si="7"/>
        <v>2095</v>
      </c>
      <c r="T13" s="129">
        <f t="shared" si="7"/>
        <v>5013</v>
      </c>
      <c r="U13" s="129">
        <f t="shared" si="7"/>
        <v>1548</v>
      </c>
      <c r="V13" s="129">
        <f t="shared" si="7"/>
        <v>920</v>
      </c>
      <c r="W13" s="129">
        <f t="shared" si="7"/>
        <v>1238</v>
      </c>
      <c r="X13" s="53">
        <f t="shared" si="1"/>
        <v>0.9062468797258709</v>
      </c>
      <c r="Y13" s="53">
        <f>AB13/AB14</f>
        <v>0.9568413769244075</v>
      </c>
      <c r="AB13">
        <v>5531.5</v>
      </c>
      <c r="AD13">
        <v>2473</v>
      </c>
    </row>
    <row r="14" spans="1:28" ht="17.25" customHeight="1">
      <c r="A14" s="30">
        <f>A12+1</f>
        <v>2</v>
      </c>
      <c r="B14" s="50" t="s">
        <v>96</v>
      </c>
      <c r="C14" s="49"/>
      <c r="D14" s="17">
        <f>'[2]А-4'!$F$12</f>
        <v>3</v>
      </c>
      <c r="E14" s="218">
        <f>'[3]Норматив и фактически 2015'!$F$13</f>
        <v>660</v>
      </c>
      <c r="F14" s="219">
        <f aca="true" t="shared" si="8" ref="F14:F48">E14*$Y$13</f>
        <v>631.515308770109</v>
      </c>
      <c r="G14" s="220">
        <f t="shared" si="2"/>
        <v>264.54176284379867</v>
      </c>
      <c r="H14" s="220">
        <f t="shared" si="3"/>
        <v>366.9735459263103</v>
      </c>
      <c r="I14" s="28">
        <f aca="true" t="shared" si="9" ref="I14:I48">J14+K14</f>
        <v>30</v>
      </c>
      <c r="J14" s="14">
        <f>'[2]А-4'!$G$12</f>
        <v>21.6</v>
      </c>
      <c r="K14" s="28">
        <f>'[2]А-4'!$H$12</f>
        <v>8.399999999999999</v>
      </c>
      <c r="L14" s="23">
        <f>'[2]А-4'!$T$12</f>
        <v>5</v>
      </c>
      <c r="M14" s="23">
        <f>'[2]А-4'!$AF$12</f>
        <v>0</v>
      </c>
      <c r="N14" s="22">
        <f>L14*10/J14</f>
        <v>2.314814814814815</v>
      </c>
      <c r="O14" s="22">
        <f>M14*10/K14</f>
        <v>0</v>
      </c>
      <c r="P14" s="28">
        <f t="shared" si="4"/>
        <v>1.1</v>
      </c>
      <c r="Q14" s="28">
        <f t="shared" si="4"/>
        <v>0</v>
      </c>
      <c r="R14" s="23">
        <f t="shared" si="5"/>
        <v>290</v>
      </c>
      <c r="S14" s="23">
        <f t="shared" si="5"/>
        <v>0</v>
      </c>
      <c r="T14" s="16">
        <f aca="true" t="shared" si="10" ref="T14:T48">R14+S14</f>
        <v>290</v>
      </c>
      <c r="U14" s="26">
        <f>ROUNDDOWN(IF(T14&lt;$O$6,"0",T14*35/100),0)</f>
        <v>101</v>
      </c>
      <c r="V14" s="9">
        <v>90</v>
      </c>
      <c r="W14" s="26">
        <f aca="true" t="shared" si="11" ref="W14:W27">IF(V14&lt;=U14,V14,U14)</f>
        <v>90</v>
      </c>
      <c r="X14" s="53">
        <f t="shared" si="1"/>
        <v>0.45921293747380704</v>
      </c>
      <c r="AB14">
        <v>5781</v>
      </c>
    </row>
    <row r="15" spans="1:24" ht="17.25" customHeight="1">
      <c r="A15" s="30">
        <f aca="true" t="shared" si="12" ref="A15:A48">A14+1</f>
        <v>3</v>
      </c>
      <c r="B15" s="50" t="s">
        <v>97</v>
      </c>
      <c r="C15" s="49"/>
      <c r="D15" s="17">
        <f>'[2]А-4'!$F$13</f>
        <v>3</v>
      </c>
      <c r="E15" s="218">
        <f>'[4]Норматив и фактически 2009'!$F$14</f>
        <v>566</v>
      </c>
      <c r="F15" s="219">
        <f t="shared" si="8"/>
        <v>541.5722193392146</v>
      </c>
      <c r="G15" s="220">
        <f t="shared" si="2"/>
        <v>226.864602681197</v>
      </c>
      <c r="H15" s="220">
        <f t="shared" si="3"/>
        <v>314.70761665801757</v>
      </c>
      <c r="I15" s="28">
        <f t="shared" si="9"/>
        <v>29.85</v>
      </c>
      <c r="J15" s="18">
        <f>'[2]А-4'!$G$13</f>
        <v>23.7</v>
      </c>
      <c r="K15" s="18">
        <f>'[2]А-4'!$H$13</f>
        <v>6.15</v>
      </c>
      <c r="L15" s="23">
        <f>'[2]А-4'!$T$13</f>
        <v>3</v>
      </c>
      <c r="M15" s="23">
        <f>'[2]А-4'!$AF$13</f>
        <v>1</v>
      </c>
      <c r="N15" s="22">
        <f aca="true" t="shared" si="13" ref="N15:N22">L15*10/J15</f>
        <v>1.2658227848101267</v>
      </c>
      <c r="O15" s="22">
        <f aca="true" t="shared" si="14" ref="O15:O22">ROUND(M15/K15*10,3)</f>
        <v>1.626</v>
      </c>
      <c r="P15" s="28">
        <f t="shared" si="4"/>
        <v>0.6</v>
      </c>
      <c r="Q15" s="28">
        <f t="shared" si="4"/>
        <v>0.8</v>
      </c>
      <c r="R15" s="23">
        <f t="shared" si="5"/>
        <v>136</v>
      </c>
      <c r="S15" s="23">
        <f t="shared" si="5"/>
        <v>251</v>
      </c>
      <c r="T15" s="16">
        <f t="shared" si="10"/>
        <v>387</v>
      </c>
      <c r="U15" s="26">
        <f aca="true" t="shared" si="15" ref="U15:U80">ROUNDDOWN(IF(T15&lt;$O$6,"0",T15*35/100),0)</f>
        <v>135</v>
      </c>
      <c r="V15" s="9">
        <v>94</v>
      </c>
      <c r="W15" s="26">
        <f t="shared" si="11"/>
        <v>94</v>
      </c>
      <c r="X15" s="53">
        <f t="shared" si="1"/>
        <v>0.7145861367708043</v>
      </c>
    </row>
    <row r="16" spans="1:30" ht="12.75" customHeight="1">
      <c r="A16" s="30">
        <f t="shared" si="12"/>
        <v>4</v>
      </c>
      <c r="B16" s="50" t="s">
        <v>98</v>
      </c>
      <c r="C16" s="49"/>
      <c r="D16" s="17">
        <f>'[2]А-4'!$F$14</f>
        <v>3</v>
      </c>
      <c r="E16" s="218">
        <f>'[4]Норматив и фактически 2009'!$F$15</f>
        <v>144</v>
      </c>
      <c r="F16" s="219">
        <f t="shared" si="8"/>
        <v>137.78515827711468</v>
      </c>
      <c r="G16" s="220">
        <f t="shared" si="2"/>
        <v>57.718202802283336</v>
      </c>
      <c r="H16" s="220">
        <f t="shared" si="3"/>
        <v>80.06695547483133</v>
      </c>
      <c r="I16" s="28">
        <f t="shared" si="9"/>
        <v>30</v>
      </c>
      <c r="J16" s="18">
        <f>'[2]А-4'!$G$14</f>
        <v>26.3</v>
      </c>
      <c r="K16" s="18">
        <f>'[2]А-4'!$H$14</f>
        <v>3.7</v>
      </c>
      <c r="L16" s="23">
        <f>'[2]А-4'!$T$14</f>
        <v>5</v>
      </c>
      <c r="M16" s="23">
        <f>'[2]А-4'!$AF$14</f>
        <v>0</v>
      </c>
      <c r="N16" s="22">
        <f t="shared" si="13"/>
        <v>1.9011406844106464</v>
      </c>
      <c r="O16" s="22">
        <f t="shared" si="14"/>
        <v>0</v>
      </c>
      <c r="P16" s="28">
        <f t="shared" si="4"/>
        <v>0.9</v>
      </c>
      <c r="Q16" s="28">
        <f t="shared" si="4"/>
        <v>0</v>
      </c>
      <c r="R16" s="23">
        <f t="shared" si="5"/>
        <v>51</v>
      </c>
      <c r="S16" s="23">
        <f t="shared" si="5"/>
        <v>0</v>
      </c>
      <c r="T16" s="16">
        <f t="shared" si="10"/>
        <v>51</v>
      </c>
      <c r="U16" s="26">
        <f t="shared" si="15"/>
        <v>17</v>
      </c>
      <c r="V16" s="9">
        <v>48</v>
      </c>
      <c r="W16" s="26">
        <f t="shared" si="11"/>
        <v>17</v>
      </c>
      <c r="X16" s="53">
        <f t="shared" si="1"/>
        <v>0.3701414625327669</v>
      </c>
      <c r="AD16" s="19">
        <f>T13-AD13</f>
        <v>2540</v>
      </c>
    </row>
    <row r="17" spans="1:34" ht="15.75">
      <c r="A17" s="30">
        <f t="shared" si="12"/>
        <v>5</v>
      </c>
      <c r="B17" s="50" t="s">
        <v>100</v>
      </c>
      <c r="C17" s="49"/>
      <c r="D17" s="27">
        <f>'[2]А-4'!$F$16</f>
        <v>3</v>
      </c>
      <c r="E17" s="218">
        <f>'[4]Норматив и фактически 2009'!$F$18</f>
        <v>40</v>
      </c>
      <c r="F17" s="219">
        <f t="shared" si="8"/>
        <v>38.2736550769763</v>
      </c>
      <c r="G17" s="220">
        <f t="shared" si="2"/>
        <v>16.03283411174537</v>
      </c>
      <c r="H17" s="220">
        <f t="shared" si="3"/>
        <v>22.240820965230924</v>
      </c>
      <c r="I17" s="28">
        <f t="shared" si="9"/>
        <v>30.7</v>
      </c>
      <c r="J17" s="77">
        <f>'[2]А-4'!$G$16</f>
        <v>27</v>
      </c>
      <c r="K17" s="77">
        <f>'[2]А-4'!$H$16</f>
        <v>3.7</v>
      </c>
      <c r="L17" s="23">
        <f>'[2]А-4'!$T$16</f>
        <v>14</v>
      </c>
      <c r="M17" s="23">
        <f>'[2]А-4'!$AF$16</f>
        <v>4</v>
      </c>
      <c r="N17" s="22">
        <f t="shared" si="13"/>
        <v>5.185185185185185</v>
      </c>
      <c r="O17" s="22">
        <f t="shared" si="14"/>
        <v>10.811</v>
      </c>
      <c r="P17" s="28">
        <f t="shared" si="4"/>
        <v>2.5</v>
      </c>
      <c r="Q17" s="28">
        <f t="shared" si="4"/>
        <v>5.2</v>
      </c>
      <c r="R17" s="23">
        <f t="shared" si="5"/>
        <v>40</v>
      </c>
      <c r="S17" s="23">
        <f t="shared" si="5"/>
        <v>115</v>
      </c>
      <c r="T17" s="16">
        <f t="shared" si="10"/>
        <v>155</v>
      </c>
      <c r="U17" s="26">
        <f t="shared" si="15"/>
        <v>54</v>
      </c>
      <c r="V17" s="9">
        <v>34</v>
      </c>
      <c r="W17" s="26">
        <f t="shared" si="11"/>
        <v>34</v>
      </c>
      <c r="X17" s="53">
        <f t="shared" si="1"/>
        <v>4.049783060652627</v>
      </c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24" ht="15.75">
      <c r="A18" s="30">
        <f t="shared" si="12"/>
        <v>6</v>
      </c>
      <c r="B18" s="50" t="s">
        <v>101</v>
      </c>
      <c r="C18" s="49"/>
      <c r="D18" s="17">
        <f>'[2]А-4'!$F$17</f>
        <v>3</v>
      </c>
      <c r="E18" s="218">
        <f>'[4]Норматив и фактически 2009'!$F$19</f>
        <v>85</v>
      </c>
      <c r="F18" s="219">
        <f t="shared" si="8"/>
        <v>81.33151703857465</v>
      </c>
      <c r="G18" s="220">
        <f t="shared" si="2"/>
        <v>34.06977248745892</v>
      </c>
      <c r="H18" s="220">
        <f t="shared" si="3"/>
        <v>47.261744551115726</v>
      </c>
      <c r="I18" s="28">
        <f t="shared" si="9"/>
        <v>31.1</v>
      </c>
      <c r="J18" s="77">
        <f>'[2]А-4'!$G$17</f>
        <v>18.1</v>
      </c>
      <c r="K18" s="77">
        <f>'[2]А-4'!$H$17</f>
        <v>13</v>
      </c>
      <c r="L18" s="23">
        <f>'[2]А-4'!$T$17</f>
        <v>14</v>
      </c>
      <c r="M18" s="23">
        <f>'[2]А-4'!$AF$17</f>
        <v>5</v>
      </c>
      <c r="N18" s="22">
        <f t="shared" si="13"/>
        <v>7.734806629834254</v>
      </c>
      <c r="O18" s="22">
        <f t="shared" si="14"/>
        <v>3.846</v>
      </c>
      <c r="P18" s="28">
        <f t="shared" si="4"/>
        <v>3.7</v>
      </c>
      <c r="Q18" s="28">
        <f t="shared" si="4"/>
        <v>1.8</v>
      </c>
      <c r="R18" s="23">
        <f t="shared" si="5"/>
        <v>126</v>
      </c>
      <c r="S18" s="23">
        <f t="shared" si="5"/>
        <v>85</v>
      </c>
      <c r="T18" s="16">
        <f t="shared" si="10"/>
        <v>211</v>
      </c>
      <c r="U18" s="26">
        <f t="shared" si="15"/>
        <v>73</v>
      </c>
      <c r="V18" s="9">
        <v>68</v>
      </c>
      <c r="W18" s="26">
        <f t="shared" si="11"/>
        <v>68</v>
      </c>
      <c r="X18" s="53">
        <f t="shared" si="1"/>
        <v>2.5943202301258568</v>
      </c>
    </row>
    <row r="19" spans="1:24" ht="12.75">
      <c r="A19" s="30">
        <f t="shared" si="12"/>
        <v>7</v>
      </c>
      <c r="B19" s="50" t="s">
        <v>102</v>
      </c>
      <c r="C19" s="50"/>
      <c r="D19" s="17">
        <f>'[2]А-4'!$F$18</f>
        <v>3</v>
      </c>
      <c r="E19" s="218">
        <f>'[4]Норматив и фактически 2009'!$F$20</f>
        <v>75</v>
      </c>
      <c r="F19" s="219">
        <f t="shared" si="8"/>
        <v>71.76310326933056</v>
      </c>
      <c r="G19" s="220">
        <f t="shared" si="2"/>
        <v>30.06156395952257</v>
      </c>
      <c r="H19" s="220">
        <f t="shared" si="3"/>
        <v>41.701539309807984</v>
      </c>
      <c r="I19" s="28">
        <f t="shared" si="9"/>
        <v>30.599999999999998</v>
      </c>
      <c r="J19" s="77">
        <f>'[2]А-4'!$G$18</f>
        <v>19.799999999999997</v>
      </c>
      <c r="K19" s="77">
        <f>'[2]А-4'!$H$18</f>
        <v>10.8</v>
      </c>
      <c r="L19" s="23">
        <f>'[2]А-4'!$T$18</f>
        <v>12</v>
      </c>
      <c r="M19" s="23">
        <f>'[2]А-4'!$AF$18</f>
        <v>3</v>
      </c>
      <c r="N19" s="22">
        <f t="shared" si="13"/>
        <v>6.060606060606061</v>
      </c>
      <c r="O19" s="22">
        <f t="shared" si="14"/>
        <v>2.778</v>
      </c>
      <c r="P19" s="28">
        <f t="shared" si="4"/>
        <v>2.9</v>
      </c>
      <c r="Q19" s="28">
        <f t="shared" si="4"/>
        <v>1.3</v>
      </c>
      <c r="R19" s="23">
        <f t="shared" si="5"/>
        <v>87</v>
      </c>
      <c r="S19" s="23">
        <f t="shared" si="5"/>
        <v>54</v>
      </c>
      <c r="T19" s="16">
        <f t="shared" si="10"/>
        <v>141</v>
      </c>
      <c r="U19" s="26">
        <f t="shared" si="15"/>
        <v>49</v>
      </c>
      <c r="V19" s="9">
        <v>68</v>
      </c>
      <c r="W19" s="26">
        <f t="shared" si="11"/>
        <v>49</v>
      </c>
      <c r="X19" s="53">
        <f t="shared" si="1"/>
        <v>1.964797975232758</v>
      </c>
    </row>
    <row r="20" spans="1:24" s="2" customFormat="1" ht="12.75">
      <c r="A20" s="30">
        <f t="shared" si="12"/>
        <v>8</v>
      </c>
      <c r="B20" s="276" t="s">
        <v>93</v>
      </c>
      <c r="C20" s="277"/>
      <c r="D20" s="17">
        <f>'[2]А-4'!$F$20</f>
        <v>1</v>
      </c>
      <c r="E20" s="218">
        <f>'[4]Норматив и фактически 2009'!$F$22</f>
        <v>136</v>
      </c>
      <c r="F20" s="219">
        <f t="shared" si="8"/>
        <v>130.13042726171943</v>
      </c>
      <c r="G20" s="220">
        <f t="shared" si="2"/>
        <v>54.51163597993427</v>
      </c>
      <c r="H20" s="220">
        <f t="shared" si="3"/>
        <v>75.61879128178515</v>
      </c>
      <c r="I20" s="28">
        <f t="shared" si="9"/>
        <v>12.1</v>
      </c>
      <c r="J20" s="18">
        <f>'[2]А-4'!$G$20</f>
        <v>11</v>
      </c>
      <c r="K20" s="18">
        <f>'[2]А-4'!$H$20</f>
        <v>1.1</v>
      </c>
      <c r="L20" s="23">
        <f>'[2]А-4'!$T$20</f>
        <v>2</v>
      </c>
      <c r="M20" s="23">
        <f>'[2]А-4'!$AF$20</f>
        <v>0</v>
      </c>
      <c r="N20" s="22">
        <f t="shared" si="13"/>
        <v>1.8181818181818181</v>
      </c>
      <c r="O20" s="22">
        <f t="shared" si="14"/>
        <v>0</v>
      </c>
      <c r="P20" s="28">
        <f t="shared" si="4"/>
        <v>0.9</v>
      </c>
      <c r="Q20" s="28">
        <f t="shared" si="4"/>
        <v>0</v>
      </c>
      <c r="R20" s="23">
        <f t="shared" si="5"/>
        <v>49</v>
      </c>
      <c r="S20" s="23">
        <f t="shared" si="5"/>
        <v>0</v>
      </c>
      <c r="T20" s="16">
        <f t="shared" si="10"/>
        <v>49</v>
      </c>
      <c r="U20" s="26">
        <f t="shared" si="15"/>
        <v>17</v>
      </c>
      <c r="V20" s="9">
        <v>9</v>
      </c>
      <c r="W20" s="26">
        <f t="shared" si="11"/>
        <v>9</v>
      </c>
      <c r="X20" s="53">
        <f t="shared" si="1"/>
        <v>0.3765452940644756</v>
      </c>
    </row>
    <row r="21" spans="1:24" s="2" customFormat="1" ht="12.75">
      <c r="A21" s="30">
        <f t="shared" si="12"/>
        <v>9</v>
      </c>
      <c r="B21" s="51" t="s">
        <v>94</v>
      </c>
      <c r="C21" s="51"/>
      <c r="D21" s="17">
        <f>'[2]А-4'!$F$21</f>
        <v>3</v>
      </c>
      <c r="E21" s="218">
        <f>'[4]Норматив и фактически 2009'!$F$23</f>
        <v>113</v>
      </c>
      <c r="F21" s="219">
        <f t="shared" si="8"/>
        <v>108.12307559245805</v>
      </c>
      <c r="G21" s="220">
        <f t="shared" si="2"/>
        <v>45.292756365680674</v>
      </c>
      <c r="H21" s="220">
        <f t="shared" si="3"/>
        <v>62.83031922677737</v>
      </c>
      <c r="I21" s="28">
        <f t="shared" si="9"/>
        <v>36.800000000000004</v>
      </c>
      <c r="J21" s="18">
        <f>'[2]А-4'!$G$21</f>
        <v>31.900000000000002</v>
      </c>
      <c r="K21" s="18">
        <f>'[2]А-4'!$H$21</f>
        <v>4.9</v>
      </c>
      <c r="L21" s="23">
        <f>'[2]А-4'!$T$21</f>
        <v>7</v>
      </c>
      <c r="M21" s="23">
        <f>'[2]А-4'!$AF$21</f>
        <v>0</v>
      </c>
      <c r="N21" s="22">
        <f t="shared" si="13"/>
        <v>2.19435736677116</v>
      </c>
      <c r="O21" s="22">
        <f t="shared" si="14"/>
        <v>0</v>
      </c>
      <c r="P21" s="28">
        <f t="shared" si="4"/>
        <v>1.1</v>
      </c>
      <c r="Q21" s="28">
        <f t="shared" si="4"/>
        <v>0</v>
      </c>
      <c r="R21" s="23">
        <f t="shared" si="5"/>
        <v>49</v>
      </c>
      <c r="S21" s="23">
        <f t="shared" si="5"/>
        <v>0</v>
      </c>
      <c r="T21" s="16">
        <f t="shared" si="10"/>
        <v>49</v>
      </c>
      <c r="U21" s="26">
        <f t="shared" si="15"/>
        <v>17</v>
      </c>
      <c r="V21" s="25">
        <v>8</v>
      </c>
      <c r="W21" s="26">
        <f t="shared" si="11"/>
        <v>8</v>
      </c>
      <c r="X21" s="53">
        <f t="shared" si="1"/>
        <v>0.4531872565731742</v>
      </c>
    </row>
    <row r="22" spans="1:24" ht="12.75">
      <c r="A22" s="30">
        <f t="shared" si="12"/>
        <v>10</v>
      </c>
      <c r="B22" s="51" t="s">
        <v>95</v>
      </c>
      <c r="C22" s="51"/>
      <c r="D22" s="17">
        <f>'[2]А-4'!$F$22</f>
        <v>3</v>
      </c>
      <c r="E22" s="218">
        <v>205</v>
      </c>
      <c r="F22" s="219">
        <f t="shared" si="8"/>
        <v>196.15248226950354</v>
      </c>
      <c r="G22" s="220">
        <f t="shared" si="2"/>
        <v>82.16827482269503</v>
      </c>
      <c r="H22" s="220">
        <f t="shared" si="3"/>
        <v>113.9842074468085</v>
      </c>
      <c r="I22" s="28">
        <f t="shared" si="9"/>
        <v>40.400000000000006</v>
      </c>
      <c r="J22" s="18">
        <f>'[2]А-4'!$G$22</f>
        <v>36.7</v>
      </c>
      <c r="K22" s="18">
        <f>'[2]А-4'!$H$22</f>
        <v>3.7</v>
      </c>
      <c r="L22" s="23">
        <f>'[2]А-4'!$T$22</f>
        <v>7</v>
      </c>
      <c r="M22" s="23">
        <f>'[2]А-4'!$AF$22</f>
        <v>1</v>
      </c>
      <c r="N22" s="22">
        <f t="shared" si="13"/>
        <v>1.9073569482288826</v>
      </c>
      <c r="O22" s="22">
        <f t="shared" si="14"/>
        <v>2.703</v>
      </c>
      <c r="P22" s="28">
        <f t="shared" si="4"/>
        <v>0.9</v>
      </c>
      <c r="Q22" s="28">
        <f t="shared" si="4"/>
        <v>1.3</v>
      </c>
      <c r="R22" s="23">
        <f t="shared" si="5"/>
        <v>73</v>
      </c>
      <c r="S22" s="23">
        <f t="shared" si="5"/>
        <v>148</v>
      </c>
      <c r="T22" s="16">
        <f t="shared" si="10"/>
        <v>221</v>
      </c>
      <c r="U22" s="26">
        <f t="shared" si="15"/>
        <v>77</v>
      </c>
      <c r="V22" s="25">
        <v>54</v>
      </c>
      <c r="W22" s="26">
        <f t="shared" si="11"/>
        <v>54</v>
      </c>
      <c r="X22" s="53">
        <f t="shared" si="1"/>
        <v>1.126674500587544</v>
      </c>
    </row>
    <row r="23" spans="1:24" ht="12" customHeight="1">
      <c r="A23" s="30">
        <f t="shared" si="12"/>
        <v>11</v>
      </c>
      <c r="B23" s="20" t="s">
        <v>42</v>
      </c>
      <c r="C23" s="21"/>
      <c r="D23" s="17">
        <f>'[2]А-4'!$F$23</f>
        <v>0</v>
      </c>
      <c r="E23" s="218">
        <f>'[4]Норматив и фактически 2009'!$F$24</f>
        <v>116</v>
      </c>
      <c r="F23" s="219">
        <f t="shared" si="8"/>
        <v>110.99359972323127</v>
      </c>
      <c r="G23" s="220">
        <f t="shared" si="2"/>
        <v>46.495218924061575</v>
      </c>
      <c r="H23" s="220">
        <f t="shared" si="3"/>
        <v>64.49838079916968</v>
      </c>
      <c r="I23" s="28">
        <f t="shared" si="9"/>
        <v>0</v>
      </c>
      <c r="J23" s="18">
        <f>'[2]А-4'!$G$23</f>
        <v>0</v>
      </c>
      <c r="K23" s="18">
        <f>'[2]А-4'!$H$23</f>
        <v>0</v>
      </c>
      <c r="L23" s="23">
        <f>'[2]А-4'!$T$23</f>
        <v>0</v>
      </c>
      <c r="M23" s="23">
        <f>'[2]А-4'!$AF$23</f>
        <v>0</v>
      </c>
      <c r="N23" s="22">
        <v>0</v>
      </c>
      <c r="O23" s="22">
        <v>0</v>
      </c>
      <c r="P23" s="28">
        <f t="shared" si="4"/>
        <v>0</v>
      </c>
      <c r="Q23" s="28">
        <f t="shared" si="4"/>
        <v>0</v>
      </c>
      <c r="R23" s="23">
        <f t="shared" si="5"/>
        <v>0</v>
      </c>
      <c r="S23" s="23">
        <f t="shared" si="5"/>
        <v>0</v>
      </c>
      <c r="T23" s="16">
        <f t="shared" si="10"/>
        <v>0</v>
      </c>
      <c r="U23" s="26">
        <f t="shared" si="15"/>
        <v>0</v>
      </c>
      <c r="V23" s="9"/>
      <c r="W23" s="26">
        <f t="shared" si="11"/>
        <v>0</v>
      </c>
      <c r="X23" s="53">
        <f t="shared" si="1"/>
        <v>0</v>
      </c>
    </row>
    <row r="24" spans="1:24" s="29" customFormat="1" ht="12.75">
      <c r="A24" s="30">
        <f t="shared" si="12"/>
        <v>12</v>
      </c>
      <c r="B24" s="11" t="s">
        <v>12</v>
      </c>
      <c r="C24" s="7"/>
      <c r="D24" s="18">
        <f>'[2]А-4'!$F$24</f>
        <v>5</v>
      </c>
      <c r="E24" s="28">
        <f>'[4]Норматив и фактически 2009'!$F$26</f>
        <v>201</v>
      </c>
      <c r="F24" s="219">
        <f t="shared" si="8"/>
        <v>192.3251167618059</v>
      </c>
      <c r="G24" s="220">
        <f t="shared" si="2"/>
        <v>80.5649914115205</v>
      </c>
      <c r="H24" s="220">
        <f t="shared" si="3"/>
        <v>111.7601253502854</v>
      </c>
      <c r="I24" s="28">
        <f t="shared" si="9"/>
        <v>54.45</v>
      </c>
      <c r="J24" s="18">
        <f>'[2]А-4'!$G$24</f>
        <v>52.85</v>
      </c>
      <c r="K24" s="18">
        <f>'[2]А-4'!$H$24</f>
        <v>1.6</v>
      </c>
      <c r="L24" s="23">
        <f>'[2]А-4'!$T$24</f>
        <v>11</v>
      </c>
      <c r="M24" s="23">
        <f>'[2]А-4'!$AF$24</f>
        <v>1</v>
      </c>
      <c r="N24" s="22">
        <f>L24*10/J24</f>
        <v>2.0813623462630084</v>
      </c>
      <c r="O24" s="22">
        <f>ROUND(M24/K24*10,3)</f>
        <v>6.25</v>
      </c>
      <c r="P24" s="28">
        <f t="shared" si="4"/>
        <v>1</v>
      </c>
      <c r="Q24" s="28">
        <f t="shared" si="4"/>
        <v>3</v>
      </c>
      <c r="R24" s="23">
        <f t="shared" si="5"/>
        <v>80</v>
      </c>
      <c r="S24" s="23">
        <f t="shared" si="5"/>
        <v>335</v>
      </c>
      <c r="T24" s="16">
        <f t="shared" si="10"/>
        <v>415</v>
      </c>
      <c r="U24" s="26">
        <f t="shared" si="15"/>
        <v>145</v>
      </c>
      <c r="V24" s="7">
        <v>120</v>
      </c>
      <c r="W24" s="26">
        <f t="shared" si="11"/>
        <v>120</v>
      </c>
      <c r="X24" s="53">
        <f t="shared" si="1"/>
        <v>2.157804487460555</v>
      </c>
    </row>
    <row r="25" spans="1:24" s="29" customFormat="1" ht="12.75">
      <c r="A25" s="14">
        <f t="shared" si="12"/>
        <v>13</v>
      </c>
      <c r="B25" s="43" t="s">
        <v>30</v>
      </c>
      <c r="C25" s="7"/>
      <c r="D25" s="18">
        <f>'[2]А-4'!$F$25</f>
        <v>3</v>
      </c>
      <c r="E25" s="28">
        <v>67</v>
      </c>
      <c r="F25" s="225">
        <f t="shared" si="8"/>
        <v>64.1083722539353</v>
      </c>
      <c r="G25" s="220">
        <f t="shared" si="2"/>
        <v>26.8549971371735</v>
      </c>
      <c r="H25" s="220">
        <f t="shared" si="3"/>
        <v>37.2533751167618</v>
      </c>
      <c r="I25" s="28">
        <f t="shared" si="9"/>
        <v>32.4</v>
      </c>
      <c r="J25" s="18">
        <f>'[2]А-4'!$G$25</f>
        <v>26.199999999999996</v>
      </c>
      <c r="K25" s="18">
        <f>'[2]А-4'!$H$25</f>
        <v>6.2</v>
      </c>
      <c r="L25" s="23">
        <f>'[2]А-4'!$T$25</f>
        <v>14</v>
      </c>
      <c r="M25" s="23">
        <f>'[2]А-4'!$AF$25</f>
        <v>3</v>
      </c>
      <c r="N25" s="22">
        <f>L25*10/J25</f>
        <v>5.34351145038168</v>
      </c>
      <c r="O25" s="22">
        <f>ROUND(M25/K25*10,3)</f>
        <v>4.839</v>
      </c>
      <c r="P25" s="28">
        <f t="shared" si="4"/>
        <v>2.6</v>
      </c>
      <c r="Q25" s="28">
        <f t="shared" si="4"/>
        <v>2.3</v>
      </c>
      <c r="R25" s="23">
        <f t="shared" si="5"/>
        <v>69</v>
      </c>
      <c r="S25" s="23">
        <f t="shared" si="5"/>
        <v>85</v>
      </c>
      <c r="T25" s="23">
        <f t="shared" si="10"/>
        <v>154</v>
      </c>
      <c r="U25" s="26">
        <f t="shared" si="15"/>
        <v>53</v>
      </c>
      <c r="V25" s="7">
        <v>50</v>
      </c>
      <c r="W25" s="26">
        <f t="shared" si="11"/>
        <v>50</v>
      </c>
      <c r="X25" s="86">
        <f t="shared" si="1"/>
        <v>2.40218234507657</v>
      </c>
    </row>
    <row r="26" spans="1:24" ht="12.75">
      <c r="A26" s="30">
        <f t="shared" si="12"/>
        <v>14</v>
      </c>
      <c r="B26" s="282" t="s">
        <v>62</v>
      </c>
      <c r="C26" s="283"/>
      <c r="D26" s="17">
        <f>'[2]А-4'!$F$26</f>
        <v>1</v>
      </c>
      <c r="E26" s="218">
        <v>53</v>
      </c>
      <c r="F26" s="219">
        <f t="shared" si="8"/>
        <v>50.7125929769936</v>
      </c>
      <c r="G26" s="220">
        <f t="shared" si="2"/>
        <v>21.243505198062618</v>
      </c>
      <c r="H26" s="220">
        <f t="shared" si="3"/>
        <v>29.469087778930977</v>
      </c>
      <c r="I26" s="28">
        <f t="shared" si="9"/>
        <v>12.4</v>
      </c>
      <c r="J26" s="18">
        <f>'[2]А-4'!$G$26</f>
        <v>10.9</v>
      </c>
      <c r="K26" s="18">
        <f>'[2]А-4'!$H$26</f>
        <v>1.5</v>
      </c>
      <c r="L26" s="23">
        <f>'[2]А-4'!$T$26</f>
        <v>1</v>
      </c>
      <c r="M26" s="23">
        <f>'[2]А-4'!$AF$26</f>
        <v>1</v>
      </c>
      <c r="N26" s="22">
        <f>L26*10/J26</f>
        <v>0.9174311926605504</v>
      </c>
      <c r="O26" s="22">
        <f>ROUND(M26/K26*10,3)</f>
        <v>6.667</v>
      </c>
      <c r="P26" s="28">
        <f t="shared" si="4"/>
        <v>0.4</v>
      </c>
      <c r="Q26" s="28">
        <f t="shared" si="4"/>
        <v>3.2</v>
      </c>
      <c r="R26" s="23">
        <f t="shared" si="5"/>
        <v>8</v>
      </c>
      <c r="S26" s="23">
        <f t="shared" si="5"/>
        <v>94</v>
      </c>
      <c r="T26" s="16">
        <f t="shared" si="10"/>
        <v>102</v>
      </c>
      <c r="U26" s="26">
        <f t="shared" si="15"/>
        <v>35</v>
      </c>
      <c r="V26" s="9">
        <v>0</v>
      </c>
      <c r="W26" s="26">
        <f t="shared" si="11"/>
        <v>0</v>
      </c>
      <c r="X26" s="53">
        <f t="shared" si="1"/>
        <v>2.0113347398006955</v>
      </c>
    </row>
    <row r="27" spans="1:24" ht="12.75">
      <c r="A27" s="30">
        <f t="shared" si="12"/>
        <v>15</v>
      </c>
      <c r="B27" s="284" t="s">
        <v>63</v>
      </c>
      <c r="C27" s="285"/>
      <c r="D27" s="17">
        <f>'[2]А-4'!$F$28</f>
        <v>2</v>
      </c>
      <c r="E27" s="218">
        <f>'[4]Норматив и фактически 2009'!$F$30</f>
        <v>101</v>
      </c>
      <c r="F27" s="219">
        <f t="shared" si="8"/>
        <v>96.64097906936516</v>
      </c>
      <c r="G27" s="220">
        <f t="shared" si="2"/>
        <v>40.48290613215706</v>
      </c>
      <c r="H27" s="220">
        <f t="shared" si="3"/>
        <v>56.15807293720809</v>
      </c>
      <c r="I27" s="28">
        <f t="shared" si="9"/>
        <v>22.700000000000003</v>
      </c>
      <c r="J27" s="18">
        <f>'[2]А-4'!$G$28</f>
        <v>18.6</v>
      </c>
      <c r="K27" s="18">
        <f>'[2]А-4'!$H$28</f>
        <v>4.1</v>
      </c>
      <c r="L27" s="23">
        <f>'[2]А-4'!$T$28</f>
        <v>4</v>
      </c>
      <c r="M27" s="23">
        <f>'[2]А-4'!$AF$28</f>
        <v>0</v>
      </c>
      <c r="N27" s="22">
        <f>L27*10/J27</f>
        <v>2.150537634408602</v>
      </c>
      <c r="O27" s="22">
        <f>ROUND(M27/K27*10,3)</f>
        <v>0</v>
      </c>
      <c r="P27" s="28">
        <f t="shared" si="4"/>
        <v>1</v>
      </c>
      <c r="Q27" s="28">
        <f t="shared" si="4"/>
        <v>0</v>
      </c>
      <c r="R27" s="23">
        <f t="shared" si="5"/>
        <v>40</v>
      </c>
      <c r="S27" s="23">
        <f t="shared" si="5"/>
        <v>0</v>
      </c>
      <c r="T27" s="16">
        <f t="shared" si="10"/>
        <v>40</v>
      </c>
      <c r="U27" s="26">
        <f t="shared" si="15"/>
        <v>14</v>
      </c>
      <c r="V27" s="9">
        <v>0</v>
      </c>
      <c r="W27" s="26">
        <f t="shared" si="11"/>
        <v>0</v>
      </c>
      <c r="X27" s="53">
        <f t="shared" si="1"/>
        <v>0.41390309147519655</v>
      </c>
    </row>
    <row r="28" spans="1:24" ht="12.75">
      <c r="A28" s="30">
        <f t="shared" si="12"/>
        <v>16</v>
      </c>
      <c r="B28" s="52" t="s">
        <v>71</v>
      </c>
      <c r="C28" s="52"/>
      <c r="D28" s="17">
        <f>'[2]А-4'!$F$27</f>
        <v>3</v>
      </c>
      <c r="E28" s="218">
        <v>36</v>
      </c>
      <c r="F28" s="219">
        <f t="shared" si="8"/>
        <v>34.44628956927867</v>
      </c>
      <c r="G28" s="220">
        <f t="shared" si="2"/>
        <v>14.429550700570834</v>
      </c>
      <c r="H28" s="220">
        <f t="shared" si="3"/>
        <v>20.016738868707833</v>
      </c>
      <c r="I28" s="28">
        <f t="shared" si="9"/>
        <v>35.199999999999996</v>
      </c>
      <c r="J28" s="18">
        <f>'[2]А-4'!$G$27</f>
        <v>31.299999999999997</v>
      </c>
      <c r="K28" s="18">
        <f>'[2]А-4'!$H$27</f>
        <v>3.9</v>
      </c>
      <c r="L28" s="23">
        <f>'[2]А-4'!$T$27</f>
        <v>4</v>
      </c>
      <c r="M28" s="23">
        <f>'[2]А-4'!$AF$27</f>
        <v>0</v>
      </c>
      <c r="N28" s="22">
        <f>L28*10/J28</f>
        <v>1.2779552715654954</v>
      </c>
      <c r="O28" s="22">
        <f>ROUND(M28/K28*10,3)</f>
        <v>0</v>
      </c>
      <c r="P28" s="28">
        <f t="shared" si="4"/>
        <v>0.6</v>
      </c>
      <c r="Q28" s="28">
        <f t="shared" si="4"/>
        <v>0</v>
      </c>
      <c r="R28" s="23">
        <f t="shared" si="5"/>
        <v>8</v>
      </c>
      <c r="S28" s="23">
        <f t="shared" si="5"/>
        <v>0</v>
      </c>
      <c r="T28" s="16">
        <f t="shared" si="10"/>
        <v>8</v>
      </c>
      <c r="U28" s="26">
        <f t="shared" si="15"/>
        <v>0</v>
      </c>
      <c r="V28" s="9"/>
      <c r="W28" s="26">
        <f>U28</f>
        <v>0</v>
      </c>
      <c r="X28" s="53">
        <f t="shared" si="1"/>
        <v>0.2322456235499714</v>
      </c>
    </row>
    <row r="29" spans="1:24" ht="12.75">
      <c r="A29" s="30">
        <f t="shared" si="12"/>
        <v>17</v>
      </c>
      <c r="B29" s="20" t="s">
        <v>13</v>
      </c>
      <c r="C29" s="21"/>
      <c r="D29" s="18">
        <f>'[2]А-4'!$F$33</f>
        <v>0</v>
      </c>
      <c r="E29" s="218">
        <f>'[4]Норматив и фактически 2009'!$F$35</f>
        <v>161</v>
      </c>
      <c r="F29" s="219">
        <f t="shared" si="8"/>
        <v>154.0514616848296</v>
      </c>
      <c r="G29" s="220">
        <f t="shared" si="2"/>
        <v>64.53215729977512</v>
      </c>
      <c r="H29" s="220">
        <f t="shared" si="3"/>
        <v>89.51930438505447</v>
      </c>
      <c r="I29" s="28">
        <f t="shared" si="9"/>
        <v>0</v>
      </c>
      <c r="J29" s="18">
        <f>'[2]А-4'!$G$33</f>
        <v>0</v>
      </c>
      <c r="K29" s="18">
        <f>'[2]А-4'!$H$33</f>
        <v>0</v>
      </c>
      <c r="L29" s="23">
        <f>'[2]А-4'!$T$33</f>
        <v>0</v>
      </c>
      <c r="M29" s="23">
        <f>'[2]А-4'!$AF$33</f>
        <v>0</v>
      </c>
      <c r="N29" s="22">
        <v>0</v>
      </c>
      <c r="O29" s="22">
        <v>0</v>
      </c>
      <c r="P29" s="28">
        <f t="shared" si="4"/>
        <v>0</v>
      </c>
      <c r="Q29" s="28">
        <f t="shared" si="4"/>
        <v>0</v>
      </c>
      <c r="R29" s="23">
        <f t="shared" si="5"/>
        <v>0</v>
      </c>
      <c r="S29" s="23">
        <f t="shared" si="5"/>
        <v>0</v>
      </c>
      <c r="T29" s="16">
        <f t="shared" si="10"/>
        <v>0</v>
      </c>
      <c r="U29" s="26">
        <f t="shared" si="15"/>
        <v>0</v>
      </c>
      <c r="V29" s="9"/>
      <c r="W29" s="26">
        <f aca="true" t="shared" si="16" ref="W29:W35">IF(V29&lt;=U29,V29,U29)</f>
        <v>0</v>
      </c>
      <c r="X29" s="53">
        <f t="shared" si="1"/>
        <v>0</v>
      </c>
    </row>
    <row r="30" spans="1:24" ht="12.75">
      <c r="A30" s="30">
        <f t="shared" si="12"/>
        <v>18</v>
      </c>
      <c r="B30" s="20" t="s">
        <v>14</v>
      </c>
      <c r="C30" s="21"/>
      <c r="D30" s="17">
        <f>'[2]А-4'!$F$34</f>
        <v>0</v>
      </c>
      <c r="E30" s="218">
        <v>681</v>
      </c>
      <c r="F30" s="219">
        <f t="shared" si="8"/>
        <v>651.6089776855215</v>
      </c>
      <c r="G30" s="220">
        <f t="shared" si="2"/>
        <v>272.95900075246493</v>
      </c>
      <c r="H30" s="220">
        <f t="shared" si="3"/>
        <v>378.6499769330565</v>
      </c>
      <c r="I30" s="28">
        <f t="shared" si="9"/>
        <v>0</v>
      </c>
      <c r="J30" s="18">
        <f>'[2]А-4'!$G$34</f>
        <v>0</v>
      </c>
      <c r="K30" s="18">
        <f>'[2]А-4'!$H$34</f>
        <v>0</v>
      </c>
      <c r="L30" s="23">
        <f>'[2]А-4'!$T$34</f>
        <v>0</v>
      </c>
      <c r="M30" s="23">
        <f>'[2]А-4'!$AF$34</f>
        <v>0</v>
      </c>
      <c r="N30" s="22">
        <v>0</v>
      </c>
      <c r="O30" s="22">
        <v>0</v>
      </c>
      <c r="P30" s="28">
        <f t="shared" si="4"/>
        <v>0</v>
      </c>
      <c r="Q30" s="28">
        <f t="shared" si="4"/>
        <v>0</v>
      </c>
      <c r="R30" s="23">
        <f t="shared" si="5"/>
        <v>0</v>
      </c>
      <c r="S30" s="23">
        <f t="shared" si="5"/>
        <v>0</v>
      </c>
      <c r="T30" s="16">
        <f t="shared" si="10"/>
        <v>0</v>
      </c>
      <c r="U30" s="26">
        <f t="shared" si="15"/>
        <v>0</v>
      </c>
      <c r="V30" s="9"/>
      <c r="W30" s="26">
        <f t="shared" si="16"/>
        <v>0</v>
      </c>
      <c r="X30" s="53">
        <f t="shared" si="1"/>
        <v>0</v>
      </c>
    </row>
    <row r="31" spans="1:24" ht="12.75">
      <c r="A31" s="30">
        <f t="shared" si="12"/>
        <v>19</v>
      </c>
      <c r="B31" s="243" t="s">
        <v>16</v>
      </c>
      <c r="C31" s="244"/>
      <c r="D31" s="17">
        <f>'[2]А-4'!$F$48</f>
        <v>3</v>
      </c>
      <c r="E31" s="218">
        <v>45</v>
      </c>
      <c r="F31" s="219">
        <f t="shared" si="8"/>
        <v>43.05786196159834</v>
      </c>
      <c r="G31" s="220">
        <f t="shared" si="2"/>
        <v>18.036938375713547</v>
      </c>
      <c r="H31" s="220">
        <f t="shared" si="3"/>
        <v>25.020923585884795</v>
      </c>
      <c r="I31" s="28">
        <f t="shared" si="9"/>
        <v>33.2</v>
      </c>
      <c r="J31" s="18">
        <f>'[2]А-4'!$G$48</f>
        <v>0</v>
      </c>
      <c r="K31" s="18">
        <f>'[2]А-4'!$H$48</f>
        <v>33.2</v>
      </c>
      <c r="L31" s="23">
        <f>'[2]А-4'!$T$48</f>
        <v>0</v>
      </c>
      <c r="M31" s="23">
        <f>'[2]А-4'!$AF$48</f>
        <v>0</v>
      </c>
      <c r="N31" s="22">
        <v>0</v>
      </c>
      <c r="O31" s="22">
        <f>ROUND(M31/K31*10,3)</f>
        <v>0</v>
      </c>
      <c r="P31" s="28">
        <f t="shared" si="4"/>
        <v>0</v>
      </c>
      <c r="Q31" s="28">
        <f t="shared" si="4"/>
        <v>0</v>
      </c>
      <c r="R31" s="23">
        <f t="shared" si="5"/>
        <v>0</v>
      </c>
      <c r="S31" s="23">
        <f t="shared" si="5"/>
        <v>0</v>
      </c>
      <c r="T31" s="16">
        <f t="shared" si="10"/>
        <v>0</v>
      </c>
      <c r="U31" s="26">
        <f t="shared" si="15"/>
        <v>0</v>
      </c>
      <c r="V31" s="36"/>
      <c r="W31" s="26">
        <f t="shared" si="16"/>
        <v>0</v>
      </c>
      <c r="X31" s="53">
        <f t="shared" si="1"/>
        <v>0</v>
      </c>
    </row>
    <row r="32" spans="1:24" ht="12.75">
      <c r="A32" s="30">
        <f t="shared" si="12"/>
        <v>20</v>
      </c>
      <c r="B32" s="35" t="s">
        <v>75</v>
      </c>
      <c r="C32" s="36"/>
      <c r="D32" s="18">
        <f>'[2]А-4'!$F$43</f>
        <v>3</v>
      </c>
      <c r="E32" s="28">
        <v>120</v>
      </c>
      <c r="F32" s="219">
        <f t="shared" si="8"/>
        <v>114.8209652309289</v>
      </c>
      <c r="G32" s="220">
        <f t="shared" si="2"/>
        <v>48.09850233523612</v>
      </c>
      <c r="H32" s="220">
        <f t="shared" si="3"/>
        <v>66.72246289569279</v>
      </c>
      <c r="I32" s="28">
        <f t="shared" si="9"/>
        <v>30.46</v>
      </c>
      <c r="J32" s="18">
        <f>'[2]А-4'!$G$43</f>
        <v>17.79</v>
      </c>
      <c r="K32" s="18">
        <f>'[2]А-4'!$H$43</f>
        <v>12.67</v>
      </c>
      <c r="L32" s="23">
        <f>'[2]А-4'!$T$43</f>
        <v>6</v>
      </c>
      <c r="M32" s="23">
        <f>'[2]А-4'!$AF$43</f>
        <v>3</v>
      </c>
      <c r="N32" s="22">
        <f aca="true" t="shared" si="17" ref="N32:N39">L32*10/J32</f>
        <v>3.3726812816188874</v>
      </c>
      <c r="O32" s="22">
        <f>ROUND(M32/K32*10,3)</f>
        <v>2.368</v>
      </c>
      <c r="P32" s="28">
        <f t="shared" si="4"/>
        <v>1.6</v>
      </c>
      <c r="Q32" s="28">
        <f t="shared" si="4"/>
        <v>1.1</v>
      </c>
      <c r="R32" s="23">
        <f t="shared" si="5"/>
        <v>76</v>
      </c>
      <c r="S32" s="23">
        <f t="shared" si="5"/>
        <v>73</v>
      </c>
      <c r="T32" s="16">
        <f t="shared" si="10"/>
        <v>149</v>
      </c>
      <c r="U32" s="26">
        <f t="shared" si="15"/>
        <v>52</v>
      </c>
      <c r="V32" s="7"/>
      <c r="W32" s="26">
        <f>U32</f>
        <v>52</v>
      </c>
      <c r="X32" s="53">
        <f t="shared" si="1"/>
        <v>1.2976724215854651</v>
      </c>
    </row>
    <row r="33" spans="1:24" ht="12.75">
      <c r="A33" s="30">
        <f t="shared" si="12"/>
        <v>21</v>
      </c>
      <c r="B33" s="35" t="s">
        <v>64</v>
      </c>
      <c r="C33" s="36"/>
      <c r="D33" s="17">
        <f>'[2]А-4'!$F$45</f>
        <v>3</v>
      </c>
      <c r="E33" s="218">
        <f>'[4]Норматив и фактически 2009'!$F$40</f>
        <v>125</v>
      </c>
      <c r="F33" s="219">
        <f t="shared" si="8"/>
        <v>119.60517211555094</v>
      </c>
      <c r="G33" s="220">
        <f t="shared" si="2"/>
        <v>50.102606599204286</v>
      </c>
      <c r="H33" s="220">
        <f t="shared" si="3"/>
        <v>69.50256551634665</v>
      </c>
      <c r="I33" s="28">
        <f t="shared" si="9"/>
        <v>30.400000000000002</v>
      </c>
      <c r="J33" s="18">
        <f>'[2]А-4'!$G$45</f>
        <v>25.1</v>
      </c>
      <c r="K33" s="18">
        <f>'[2]А-4'!$H$45</f>
        <v>5.3</v>
      </c>
      <c r="L33" s="23">
        <f>'[2]А-4'!$T$45</f>
        <v>9</v>
      </c>
      <c r="M33" s="23">
        <f>'[2]А-4'!$AF$45</f>
        <v>2</v>
      </c>
      <c r="N33" s="22">
        <f t="shared" si="17"/>
        <v>3.585657370517928</v>
      </c>
      <c r="O33" s="22">
        <f>ROUND(M33/K33*10,3)</f>
        <v>3.774</v>
      </c>
      <c r="P33" s="28">
        <f t="shared" si="4"/>
        <v>1.7</v>
      </c>
      <c r="Q33" s="28">
        <f t="shared" si="4"/>
        <v>1.8</v>
      </c>
      <c r="R33" s="23">
        <f t="shared" si="5"/>
        <v>85</v>
      </c>
      <c r="S33" s="23">
        <f t="shared" si="5"/>
        <v>125</v>
      </c>
      <c r="T33" s="16">
        <f t="shared" si="10"/>
        <v>210</v>
      </c>
      <c r="U33" s="26">
        <f t="shared" si="15"/>
        <v>73</v>
      </c>
      <c r="V33" s="9"/>
      <c r="W33" s="26">
        <f>U33</f>
        <v>73</v>
      </c>
      <c r="X33" s="53">
        <f t="shared" si="1"/>
        <v>1.7557769140377837</v>
      </c>
    </row>
    <row r="34" spans="1:24" ht="12.75">
      <c r="A34" s="30">
        <f t="shared" si="12"/>
        <v>22</v>
      </c>
      <c r="B34" s="20" t="s">
        <v>29</v>
      </c>
      <c r="C34" s="159"/>
      <c r="D34" s="17">
        <f>'[2]А-4'!$F$29</f>
        <v>0</v>
      </c>
      <c r="E34" s="218">
        <v>24</v>
      </c>
      <c r="F34" s="219">
        <f t="shared" si="8"/>
        <v>22.96419304618578</v>
      </c>
      <c r="G34" s="220">
        <f t="shared" si="2"/>
        <v>9.619700467047224</v>
      </c>
      <c r="H34" s="220">
        <f t="shared" si="3"/>
        <v>13.344492579138556</v>
      </c>
      <c r="I34" s="28">
        <f t="shared" si="9"/>
        <v>0</v>
      </c>
      <c r="J34" s="18">
        <f>'[2]А-4'!$G$29</f>
        <v>0</v>
      </c>
      <c r="K34" s="18">
        <f>'[2]А-4'!$H$29</f>
        <v>0</v>
      </c>
      <c r="L34" s="23">
        <f>'[2]А-4'!$T$29</f>
        <v>0</v>
      </c>
      <c r="M34" s="23">
        <f>'[2]А-4'!$AF$27</f>
        <v>0</v>
      </c>
      <c r="N34" s="22">
        <v>0</v>
      </c>
      <c r="O34" s="22">
        <v>0</v>
      </c>
      <c r="P34" s="28">
        <f t="shared" si="4"/>
        <v>0</v>
      </c>
      <c r="Q34" s="28">
        <f t="shared" si="4"/>
        <v>0</v>
      </c>
      <c r="R34" s="23">
        <f t="shared" si="5"/>
        <v>0</v>
      </c>
      <c r="S34" s="23">
        <f t="shared" si="5"/>
        <v>0</v>
      </c>
      <c r="T34" s="16">
        <f t="shared" si="10"/>
        <v>0</v>
      </c>
      <c r="U34" s="26">
        <f t="shared" si="15"/>
        <v>0</v>
      </c>
      <c r="V34" s="9"/>
      <c r="W34" s="26">
        <f t="shared" si="16"/>
        <v>0</v>
      </c>
      <c r="X34" s="53">
        <f t="shared" si="1"/>
        <v>0</v>
      </c>
    </row>
    <row r="35" spans="1:24" s="29" customFormat="1" ht="14.25" customHeight="1">
      <c r="A35" s="30">
        <f t="shared" si="12"/>
        <v>23</v>
      </c>
      <c r="B35" s="35" t="s">
        <v>15</v>
      </c>
      <c r="C35" s="36"/>
      <c r="D35" s="18">
        <f>'[2]А-4'!$F$37</f>
        <v>4</v>
      </c>
      <c r="E35" s="28">
        <f>'[4]Норматив и фактически 2009'!$F$41</f>
        <v>240</v>
      </c>
      <c r="F35" s="219">
        <f t="shared" si="8"/>
        <v>229.6419304618578</v>
      </c>
      <c r="G35" s="220">
        <f t="shared" si="2"/>
        <v>96.19700467047224</v>
      </c>
      <c r="H35" s="220">
        <f t="shared" si="3"/>
        <v>133.44492579138557</v>
      </c>
      <c r="I35" s="28">
        <f t="shared" si="9"/>
        <v>39.8</v>
      </c>
      <c r="J35" s="18">
        <f>'[2]А-4'!$G$37</f>
        <v>29.3</v>
      </c>
      <c r="K35" s="18">
        <f>'[2]А-4'!$H$37</f>
        <v>10.5</v>
      </c>
      <c r="L35" s="23">
        <f>'[2]А-4'!$T$37</f>
        <v>9</v>
      </c>
      <c r="M35" s="23">
        <f>'[2]А-4'!$AF$37</f>
        <v>3</v>
      </c>
      <c r="N35" s="22">
        <f t="shared" si="17"/>
        <v>3.0716723549488054</v>
      </c>
      <c r="O35" s="22">
        <f>ROUND(M35/K35*10,3)</f>
        <v>2.857</v>
      </c>
      <c r="P35" s="28">
        <f t="shared" si="4"/>
        <v>1.5</v>
      </c>
      <c r="Q35" s="28">
        <f t="shared" si="4"/>
        <v>1.4</v>
      </c>
      <c r="R35" s="23">
        <f t="shared" si="5"/>
        <v>144</v>
      </c>
      <c r="S35" s="23">
        <f t="shared" si="5"/>
        <v>186</v>
      </c>
      <c r="T35" s="16">
        <f t="shared" si="10"/>
        <v>330</v>
      </c>
      <c r="U35" s="26">
        <f t="shared" si="15"/>
        <v>115</v>
      </c>
      <c r="V35" s="7">
        <v>122</v>
      </c>
      <c r="W35" s="26">
        <f t="shared" si="16"/>
        <v>115</v>
      </c>
      <c r="X35" s="53">
        <f t="shared" si="1"/>
        <v>1.4370197957154478</v>
      </c>
    </row>
    <row r="36" spans="1:24" ht="12.75" customHeight="1">
      <c r="A36" s="30">
        <f t="shared" si="12"/>
        <v>24</v>
      </c>
      <c r="B36" s="35" t="s">
        <v>73</v>
      </c>
      <c r="C36" s="36"/>
      <c r="D36" s="18">
        <f>'[2]А-4'!$F$35</f>
        <v>3</v>
      </c>
      <c r="E36" s="28">
        <v>67</v>
      </c>
      <c r="F36" s="219">
        <f t="shared" si="8"/>
        <v>64.1083722539353</v>
      </c>
      <c r="G36" s="220">
        <f t="shared" si="2"/>
        <v>26.8549971371735</v>
      </c>
      <c r="H36" s="220">
        <f t="shared" si="3"/>
        <v>37.2533751167618</v>
      </c>
      <c r="I36" s="28">
        <f t="shared" si="9"/>
        <v>26.700000000000003</v>
      </c>
      <c r="J36" s="18">
        <f>'[2]А-4'!$G$35</f>
        <v>21.8</v>
      </c>
      <c r="K36" s="18">
        <f>'[2]А-4'!$H$35</f>
        <v>4.9</v>
      </c>
      <c r="L36" s="23">
        <f>'[2]А-4'!$T$35</f>
        <v>4</v>
      </c>
      <c r="M36" s="23">
        <f>'[2]А-4'!$AF$35</f>
        <v>1</v>
      </c>
      <c r="N36" s="22">
        <f t="shared" si="17"/>
        <v>1.8348623853211008</v>
      </c>
      <c r="O36" s="22">
        <f>ROUND(M36/K36*10,3)</f>
        <v>2.041</v>
      </c>
      <c r="P36" s="28">
        <f t="shared" si="4"/>
        <v>0.9</v>
      </c>
      <c r="Q36" s="28">
        <f t="shared" si="4"/>
        <v>1</v>
      </c>
      <c r="R36" s="23">
        <f t="shared" si="5"/>
        <v>24</v>
      </c>
      <c r="S36" s="23">
        <f t="shared" si="5"/>
        <v>37</v>
      </c>
      <c r="T36" s="16">
        <f t="shared" si="10"/>
        <v>61</v>
      </c>
      <c r="U36" s="26">
        <f t="shared" si="15"/>
        <v>21</v>
      </c>
      <c r="V36" s="9"/>
      <c r="W36" s="26">
        <f>U36</f>
        <v>21</v>
      </c>
      <c r="X36" s="53">
        <f t="shared" si="1"/>
        <v>0.9515137860368231</v>
      </c>
    </row>
    <row r="37" spans="1:24" ht="12.75">
      <c r="A37" s="30">
        <f t="shared" si="12"/>
        <v>25</v>
      </c>
      <c r="B37" s="245" t="s">
        <v>17</v>
      </c>
      <c r="C37" s="246"/>
      <c r="D37" s="17">
        <f>'[2]А-4'!$F$49</f>
        <v>3</v>
      </c>
      <c r="E37" s="226">
        <v>72</v>
      </c>
      <c r="F37" s="219">
        <f t="shared" si="8"/>
        <v>68.89257913855734</v>
      </c>
      <c r="G37" s="220">
        <f t="shared" si="2"/>
        <v>28.859101401141668</v>
      </c>
      <c r="H37" s="220">
        <f t="shared" si="3"/>
        <v>40.033477737415666</v>
      </c>
      <c r="I37" s="28">
        <f t="shared" si="9"/>
        <v>36</v>
      </c>
      <c r="J37" s="18">
        <f>'[2]А-4'!$G$49</f>
        <v>22.4</v>
      </c>
      <c r="K37" s="18">
        <f>'[2]А-4'!$H$49</f>
        <v>13.600000000000001</v>
      </c>
      <c r="L37" s="23">
        <f>'[2]А-4'!$T$49</f>
        <v>13</v>
      </c>
      <c r="M37" s="23">
        <f>'[2]А-4'!$AF$49</f>
        <v>6</v>
      </c>
      <c r="N37" s="22">
        <f t="shared" si="17"/>
        <v>5.803571428571429</v>
      </c>
      <c r="O37" s="22">
        <f>ROUND(M37/K37*10,3)</f>
        <v>4.412</v>
      </c>
      <c r="P37" s="28">
        <f t="shared" si="4"/>
        <v>2.8</v>
      </c>
      <c r="Q37" s="28">
        <f t="shared" si="4"/>
        <v>2.1</v>
      </c>
      <c r="R37" s="23">
        <f t="shared" si="5"/>
        <v>80</v>
      </c>
      <c r="S37" s="23">
        <f t="shared" si="5"/>
        <v>84</v>
      </c>
      <c r="T37" s="16">
        <f t="shared" si="10"/>
        <v>164</v>
      </c>
      <c r="U37" s="26">
        <f t="shared" si="15"/>
        <v>57</v>
      </c>
      <c r="V37" s="9"/>
      <c r="W37" s="26">
        <f aca="true" t="shared" si="18" ref="W37:W48">IF(V37&lt;=U37,V37,U37)</f>
        <v>0</v>
      </c>
      <c r="X37" s="53">
        <f t="shared" si="1"/>
        <v>2.3805176413872067</v>
      </c>
    </row>
    <row r="38" spans="1:24" s="29" customFormat="1" ht="12.75">
      <c r="A38" s="30">
        <f t="shared" si="12"/>
        <v>26</v>
      </c>
      <c r="B38" s="38" t="s">
        <v>31</v>
      </c>
      <c r="C38" s="39"/>
      <c r="D38" s="18">
        <f>'[2]А-4'!$F$41</f>
        <v>3</v>
      </c>
      <c r="E38" s="28">
        <v>48</v>
      </c>
      <c r="F38" s="219">
        <f t="shared" si="8"/>
        <v>45.92838609237156</v>
      </c>
      <c r="G38" s="220">
        <f t="shared" si="2"/>
        <v>19.239400934094448</v>
      </c>
      <c r="H38" s="220">
        <f t="shared" si="3"/>
        <v>26.688985158277113</v>
      </c>
      <c r="I38" s="28">
        <f t="shared" si="9"/>
        <v>30.3</v>
      </c>
      <c r="J38" s="18">
        <f>'[2]А-4'!$G$41</f>
        <v>26.7</v>
      </c>
      <c r="K38" s="18">
        <f>'[2]А-4'!$H$41</f>
        <v>3.6</v>
      </c>
      <c r="L38" s="23">
        <f>'[2]А-4'!$T$41</f>
        <v>10</v>
      </c>
      <c r="M38" s="23">
        <f>'[2]А-4'!$AF$41</f>
        <v>3</v>
      </c>
      <c r="N38" s="22">
        <f t="shared" si="17"/>
        <v>3.7453183520599254</v>
      </c>
      <c r="O38" s="22">
        <f>ROUND(M38/K38*10,3)</f>
        <v>8.333</v>
      </c>
      <c r="P38" s="28">
        <f t="shared" si="4"/>
        <v>1.8</v>
      </c>
      <c r="Q38" s="28">
        <f t="shared" si="4"/>
        <v>4</v>
      </c>
      <c r="R38" s="23">
        <f t="shared" si="5"/>
        <v>34</v>
      </c>
      <c r="S38" s="23">
        <f t="shared" si="5"/>
        <v>106</v>
      </c>
      <c r="T38" s="16">
        <f t="shared" si="10"/>
        <v>140</v>
      </c>
      <c r="U38" s="26">
        <f t="shared" si="15"/>
        <v>49</v>
      </c>
      <c r="V38" s="7">
        <v>45</v>
      </c>
      <c r="W38" s="26">
        <f t="shared" si="18"/>
        <v>45</v>
      </c>
      <c r="X38" s="53">
        <f t="shared" si="1"/>
        <v>3.048223809093374</v>
      </c>
    </row>
    <row r="39" spans="1:24" ht="17.25" customHeight="1">
      <c r="A39" s="30">
        <f t="shared" si="12"/>
        <v>27</v>
      </c>
      <c r="B39" s="35" t="s">
        <v>59</v>
      </c>
      <c r="C39" s="36"/>
      <c r="D39" s="18">
        <f>'[2]А-4'!$F$42</f>
        <v>3</v>
      </c>
      <c r="E39" s="218">
        <v>140</v>
      </c>
      <c r="F39" s="219">
        <f t="shared" si="8"/>
        <v>133.95779276941704</v>
      </c>
      <c r="G39" s="220">
        <f t="shared" si="2"/>
        <v>56.1149193911088</v>
      </c>
      <c r="H39" s="220">
        <f t="shared" si="3"/>
        <v>77.84287337830824</v>
      </c>
      <c r="I39" s="28">
        <f t="shared" si="9"/>
        <v>31.789999999999996</v>
      </c>
      <c r="J39" s="18">
        <f>'[2]А-4'!$G$42</f>
        <v>15.489999999999998</v>
      </c>
      <c r="K39" s="18">
        <f>'[2]А-4'!$H$42</f>
        <v>16.299999999999997</v>
      </c>
      <c r="L39" s="23">
        <f>'[2]А-4'!$T$42</f>
        <v>10</v>
      </c>
      <c r="M39" s="23">
        <f>'[2]А-4'!$AF$42</f>
        <v>6</v>
      </c>
      <c r="N39" s="22">
        <f t="shared" si="17"/>
        <v>6.45577792123951</v>
      </c>
      <c r="O39" s="22">
        <f>ROUND(M39/K39*10,3)</f>
        <v>3.681</v>
      </c>
      <c r="P39" s="28">
        <f t="shared" si="4"/>
        <v>3.1</v>
      </c>
      <c r="Q39" s="28">
        <f t="shared" si="4"/>
        <v>1.8</v>
      </c>
      <c r="R39" s="23">
        <f t="shared" si="5"/>
        <v>173</v>
      </c>
      <c r="S39" s="23">
        <f t="shared" si="5"/>
        <v>140</v>
      </c>
      <c r="T39" s="16">
        <f t="shared" si="10"/>
        <v>313</v>
      </c>
      <c r="U39" s="26">
        <f t="shared" si="15"/>
        <v>109</v>
      </c>
      <c r="V39" s="9"/>
      <c r="W39" s="26">
        <f>U39</f>
        <v>109</v>
      </c>
      <c r="X39" s="53">
        <f t="shared" si="1"/>
        <v>2.3365568626438193</v>
      </c>
    </row>
    <row r="40" spans="1:24" ht="17.25" customHeight="1">
      <c r="A40" s="30">
        <f t="shared" si="12"/>
        <v>28</v>
      </c>
      <c r="B40" s="261" t="s">
        <v>74</v>
      </c>
      <c r="C40" s="262"/>
      <c r="D40" s="18">
        <f>'[2]А-4'!$F$36</f>
        <v>0</v>
      </c>
      <c r="E40" s="227">
        <v>55.21</v>
      </c>
      <c r="F40" s="219">
        <f t="shared" si="8"/>
        <v>52.82721241999654</v>
      </c>
      <c r="G40" s="220">
        <f t="shared" si="2"/>
        <v>22.12931928273655</v>
      </c>
      <c r="H40" s="220">
        <f t="shared" si="3"/>
        <v>30.69789313725999</v>
      </c>
      <c r="I40" s="28">
        <f t="shared" si="9"/>
        <v>0</v>
      </c>
      <c r="J40" s="18">
        <f>'[2]А-4'!$G$36</f>
        <v>0</v>
      </c>
      <c r="K40" s="18">
        <f>'[2]А-4'!$H$36</f>
        <v>0</v>
      </c>
      <c r="L40" s="23">
        <f>'[2]А-4'!$T$36</f>
        <v>0</v>
      </c>
      <c r="M40" s="23">
        <f>'[2]А-4'!$AF$36</f>
        <v>0</v>
      </c>
      <c r="N40" s="22">
        <v>0</v>
      </c>
      <c r="O40" s="22">
        <v>0</v>
      </c>
      <c r="P40" s="28">
        <f t="shared" si="4"/>
        <v>0</v>
      </c>
      <c r="Q40" s="28">
        <f t="shared" si="4"/>
        <v>0</v>
      </c>
      <c r="R40" s="23">
        <f t="shared" si="5"/>
        <v>0</v>
      </c>
      <c r="S40" s="23">
        <f t="shared" si="5"/>
        <v>0</v>
      </c>
      <c r="T40" s="16">
        <f t="shared" si="10"/>
        <v>0</v>
      </c>
      <c r="U40" s="26">
        <f t="shared" si="15"/>
        <v>0</v>
      </c>
      <c r="V40" s="9"/>
      <c r="W40" s="26">
        <f t="shared" si="18"/>
        <v>0</v>
      </c>
      <c r="X40" s="53">
        <f t="shared" si="1"/>
        <v>0</v>
      </c>
    </row>
    <row r="41" spans="1:24" ht="12.75">
      <c r="A41" s="30">
        <f t="shared" si="12"/>
        <v>29</v>
      </c>
      <c r="B41" s="35" t="s">
        <v>114</v>
      </c>
      <c r="C41" s="36"/>
      <c r="D41" s="18">
        <f>'[2]А-4'!$F$39</f>
        <v>3</v>
      </c>
      <c r="E41" s="218">
        <v>118</v>
      </c>
      <c r="F41" s="219">
        <f t="shared" si="8"/>
        <v>112.90728247708009</v>
      </c>
      <c r="G41" s="220">
        <f t="shared" si="2"/>
        <v>47.29686062964885</v>
      </c>
      <c r="H41" s="220">
        <f t="shared" si="3"/>
        <v>65.61042184743124</v>
      </c>
      <c r="I41" s="28">
        <f t="shared" si="9"/>
        <v>31.5</v>
      </c>
      <c r="J41" s="18">
        <f>'[2]А-4'!$G$39</f>
        <v>31.5</v>
      </c>
      <c r="K41" s="18">
        <f>'[2]А-4'!$H$39</f>
        <v>0</v>
      </c>
      <c r="L41" s="23">
        <f>'[2]А-4'!$T$39</f>
        <v>14</v>
      </c>
      <c r="M41" s="23">
        <f>'[2]А-4'!$AF$39</f>
        <v>0</v>
      </c>
      <c r="N41" s="22">
        <f aca="true" t="shared" si="19" ref="N41:N46">L41*10/J41</f>
        <v>4.444444444444445</v>
      </c>
      <c r="O41" s="22">
        <v>0</v>
      </c>
      <c r="P41" s="28">
        <f t="shared" si="4"/>
        <v>2.1</v>
      </c>
      <c r="Q41" s="28">
        <f t="shared" si="4"/>
        <v>0</v>
      </c>
      <c r="R41" s="23">
        <f t="shared" si="5"/>
        <v>99</v>
      </c>
      <c r="S41" s="23">
        <f t="shared" si="5"/>
        <v>0</v>
      </c>
      <c r="T41" s="16">
        <f t="shared" si="10"/>
        <v>99</v>
      </c>
      <c r="U41" s="26">
        <f t="shared" si="15"/>
        <v>34</v>
      </c>
      <c r="V41" s="9">
        <v>20</v>
      </c>
      <c r="W41" s="26">
        <f t="shared" si="18"/>
        <v>20</v>
      </c>
      <c r="X41" s="53">
        <f t="shared" si="1"/>
        <v>0.8768256380636631</v>
      </c>
    </row>
    <row r="42" spans="1:24" ht="12.75">
      <c r="A42" s="30">
        <f t="shared" si="12"/>
        <v>30</v>
      </c>
      <c r="B42" s="40" t="s">
        <v>113</v>
      </c>
      <c r="C42" s="36"/>
      <c r="D42" s="18">
        <f>'[2]А-4'!$F$38</f>
        <v>1</v>
      </c>
      <c r="E42" s="218">
        <f>'[5]Норматив и фактически 2011'!$F$58</f>
        <v>282</v>
      </c>
      <c r="F42" s="219">
        <f t="shared" si="8"/>
        <v>269.8292682926829</v>
      </c>
      <c r="G42" s="220">
        <f t="shared" si="2"/>
        <v>113.03148048780487</v>
      </c>
      <c r="H42" s="220">
        <f t="shared" si="3"/>
        <v>156.79778780487803</v>
      </c>
      <c r="I42" s="28">
        <f t="shared" si="9"/>
        <v>8</v>
      </c>
      <c r="J42" s="18">
        <f>'[2]А-4'!$G$38</f>
        <v>8</v>
      </c>
      <c r="K42" s="18">
        <f>'[2]А-4'!$H$38</f>
        <v>0</v>
      </c>
      <c r="L42" s="23">
        <f>'[2]А-4'!$T$38</f>
        <v>3</v>
      </c>
      <c r="M42" s="23">
        <f>'[2]А-4'!$AF$38</f>
        <v>0</v>
      </c>
      <c r="N42" s="22">
        <f t="shared" si="19"/>
        <v>3.75</v>
      </c>
      <c r="O42" s="22">
        <v>0</v>
      </c>
      <c r="P42" s="28">
        <f t="shared" si="4"/>
        <v>1.8</v>
      </c>
      <c r="Q42" s="28">
        <f t="shared" si="4"/>
        <v>0</v>
      </c>
      <c r="R42" s="23">
        <f t="shared" si="5"/>
        <v>203</v>
      </c>
      <c r="S42" s="23">
        <f t="shared" si="5"/>
        <v>0</v>
      </c>
      <c r="T42" s="16">
        <f t="shared" si="10"/>
        <v>203</v>
      </c>
      <c r="U42" s="26">
        <f t="shared" si="15"/>
        <v>71</v>
      </c>
      <c r="V42" s="9">
        <v>30</v>
      </c>
      <c r="W42" s="26">
        <f t="shared" si="18"/>
        <v>30</v>
      </c>
      <c r="X42" s="53">
        <f t="shared" si="1"/>
        <v>0.752327578414535</v>
      </c>
    </row>
    <row r="43" spans="1:24" s="29" customFormat="1" ht="16.5" customHeight="1">
      <c r="A43" s="30">
        <f t="shared" si="12"/>
        <v>31</v>
      </c>
      <c r="B43" s="35" t="s">
        <v>32</v>
      </c>
      <c r="C43" s="36"/>
      <c r="D43" s="18">
        <f>'[2]А-4'!$F$40</f>
        <v>6</v>
      </c>
      <c r="E43" s="28">
        <f>'[5]Норматив и фактически 2011'!$F$32</f>
        <v>103</v>
      </c>
      <c r="F43" s="219">
        <f t="shared" si="8"/>
        <v>98.55466182321398</v>
      </c>
      <c r="G43" s="220">
        <f t="shared" si="2"/>
        <v>41.284547837744334</v>
      </c>
      <c r="H43" s="220">
        <f t="shared" si="3"/>
        <v>57.270113985469635</v>
      </c>
      <c r="I43" s="28">
        <f t="shared" si="9"/>
        <v>37.099999999999994</v>
      </c>
      <c r="J43" s="18">
        <f>'[2]А-4'!$G$40</f>
        <v>31.58</v>
      </c>
      <c r="K43" s="18">
        <f>'[2]А-4'!$H$40</f>
        <v>5.52</v>
      </c>
      <c r="L43" s="23">
        <f>'[2]А-4'!$T$40</f>
        <v>14</v>
      </c>
      <c r="M43" s="23">
        <f>'[2]А-4'!$AF$40</f>
        <v>1</v>
      </c>
      <c r="N43" s="22">
        <f t="shared" si="19"/>
        <v>4.433185560481317</v>
      </c>
      <c r="O43" s="22">
        <f>ROUND(M43/K43*10,3)</f>
        <v>1.812</v>
      </c>
      <c r="P43" s="28">
        <f t="shared" si="4"/>
        <v>2.1</v>
      </c>
      <c r="Q43" s="28">
        <f t="shared" si="4"/>
        <v>0.9</v>
      </c>
      <c r="R43" s="23">
        <f t="shared" si="5"/>
        <v>86</v>
      </c>
      <c r="S43" s="23">
        <f t="shared" si="5"/>
        <v>51</v>
      </c>
      <c r="T43" s="16">
        <f t="shared" si="10"/>
        <v>137</v>
      </c>
      <c r="U43" s="26">
        <f t="shared" si="15"/>
        <v>47</v>
      </c>
      <c r="V43" s="7">
        <v>60</v>
      </c>
      <c r="W43" s="26">
        <f t="shared" si="18"/>
        <v>47</v>
      </c>
      <c r="X43" s="53">
        <f t="shared" si="1"/>
        <v>1.3900915234811393</v>
      </c>
    </row>
    <row r="44" spans="1:24" s="29" customFormat="1" ht="15.75" customHeight="1">
      <c r="A44" s="30">
        <f t="shared" si="12"/>
        <v>32</v>
      </c>
      <c r="B44" s="35" t="s">
        <v>65</v>
      </c>
      <c r="C44" s="36"/>
      <c r="D44" s="18">
        <f>'[2]А-4'!$F$46</f>
        <v>2</v>
      </c>
      <c r="E44" s="28">
        <v>263</v>
      </c>
      <c r="F44" s="219">
        <f t="shared" si="8"/>
        <v>251.64928213111918</v>
      </c>
      <c r="G44" s="220">
        <f t="shared" si="2"/>
        <v>105.41588428472582</v>
      </c>
      <c r="H44" s="220">
        <f t="shared" si="3"/>
        <v>146.23339784639333</v>
      </c>
      <c r="I44" s="28">
        <f t="shared" si="9"/>
        <v>25.1</v>
      </c>
      <c r="J44" s="18">
        <f>'[2]А-4'!$G$45</f>
        <v>25.1</v>
      </c>
      <c r="K44" s="18">
        <f>'[2]А-4'!$HG$45</f>
        <v>0</v>
      </c>
      <c r="L44" s="23">
        <f>'[2]А-4'!$T$45</f>
        <v>9</v>
      </c>
      <c r="M44" s="23">
        <f>'[2]А-4'!$AF$45</f>
        <v>2</v>
      </c>
      <c r="N44" s="22">
        <f t="shared" si="19"/>
        <v>3.585657370517928</v>
      </c>
      <c r="O44" s="22">
        <v>0</v>
      </c>
      <c r="P44" s="28">
        <f t="shared" si="4"/>
        <v>1.7</v>
      </c>
      <c r="Q44" s="28">
        <f t="shared" si="4"/>
        <v>0</v>
      </c>
      <c r="R44" s="23">
        <f t="shared" si="5"/>
        <v>179</v>
      </c>
      <c r="S44" s="23">
        <f t="shared" si="5"/>
        <v>0</v>
      </c>
      <c r="T44" s="16">
        <f t="shared" si="10"/>
        <v>179</v>
      </c>
      <c r="U44" s="26">
        <f t="shared" si="15"/>
        <v>62</v>
      </c>
      <c r="V44" s="7"/>
      <c r="W44" s="26">
        <f>U44</f>
        <v>62</v>
      </c>
      <c r="X44" s="53">
        <f t="shared" si="1"/>
        <v>0.7113074135722508</v>
      </c>
    </row>
    <row r="45" spans="1:24" s="29" customFormat="1" ht="12.75">
      <c r="A45" s="30">
        <f t="shared" si="12"/>
        <v>33</v>
      </c>
      <c r="B45" s="35" t="s">
        <v>72</v>
      </c>
      <c r="C45" s="36"/>
      <c r="D45" s="18">
        <f>'[2]А-4'!$F$31</f>
        <v>2</v>
      </c>
      <c r="E45" s="28">
        <v>206</v>
      </c>
      <c r="F45" s="219">
        <f t="shared" si="8"/>
        <v>197.10932364642795</v>
      </c>
      <c r="G45" s="220">
        <f t="shared" si="2"/>
        <v>82.56909567548867</v>
      </c>
      <c r="H45" s="220">
        <f t="shared" si="3"/>
        <v>114.54022797093927</v>
      </c>
      <c r="I45" s="28">
        <f t="shared" si="9"/>
        <v>17.28</v>
      </c>
      <c r="J45" s="18">
        <f>'[2]А-4'!$G$31</f>
        <v>17.28</v>
      </c>
      <c r="K45" s="18">
        <f>'[2]А-4'!$H$31</f>
        <v>0</v>
      </c>
      <c r="L45" s="23">
        <f>'[2]А-4'!$T$31</f>
        <v>4</v>
      </c>
      <c r="M45" s="23">
        <f>'[2]А-4'!$AF$31</f>
        <v>0</v>
      </c>
      <c r="N45" s="22">
        <f t="shared" si="19"/>
        <v>2.314814814814815</v>
      </c>
      <c r="O45" s="22">
        <v>0</v>
      </c>
      <c r="P45" s="28">
        <f t="shared" si="4"/>
        <v>1.1</v>
      </c>
      <c r="Q45" s="28">
        <f t="shared" si="4"/>
        <v>0</v>
      </c>
      <c r="R45" s="23">
        <f t="shared" si="5"/>
        <v>90</v>
      </c>
      <c r="S45" s="23">
        <f t="shared" si="5"/>
        <v>0</v>
      </c>
      <c r="T45" s="16">
        <f t="shared" si="10"/>
        <v>90</v>
      </c>
      <c r="U45" s="26">
        <f t="shared" si="15"/>
        <v>31</v>
      </c>
      <c r="V45" s="7"/>
      <c r="W45" s="26">
        <f>U45</f>
        <v>31</v>
      </c>
      <c r="X45" s="53">
        <f t="shared" si="1"/>
        <v>0.456599405523002</v>
      </c>
    </row>
    <row r="46" spans="1:24" s="29" customFormat="1" ht="12.75">
      <c r="A46" s="30">
        <f t="shared" si="12"/>
        <v>34</v>
      </c>
      <c r="B46" s="35" t="s">
        <v>58</v>
      </c>
      <c r="C46" s="36"/>
      <c r="D46" s="18">
        <f>'[2]А-4'!$F$44</f>
        <v>3</v>
      </c>
      <c r="E46" s="28">
        <v>169</v>
      </c>
      <c r="F46" s="219">
        <f t="shared" si="8"/>
        <v>161.70619270022488</v>
      </c>
      <c r="G46" s="220">
        <f t="shared" si="2"/>
        <v>67.7387241221242</v>
      </c>
      <c r="H46" s="220">
        <f t="shared" si="3"/>
        <v>93.96746857810066</v>
      </c>
      <c r="I46" s="28">
        <f t="shared" si="9"/>
        <v>31.2</v>
      </c>
      <c r="J46" s="18">
        <f>'[2]А-4'!$G$44</f>
        <v>16.9</v>
      </c>
      <c r="K46" s="18">
        <f>'[2]А-4'!$H$44</f>
        <v>14.3</v>
      </c>
      <c r="L46" s="23">
        <f>'[2]А-4'!$T$44</f>
        <v>6</v>
      </c>
      <c r="M46" s="23">
        <f>'[2]А-4'!$AF$44</f>
        <v>0</v>
      </c>
      <c r="N46" s="22">
        <f t="shared" si="19"/>
        <v>3.550295857988166</v>
      </c>
      <c r="O46" s="22">
        <f>ROUND(M46/K46*10,3)</f>
        <v>0</v>
      </c>
      <c r="P46" s="28">
        <f t="shared" si="4"/>
        <v>1.7</v>
      </c>
      <c r="Q46" s="28">
        <f t="shared" si="4"/>
        <v>0</v>
      </c>
      <c r="R46" s="23">
        <f t="shared" si="5"/>
        <v>115</v>
      </c>
      <c r="S46" s="23">
        <f t="shared" si="5"/>
        <v>0</v>
      </c>
      <c r="T46" s="16">
        <f t="shared" si="10"/>
        <v>115</v>
      </c>
      <c r="U46" s="26">
        <f t="shared" si="15"/>
        <v>40</v>
      </c>
      <c r="V46" s="7"/>
      <c r="W46" s="26">
        <f>U46</f>
        <v>40</v>
      </c>
      <c r="X46" s="53">
        <f t="shared" si="1"/>
        <v>0.7111663324681076</v>
      </c>
    </row>
    <row r="47" spans="1:24" s="29" customFormat="1" ht="12.75">
      <c r="A47" s="30">
        <f t="shared" si="12"/>
        <v>35</v>
      </c>
      <c r="B47" s="35" t="s">
        <v>76</v>
      </c>
      <c r="C47" s="36"/>
      <c r="D47" s="18">
        <f>'[2]А-4'!$F$50</f>
        <v>1</v>
      </c>
      <c r="E47" s="28">
        <v>11.6</v>
      </c>
      <c r="F47" s="219">
        <f t="shared" si="8"/>
        <v>11.099359972323127</v>
      </c>
      <c r="G47" s="220">
        <f t="shared" si="2"/>
        <v>4.649521892406158</v>
      </c>
      <c r="H47" s="220">
        <f t="shared" si="3"/>
        <v>6.449838079916969</v>
      </c>
      <c r="I47" s="28">
        <f t="shared" si="9"/>
        <v>9.9</v>
      </c>
      <c r="J47" s="18">
        <f>'[2]А-4'!$G$50</f>
        <v>0</v>
      </c>
      <c r="K47" s="18">
        <f>'[2]А-4'!$H$50</f>
        <v>9.9</v>
      </c>
      <c r="L47" s="23">
        <f>'[2]А-4'!$T$50</f>
        <v>0</v>
      </c>
      <c r="M47" s="23">
        <f>'[2]А-4'!$AF$50</f>
        <v>0</v>
      </c>
      <c r="N47" s="22">
        <v>0</v>
      </c>
      <c r="O47" s="22">
        <f>ROUND(M47/K47*10,3)</f>
        <v>0</v>
      </c>
      <c r="P47" s="28">
        <f t="shared" si="4"/>
        <v>0</v>
      </c>
      <c r="Q47" s="28">
        <f t="shared" si="4"/>
        <v>0</v>
      </c>
      <c r="R47" s="23">
        <f t="shared" si="5"/>
        <v>0</v>
      </c>
      <c r="S47" s="23">
        <f t="shared" si="5"/>
        <v>0</v>
      </c>
      <c r="T47" s="16">
        <f t="shared" si="10"/>
        <v>0</v>
      </c>
      <c r="U47" s="26">
        <f t="shared" si="15"/>
        <v>0</v>
      </c>
      <c r="V47" s="7"/>
      <c r="W47" s="26">
        <f t="shared" si="18"/>
        <v>0</v>
      </c>
      <c r="X47" s="53">
        <f t="shared" si="1"/>
        <v>0</v>
      </c>
    </row>
    <row r="48" spans="1:24" ht="12.75" customHeight="1">
      <c r="A48" s="30">
        <f t="shared" si="12"/>
        <v>36</v>
      </c>
      <c r="B48" s="263" t="s">
        <v>39</v>
      </c>
      <c r="C48" s="264"/>
      <c r="D48" s="18">
        <f>'[2]А-4'!$F$47</f>
        <v>3</v>
      </c>
      <c r="E48" s="218">
        <v>252.3</v>
      </c>
      <c r="F48" s="219">
        <f t="shared" si="8"/>
        <v>241.41107939802802</v>
      </c>
      <c r="G48" s="220">
        <f t="shared" si="2"/>
        <v>101.12710115983394</v>
      </c>
      <c r="H48" s="220">
        <f t="shared" si="3"/>
        <v>140.28397823819407</v>
      </c>
      <c r="I48" s="28">
        <f t="shared" si="9"/>
        <v>32.65</v>
      </c>
      <c r="J48" s="18">
        <f>'[2]А-4'!$G$47</f>
        <v>2.3</v>
      </c>
      <c r="K48" s="18">
        <f>'[2]А-4'!$H$47</f>
        <v>30.35</v>
      </c>
      <c r="L48" s="23">
        <f>'[2]А-4'!$T$47</f>
        <v>2</v>
      </c>
      <c r="M48" s="23">
        <f>'[2]А-4'!$AF$47</f>
        <v>6</v>
      </c>
      <c r="N48" s="22">
        <f>L48*10/J48</f>
        <v>8.695652173913045</v>
      </c>
      <c r="O48" s="22">
        <f>ROUND(M48/K48*10,3)</f>
        <v>1.977</v>
      </c>
      <c r="P48" s="28">
        <f t="shared" si="4"/>
        <v>4.2</v>
      </c>
      <c r="Q48" s="28">
        <f t="shared" si="4"/>
        <v>0.9</v>
      </c>
      <c r="R48" s="23">
        <f t="shared" si="5"/>
        <v>424</v>
      </c>
      <c r="S48" s="23">
        <f t="shared" si="5"/>
        <v>126</v>
      </c>
      <c r="T48" s="16">
        <f t="shared" si="10"/>
        <v>550</v>
      </c>
      <c r="U48" s="26">
        <v>0</v>
      </c>
      <c r="V48" s="9"/>
      <c r="W48" s="26">
        <f t="shared" si="18"/>
        <v>0</v>
      </c>
      <c r="X48" s="53">
        <f t="shared" si="1"/>
        <v>2.278271574657864</v>
      </c>
    </row>
    <row r="49" spans="1:30" ht="27.75" customHeight="1">
      <c r="A49" s="150"/>
      <c r="B49" s="255" t="s">
        <v>105</v>
      </c>
      <c r="C49" s="256"/>
      <c r="D49" s="129">
        <f aca="true" t="shared" si="20" ref="D49:M49">SUM(D50:D59)</f>
        <v>90</v>
      </c>
      <c r="E49" s="125">
        <f t="shared" si="20"/>
        <v>6041</v>
      </c>
      <c r="F49" s="125">
        <f t="shared" si="20"/>
        <v>3894.001575999994</v>
      </c>
      <c r="G49" s="125">
        <f t="shared" si="20"/>
        <v>3219.949903194395</v>
      </c>
      <c r="H49" s="125">
        <f t="shared" si="20"/>
        <v>674.0516728055991</v>
      </c>
      <c r="I49" s="125">
        <f t="shared" si="20"/>
        <v>1031.8</v>
      </c>
      <c r="J49" s="125">
        <f t="shared" si="20"/>
        <v>964.0999999999999</v>
      </c>
      <c r="K49" s="125">
        <f t="shared" si="20"/>
        <v>67.7</v>
      </c>
      <c r="L49" s="129">
        <f t="shared" si="20"/>
        <v>213</v>
      </c>
      <c r="M49" s="129">
        <f t="shared" si="20"/>
        <v>25</v>
      </c>
      <c r="N49" s="130">
        <f>ROUND(L49/J49*10,2)</f>
        <v>2.21</v>
      </c>
      <c r="O49" s="130">
        <f>ROUND(M49/K49*10,3)</f>
        <v>3.693</v>
      </c>
      <c r="P49" s="125">
        <f t="shared" si="4"/>
        <v>1.1</v>
      </c>
      <c r="Q49" s="125">
        <f t="shared" si="4"/>
        <v>1.8</v>
      </c>
      <c r="R49" s="127">
        <f aca="true" t="shared" si="21" ref="R49:W49">SUM(R50:R59)</f>
        <v>3540</v>
      </c>
      <c r="S49" s="127">
        <f t="shared" si="21"/>
        <v>329</v>
      </c>
      <c r="T49" s="129">
        <f t="shared" si="21"/>
        <v>3869</v>
      </c>
      <c r="U49" s="129">
        <f t="shared" si="21"/>
        <v>1350</v>
      </c>
      <c r="V49" s="129">
        <f t="shared" si="21"/>
        <v>581</v>
      </c>
      <c r="W49" s="129">
        <f t="shared" si="21"/>
        <v>829</v>
      </c>
      <c r="X49" s="53">
        <f t="shared" si="1"/>
        <v>0.9935794643345582</v>
      </c>
      <c r="Y49">
        <v>0.644595526568448</v>
      </c>
      <c r="AB49">
        <v>2411</v>
      </c>
      <c r="AD49" s="19">
        <f>T49-AB49</f>
        <v>1458</v>
      </c>
    </row>
    <row r="50" spans="1:24" ht="12.75">
      <c r="A50" s="30">
        <f>A48+1</f>
        <v>37</v>
      </c>
      <c r="B50" s="131" t="s">
        <v>42</v>
      </c>
      <c r="C50" s="132"/>
      <c r="D50" s="17">
        <v>0</v>
      </c>
      <c r="E50" s="218">
        <f>'[5]Норматив и фактически 2011'!$F$62</f>
        <v>45</v>
      </c>
      <c r="F50" s="219">
        <f aca="true" t="shared" si="22" ref="F50:F59">E50*$Y$49</f>
        <v>29.00679869558016</v>
      </c>
      <c r="G50" s="220">
        <f aca="true" t="shared" si="23" ref="G50:G59">F50*0.8269</f>
        <v>23.98572184137523</v>
      </c>
      <c r="H50" s="220">
        <f aca="true" t="shared" si="24" ref="H50:H59">F50*0.1731</f>
        <v>5.021076854204925</v>
      </c>
      <c r="I50" s="28">
        <f aca="true" t="shared" si="25" ref="I50:I59">J50+K50</f>
        <v>0</v>
      </c>
      <c r="J50" s="18">
        <f>'[2]А-4'!G59</f>
        <v>0</v>
      </c>
      <c r="K50" s="28">
        <v>0</v>
      </c>
      <c r="L50" s="23">
        <f>'[2]А-4'!$T$59</f>
        <v>0</v>
      </c>
      <c r="M50" s="23">
        <f>'[2]А-4'!$AF$59</f>
        <v>0</v>
      </c>
      <c r="N50" s="23"/>
      <c r="O50" s="22">
        <v>0</v>
      </c>
      <c r="P50" s="28"/>
      <c r="Q50" s="22">
        <f>ROUND(O50*$M$8,2)</f>
        <v>0</v>
      </c>
      <c r="R50" s="23">
        <f aca="true" t="shared" si="26" ref="R50:S59">ROUNDDOWN((P50*G50),0)</f>
        <v>0</v>
      </c>
      <c r="S50" s="23">
        <f t="shared" si="26"/>
        <v>0</v>
      </c>
      <c r="T50" s="16">
        <f aca="true" t="shared" si="27" ref="T50:T59">R50+S50</f>
        <v>0</v>
      </c>
      <c r="U50" s="26">
        <f t="shared" si="15"/>
        <v>0</v>
      </c>
      <c r="V50" s="9"/>
      <c r="W50" s="26">
        <f aca="true" t="shared" si="28" ref="W50:W58">IF(V50&lt;=U50,V50,U50)</f>
        <v>0</v>
      </c>
      <c r="X50" s="53">
        <f t="shared" si="1"/>
        <v>0</v>
      </c>
    </row>
    <row r="51" spans="1:28" ht="12.75">
      <c r="A51" s="30">
        <f aca="true" t="shared" si="29" ref="A51:A59">A50+1</f>
        <v>38</v>
      </c>
      <c r="B51" s="278" t="s">
        <v>143</v>
      </c>
      <c r="C51" s="279"/>
      <c r="D51" s="17">
        <f>'[2]А-4'!$F$60</f>
        <v>5</v>
      </c>
      <c r="E51" s="218">
        <f>'[4]Норматив и фактически 2009'!$F$59</f>
        <v>310</v>
      </c>
      <c r="F51" s="219">
        <f t="shared" si="22"/>
        <v>199.82461323621888</v>
      </c>
      <c r="G51" s="220">
        <f t="shared" si="23"/>
        <v>165.2349726850294</v>
      </c>
      <c r="H51" s="220">
        <f t="shared" si="24"/>
        <v>34.58964055118949</v>
      </c>
      <c r="I51" s="28">
        <f t="shared" si="25"/>
        <v>56.3</v>
      </c>
      <c r="J51" s="18">
        <f>'[2]А-4'!G60</f>
        <v>56.3</v>
      </c>
      <c r="K51" s="28">
        <f>'[2]А-4'!$H$61</f>
        <v>0</v>
      </c>
      <c r="L51" s="23">
        <f>'[2]А-4'!$T$60</f>
        <v>11</v>
      </c>
      <c r="M51" s="23">
        <f>'[2]А-4'!$AF$60</f>
        <v>4</v>
      </c>
      <c r="N51" s="22">
        <f aca="true" t="shared" si="30" ref="N51:N59">L51*10/J51</f>
        <v>1.9538188277087034</v>
      </c>
      <c r="O51" s="22">
        <v>0</v>
      </c>
      <c r="P51" s="28">
        <f aca="true" t="shared" si="31" ref="P51:Q66">ROUND(N51*$M$8,1)</f>
        <v>0.9</v>
      </c>
      <c r="Q51" s="28">
        <v>0</v>
      </c>
      <c r="R51" s="23">
        <f t="shared" si="26"/>
        <v>148</v>
      </c>
      <c r="S51" s="23">
        <f t="shared" si="26"/>
        <v>0</v>
      </c>
      <c r="T51" s="16">
        <f t="shared" si="27"/>
        <v>148</v>
      </c>
      <c r="U51" s="26">
        <f t="shared" si="15"/>
        <v>51</v>
      </c>
      <c r="V51" s="9">
        <v>36</v>
      </c>
      <c r="W51" s="26">
        <f t="shared" si="28"/>
        <v>36</v>
      </c>
      <c r="X51" s="53">
        <f t="shared" si="1"/>
        <v>0.7406495005950273</v>
      </c>
      <c r="AB51" s="54"/>
    </row>
    <row r="52" spans="1:24" ht="12.75">
      <c r="A52" s="30">
        <f t="shared" si="29"/>
        <v>39</v>
      </c>
      <c r="B52" s="37" t="s">
        <v>83</v>
      </c>
      <c r="C52" s="37"/>
      <c r="D52" s="17">
        <f>'[2]А-4'!$F$62</f>
        <v>2</v>
      </c>
      <c r="E52" s="218">
        <f>'[4]Норматив и фактически 2009'!$F$61</f>
        <v>246</v>
      </c>
      <c r="F52" s="219">
        <f t="shared" si="22"/>
        <v>158.5704995358382</v>
      </c>
      <c r="G52" s="220">
        <f t="shared" si="23"/>
        <v>131.1219460661846</v>
      </c>
      <c r="H52" s="220">
        <f t="shared" si="24"/>
        <v>27.448553469653593</v>
      </c>
      <c r="I52" s="28">
        <f t="shared" si="25"/>
        <v>28.6</v>
      </c>
      <c r="J52" s="18">
        <f>'[2]А-4'!G62</f>
        <v>25.700000000000003</v>
      </c>
      <c r="K52" s="28">
        <f>'[2]А-4'!$H$62</f>
        <v>2.9</v>
      </c>
      <c r="L52" s="23">
        <f>'[2]А-4'!$T$62</f>
        <v>3</v>
      </c>
      <c r="M52" s="23">
        <f>'[2]А-4'!$AF$62</f>
        <v>0</v>
      </c>
      <c r="N52" s="22">
        <f t="shared" si="30"/>
        <v>1.1673151750972761</v>
      </c>
      <c r="O52" s="22">
        <f aca="true" t="shared" si="32" ref="O52:O59">ROUND(M52/K52*10,3)</f>
        <v>0</v>
      </c>
      <c r="P52" s="28">
        <f t="shared" si="31"/>
        <v>0.6</v>
      </c>
      <c r="Q52" s="28">
        <f>ROUND(O52*$M$8,1)</f>
        <v>0</v>
      </c>
      <c r="R52" s="23">
        <f t="shared" si="26"/>
        <v>78</v>
      </c>
      <c r="S52" s="23">
        <f t="shared" si="26"/>
        <v>0</v>
      </c>
      <c r="T52" s="16">
        <f t="shared" si="27"/>
        <v>78</v>
      </c>
      <c r="U52" s="26">
        <f t="shared" si="15"/>
        <v>27</v>
      </c>
      <c r="V52" s="9">
        <v>92</v>
      </c>
      <c r="W52" s="26">
        <f t="shared" si="28"/>
        <v>27</v>
      </c>
      <c r="X52" s="53">
        <f t="shared" si="1"/>
        <v>0.49189477379663155</v>
      </c>
    </row>
    <row r="53" spans="1:24" ht="12.75">
      <c r="A53" s="30">
        <f t="shared" si="29"/>
        <v>40</v>
      </c>
      <c r="B53" s="37" t="s">
        <v>84</v>
      </c>
      <c r="C53" s="37"/>
      <c r="D53" s="17">
        <f>'[2]А-4'!$F$63</f>
        <v>20</v>
      </c>
      <c r="E53" s="218">
        <f>'[4]Норматив и фактически 2009'!$F$62</f>
        <v>1221</v>
      </c>
      <c r="F53" s="219">
        <f t="shared" si="22"/>
        <v>787.051137940075</v>
      </c>
      <c r="G53" s="220">
        <f t="shared" si="23"/>
        <v>650.812585962648</v>
      </c>
      <c r="H53" s="220">
        <f t="shared" si="24"/>
        <v>136.238551977427</v>
      </c>
      <c r="I53" s="28">
        <f t="shared" si="25"/>
        <v>238.89999999999998</v>
      </c>
      <c r="J53" s="18">
        <f>'[2]А-4'!G63</f>
        <v>213.2</v>
      </c>
      <c r="K53" s="28">
        <f>'[2]А-4'!$H$63</f>
        <v>25.7</v>
      </c>
      <c r="L53" s="23">
        <f>'[2]А-4'!$T$63</f>
        <v>38</v>
      </c>
      <c r="M53" s="23">
        <f>'[2]А-4'!$AF$63</f>
        <v>10</v>
      </c>
      <c r="N53" s="22">
        <f t="shared" si="30"/>
        <v>1.7823639774859288</v>
      </c>
      <c r="O53" s="22">
        <f t="shared" si="32"/>
        <v>3.891</v>
      </c>
      <c r="P53" s="28">
        <f t="shared" si="31"/>
        <v>0.9</v>
      </c>
      <c r="Q53" s="28">
        <v>0.66</v>
      </c>
      <c r="R53" s="23">
        <f t="shared" si="26"/>
        <v>585</v>
      </c>
      <c r="S53" s="23">
        <f t="shared" si="26"/>
        <v>89</v>
      </c>
      <c r="T53" s="16">
        <f t="shared" si="27"/>
        <v>674</v>
      </c>
      <c r="U53" s="26">
        <f t="shared" si="15"/>
        <v>235</v>
      </c>
      <c r="V53" s="9">
        <v>8</v>
      </c>
      <c r="W53" s="26">
        <f t="shared" si="28"/>
        <v>8</v>
      </c>
      <c r="X53" s="53">
        <f t="shared" si="1"/>
        <v>0.8563611276441829</v>
      </c>
    </row>
    <row r="54" spans="1:24" s="29" customFormat="1" ht="12.75">
      <c r="A54" s="30">
        <f t="shared" si="29"/>
        <v>41</v>
      </c>
      <c r="B54" s="43" t="s">
        <v>34</v>
      </c>
      <c r="C54" s="43"/>
      <c r="D54" s="18">
        <f>'[2]А-4'!$F$64</f>
        <v>5</v>
      </c>
      <c r="E54" s="28">
        <f>'[4]Норматив и фактически 2009'!$F$64</f>
        <v>662</v>
      </c>
      <c r="F54" s="219">
        <f t="shared" si="22"/>
        <v>426.72223858831256</v>
      </c>
      <c r="G54" s="220">
        <f t="shared" si="23"/>
        <v>352.85661908867564</v>
      </c>
      <c r="H54" s="220">
        <f t="shared" si="24"/>
        <v>73.8656194996369</v>
      </c>
      <c r="I54" s="28">
        <f t="shared" si="25"/>
        <v>64.2</v>
      </c>
      <c r="J54" s="18">
        <f>'[2]А-4'!G64</f>
        <v>57.2</v>
      </c>
      <c r="K54" s="28">
        <f>'[2]А-4'!$H$64</f>
        <v>7</v>
      </c>
      <c r="L54" s="23">
        <f>'[2]А-4'!$T$64</f>
        <v>13</v>
      </c>
      <c r="M54" s="23">
        <f>'[2]А-4'!$AF$64</f>
        <v>1</v>
      </c>
      <c r="N54" s="22">
        <f t="shared" si="30"/>
        <v>2.2727272727272725</v>
      </c>
      <c r="O54" s="22">
        <f t="shared" si="32"/>
        <v>1.429</v>
      </c>
      <c r="P54" s="28">
        <f t="shared" si="31"/>
        <v>1.1</v>
      </c>
      <c r="Q54" s="28">
        <v>0.646</v>
      </c>
      <c r="R54" s="23">
        <f t="shared" si="26"/>
        <v>388</v>
      </c>
      <c r="S54" s="23">
        <f t="shared" si="26"/>
        <v>47</v>
      </c>
      <c r="T54" s="16">
        <f t="shared" si="27"/>
        <v>435</v>
      </c>
      <c r="U54" s="26">
        <f t="shared" si="15"/>
        <v>152</v>
      </c>
      <c r="V54" s="7">
        <v>100</v>
      </c>
      <c r="W54" s="26">
        <f t="shared" si="28"/>
        <v>100</v>
      </c>
      <c r="X54" s="53">
        <f t="shared" si="1"/>
        <v>1.019398476721232</v>
      </c>
    </row>
    <row r="55" spans="1:24" ht="12.75">
      <c r="A55" s="30">
        <f t="shared" si="29"/>
        <v>42</v>
      </c>
      <c r="B55" s="12" t="s">
        <v>115</v>
      </c>
      <c r="C55" s="12"/>
      <c r="D55" s="17">
        <f>'[2]А-4'!$F$65</f>
        <v>3</v>
      </c>
      <c r="E55" s="218">
        <f>'[5]Норматив и фактически 2011'!$F$67</f>
        <v>336</v>
      </c>
      <c r="F55" s="219">
        <f t="shared" si="22"/>
        <v>216.5840969269985</v>
      </c>
      <c r="G55" s="220">
        <f t="shared" si="23"/>
        <v>179.09338974893507</v>
      </c>
      <c r="H55" s="220">
        <f t="shared" si="24"/>
        <v>37.490707178063445</v>
      </c>
      <c r="I55" s="28">
        <f t="shared" si="25"/>
        <v>35.300000000000004</v>
      </c>
      <c r="J55" s="18">
        <f>'[2]А-4'!G65</f>
        <v>31.1</v>
      </c>
      <c r="K55" s="28">
        <f>'[2]А-4'!$H$65</f>
        <v>4.2</v>
      </c>
      <c r="L55" s="23">
        <f>'[2]А-4'!$T$65</f>
        <v>13</v>
      </c>
      <c r="M55" s="23">
        <f>'[2]А-4'!$AF$65</f>
        <v>4</v>
      </c>
      <c r="N55" s="22">
        <f t="shared" si="30"/>
        <v>4.180064308681672</v>
      </c>
      <c r="O55" s="22">
        <f t="shared" si="32"/>
        <v>9.524</v>
      </c>
      <c r="P55" s="28">
        <f t="shared" si="31"/>
        <v>2</v>
      </c>
      <c r="Q55" s="28">
        <v>2.05</v>
      </c>
      <c r="R55" s="23">
        <f t="shared" si="26"/>
        <v>358</v>
      </c>
      <c r="S55" s="23">
        <f t="shared" si="26"/>
        <v>76</v>
      </c>
      <c r="T55" s="16">
        <f t="shared" si="27"/>
        <v>434</v>
      </c>
      <c r="U55" s="26">
        <f t="shared" si="15"/>
        <v>151</v>
      </c>
      <c r="V55" s="9">
        <v>60</v>
      </c>
      <c r="W55" s="26">
        <f t="shared" si="28"/>
        <v>60</v>
      </c>
      <c r="X55" s="53">
        <f t="shared" si="1"/>
        <v>2.0038405688958933</v>
      </c>
    </row>
    <row r="56" spans="1:24" ht="12.75">
      <c r="A56" s="30">
        <f t="shared" si="29"/>
        <v>43</v>
      </c>
      <c r="B56" s="11" t="s">
        <v>51</v>
      </c>
      <c r="C56" s="7"/>
      <c r="D56" s="18">
        <f>'[2]А-4'!$F$66</f>
        <v>3</v>
      </c>
      <c r="E56" s="28">
        <v>202</v>
      </c>
      <c r="F56" s="219">
        <f t="shared" si="22"/>
        <v>130.2082963668265</v>
      </c>
      <c r="G56" s="220">
        <f t="shared" si="23"/>
        <v>107.66924026572882</v>
      </c>
      <c r="H56" s="220">
        <f t="shared" si="24"/>
        <v>22.539056101097664</v>
      </c>
      <c r="I56" s="28">
        <f t="shared" si="25"/>
        <v>40.5</v>
      </c>
      <c r="J56" s="18">
        <f>'[2]А-4'!G66</f>
        <v>28</v>
      </c>
      <c r="K56" s="28">
        <f>'[2]А-4'!$H$66</f>
        <v>12.5</v>
      </c>
      <c r="L56" s="23">
        <f>'[2]А-4'!$T$66</f>
        <v>16</v>
      </c>
      <c r="M56" s="23">
        <f>'[2]А-4'!$AF$66</f>
        <v>4</v>
      </c>
      <c r="N56" s="22">
        <f t="shared" si="30"/>
        <v>5.714285714285714</v>
      </c>
      <c r="O56" s="22">
        <f t="shared" si="32"/>
        <v>3.2</v>
      </c>
      <c r="P56" s="28">
        <f t="shared" si="31"/>
        <v>2.7</v>
      </c>
      <c r="Q56" s="28">
        <v>1.55</v>
      </c>
      <c r="R56" s="23">
        <f t="shared" si="26"/>
        <v>290</v>
      </c>
      <c r="S56" s="23">
        <f t="shared" si="26"/>
        <v>34</v>
      </c>
      <c r="T56" s="16">
        <f t="shared" si="27"/>
        <v>324</v>
      </c>
      <c r="U56" s="26">
        <f t="shared" si="15"/>
        <v>113</v>
      </c>
      <c r="V56" s="7">
        <v>254</v>
      </c>
      <c r="W56" s="26">
        <f t="shared" si="28"/>
        <v>113</v>
      </c>
      <c r="X56" s="53">
        <f t="shared" si="1"/>
        <v>2.4883207064411477</v>
      </c>
    </row>
    <row r="57" spans="1:24" s="29" customFormat="1" ht="14.25" customHeight="1">
      <c r="A57" s="30">
        <f t="shared" si="29"/>
        <v>44</v>
      </c>
      <c r="B57" s="48" t="s">
        <v>77</v>
      </c>
      <c r="C57"/>
      <c r="D57" s="17">
        <f>'[2]А-4'!$F$67</f>
        <v>7</v>
      </c>
      <c r="E57" s="227">
        <v>303.961</v>
      </c>
      <c r="F57" s="219">
        <f t="shared" si="22"/>
        <v>195.93190085127202</v>
      </c>
      <c r="G57" s="220">
        <f t="shared" si="23"/>
        <v>162.01608881391684</v>
      </c>
      <c r="H57" s="220">
        <f t="shared" si="24"/>
        <v>33.91581203735519</v>
      </c>
      <c r="I57" s="28">
        <f t="shared" si="25"/>
        <v>79.49999999999999</v>
      </c>
      <c r="J57" s="18">
        <f>'[2]А-4'!G67</f>
        <v>76.49999999999999</v>
      </c>
      <c r="K57" s="28">
        <f>'[2]А-4'!$H$67</f>
        <v>3</v>
      </c>
      <c r="L57" s="23">
        <f>'[2]А-4'!$T$67</f>
        <v>12</v>
      </c>
      <c r="M57" s="23">
        <f>'[2]А-4'!$AF$67</f>
        <v>0</v>
      </c>
      <c r="N57" s="22">
        <f t="shared" si="30"/>
        <v>1.5686274509803924</v>
      </c>
      <c r="O57" s="22">
        <f t="shared" si="32"/>
        <v>0</v>
      </c>
      <c r="P57" s="28">
        <f t="shared" si="31"/>
        <v>0.8</v>
      </c>
      <c r="Q57" s="28">
        <f>ROUND(O57*$M$8,1)</f>
        <v>0</v>
      </c>
      <c r="R57" s="23">
        <f t="shared" si="26"/>
        <v>129</v>
      </c>
      <c r="S57" s="23">
        <f t="shared" si="26"/>
        <v>0</v>
      </c>
      <c r="T57" s="16">
        <f t="shared" si="27"/>
        <v>129</v>
      </c>
      <c r="U57" s="26">
        <f t="shared" si="15"/>
        <v>45</v>
      </c>
      <c r="V57" s="9"/>
      <c r="W57" s="26">
        <f t="shared" si="28"/>
        <v>0</v>
      </c>
      <c r="X57" s="53">
        <f t="shared" si="1"/>
        <v>0.6583920200821269</v>
      </c>
    </row>
    <row r="58" spans="1:24" ht="12.75">
      <c r="A58" s="30">
        <f t="shared" si="29"/>
        <v>45</v>
      </c>
      <c r="B58" s="32" t="s">
        <v>78</v>
      </c>
      <c r="C58" s="33"/>
      <c r="D58" s="17">
        <f>'[2]А-4'!$F$68</f>
        <v>7</v>
      </c>
      <c r="E58" s="227">
        <v>500.25</v>
      </c>
      <c r="F58" s="219">
        <f t="shared" si="22"/>
        <v>322.4589121658661</v>
      </c>
      <c r="G58" s="220">
        <f t="shared" si="23"/>
        <v>266.6412744699547</v>
      </c>
      <c r="H58" s="220">
        <f t="shared" si="24"/>
        <v>55.81763769591142</v>
      </c>
      <c r="I58" s="28">
        <f t="shared" si="25"/>
        <v>69.5</v>
      </c>
      <c r="J58" s="18">
        <f>'[2]А-4'!G68</f>
        <v>63.3</v>
      </c>
      <c r="K58" s="28">
        <f>'[2]А-4'!$H$68</f>
        <v>6.2</v>
      </c>
      <c r="L58" s="23">
        <f>'[2]А-4'!$T$68</f>
        <v>13</v>
      </c>
      <c r="M58" s="23">
        <f>'[2]А-4'!$AF$68</f>
        <v>2</v>
      </c>
      <c r="N58" s="22">
        <f t="shared" si="30"/>
        <v>2.0537124802527646</v>
      </c>
      <c r="O58" s="22">
        <f t="shared" si="32"/>
        <v>3.226</v>
      </c>
      <c r="P58" s="28">
        <f t="shared" si="31"/>
        <v>1</v>
      </c>
      <c r="Q58" s="28">
        <f>ROUND(O58*$M$8,1)</f>
        <v>1.5</v>
      </c>
      <c r="R58" s="23">
        <f t="shared" si="26"/>
        <v>266</v>
      </c>
      <c r="S58" s="23">
        <f t="shared" si="26"/>
        <v>83</v>
      </c>
      <c r="T58" s="16">
        <f t="shared" si="27"/>
        <v>349</v>
      </c>
      <c r="U58" s="26">
        <f t="shared" si="15"/>
        <v>122</v>
      </c>
      <c r="V58" s="9">
        <v>31</v>
      </c>
      <c r="W58" s="26">
        <f t="shared" si="28"/>
        <v>31</v>
      </c>
      <c r="X58" s="53">
        <f t="shared" si="1"/>
        <v>1.0823084332073964</v>
      </c>
    </row>
    <row r="59" spans="1:24" ht="12.75">
      <c r="A59" s="30">
        <f t="shared" si="29"/>
        <v>46</v>
      </c>
      <c r="B59" s="35" t="s">
        <v>33</v>
      </c>
      <c r="C59" s="40"/>
      <c r="D59" s="17">
        <f>'[2]А-4'!$F$69</f>
        <v>38</v>
      </c>
      <c r="E59" s="218">
        <v>2214.789</v>
      </c>
      <c r="F59" s="219">
        <f t="shared" si="22"/>
        <v>1427.6430816930065</v>
      </c>
      <c r="G59" s="220">
        <f t="shared" si="23"/>
        <v>1180.518064251947</v>
      </c>
      <c r="H59" s="220">
        <f t="shared" si="24"/>
        <v>247.12501744105944</v>
      </c>
      <c r="I59" s="28">
        <f t="shared" si="25"/>
        <v>419</v>
      </c>
      <c r="J59" s="18">
        <f>'[2]А-4'!G69</f>
        <v>412.8</v>
      </c>
      <c r="K59" s="28">
        <f>'[2]А-4'!$H$69</f>
        <v>6.2</v>
      </c>
      <c r="L59" s="23">
        <f>'[2]А-4'!$T$69</f>
        <v>94</v>
      </c>
      <c r="M59" s="23">
        <f>'[2]А-4'!$AF$69</f>
        <v>0</v>
      </c>
      <c r="N59" s="22">
        <f t="shared" si="30"/>
        <v>2.2771317829457365</v>
      </c>
      <c r="O59" s="22">
        <f t="shared" si="32"/>
        <v>0</v>
      </c>
      <c r="P59" s="28">
        <f t="shared" si="31"/>
        <v>1.1</v>
      </c>
      <c r="Q59" s="28">
        <f>ROUND(O59*$M$8,1)</f>
        <v>0</v>
      </c>
      <c r="R59" s="23">
        <f t="shared" si="26"/>
        <v>1298</v>
      </c>
      <c r="S59" s="23">
        <f t="shared" si="26"/>
        <v>0</v>
      </c>
      <c r="T59" s="16">
        <f t="shared" si="27"/>
        <v>1298</v>
      </c>
      <c r="U59" s="26">
        <f t="shared" si="15"/>
        <v>454</v>
      </c>
      <c r="V59" s="9"/>
      <c r="W59" s="26">
        <f>U59</f>
        <v>454</v>
      </c>
      <c r="X59" s="53">
        <f t="shared" si="1"/>
        <v>0.909190831128978</v>
      </c>
    </row>
    <row r="60" spans="1:30" ht="31.5" customHeight="1">
      <c r="A60" s="9"/>
      <c r="B60" s="255" t="s">
        <v>106</v>
      </c>
      <c r="C60" s="256"/>
      <c r="D60" s="129">
        <f aca="true" t="shared" si="33" ref="D60:M60">SUM(D61:D77)</f>
        <v>53</v>
      </c>
      <c r="E60" s="136">
        <f t="shared" si="33"/>
        <v>9064.199999999999</v>
      </c>
      <c r="F60" s="136">
        <f t="shared" si="33"/>
        <v>7001.000000000001</v>
      </c>
      <c r="G60" s="136">
        <f t="shared" si="33"/>
        <v>4491.841600000001</v>
      </c>
      <c r="H60" s="136">
        <f t="shared" si="33"/>
        <v>2509.1584000000007</v>
      </c>
      <c r="I60" s="136">
        <f t="shared" si="33"/>
        <v>550.2</v>
      </c>
      <c r="J60" s="136">
        <f t="shared" si="33"/>
        <v>337.8</v>
      </c>
      <c r="K60" s="136">
        <f t="shared" si="33"/>
        <v>212.4</v>
      </c>
      <c r="L60" s="137">
        <f t="shared" si="33"/>
        <v>81</v>
      </c>
      <c r="M60" s="137">
        <f t="shared" si="33"/>
        <v>68</v>
      </c>
      <c r="N60" s="130">
        <f>ROUND(L60/J60*10,2)</f>
        <v>2.4</v>
      </c>
      <c r="O60" s="137">
        <f>SUM(O61:O77)</f>
        <v>38.733999999999995</v>
      </c>
      <c r="P60" s="125">
        <f t="shared" si="31"/>
        <v>1.2</v>
      </c>
      <c r="Q60" s="137">
        <f aca="true" t="shared" si="34" ref="Q60:W60">SUM(Q61:Q77)</f>
        <v>18.5</v>
      </c>
      <c r="R60" s="136">
        <f t="shared" si="34"/>
        <v>3012</v>
      </c>
      <c r="S60" s="137">
        <f t="shared" si="34"/>
        <v>1543</v>
      </c>
      <c r="T60" s="137">
        <f t="shared" si="34"/>
        <v>4555</v>
      </c>
      <c r="U60" s="137">
        <f t="shared" si="34"/>
        <v>1588</v>
      </c>
      <c r="V60" s="137">
        <f t="shared" si="34"/>
        <v>1408</v>
      </c>
      <c r="W60" s="137">
        <f t="shared" si="34"/>
        <v>1139</v>
      </c>
      <c r="X60" s="53">
        <f t="shared" si="1"/>
        <v>0.6506213398085987</v>
      </c>
      <c r="Y60" s="55">
        <f>7001/E60</f>
        <v>0.772379250237197</v>
      </c>
      <c r="AB60">
        <v>9221</v>
      </c>
      <c r="AD60" s="19">
        <f>AB60-T60</f>
        <v>4666</v>
      </c>
    </row>
    <row r="61" spans="1:24" ht="12.75">
      <c r="A61" s="30">
        <f>A59+1</f>
        <v>47</v>
      </c>
      <c r="B61" s="15" t="s">
        <v>119</v>
      </c>
      <c r="C61" s="9"/>
      <c r="D61" s="17">
        <f>'[2]А-4'!$F$81</f>
        <v>1</v>
      </c>
      <c r="E61" s="218">
        <f>'[4]Норматив и фактически 2009'!$F$71</f>
        <v>225</v>
      </c>
      <c r="F61" s="219">
        <f aca="true" t="shared" si="35" ref="F61:F77">E61*$Y$60</f>
        <v>173.78533130336933</v>
      </c>
      <c r="G61" s="220">
        <f aca="true" t="shared" si="36" ref="G61:G77">F61*0.6416</f>
        <v>111.50066856424175</v>
      </c>
      <c r="H61" s="220">
        <f aca="true" t="shared" si="37" ref="H61:H77">F61*0.3584</f>
        <v>62.28466273912757</v>
      </c>
      <c r="I61" s="28">
        <f aca="true" t="shared" si="38" ref="I61:I77">J61+K61</f>
        <v>10</v>
      </c>
      <c r="J61" s="18">
        <f>'[2]А-4'!G81</f>
        <v>10</v>
      </c>
      <c r="K61" s="28">
        <f>'[2]А-4'!$H$81</f>
        <v>0</v>
      </c>
      <c r="L61" s="23">
        <f>'[2]А-4'!$T$81</f>
        <v>2</v>
      </c>
      <c r="M61" s="23">
        <f>'[2]А-4'!$AF$81</f>
        <v>0</v>
      </c>
      <c r="N61" s="22">
        <f>L61*10/J61</f>
        <v>2</v>
      </c>
      <c r="O61" s="22">
        <v>0</v>
      </c>
      <c r="P61" s="28">
        <f t="shared" si="31"/>
        <v>1</v>
      </c>
      <c r="Q61" s="28">
        <v>0</v>
      </c>
      <c r="R61" s="23">
        <f aca="true" t="shared" si="39" ref="R61:S77">ROUNDDOWN((P61*G61),0)</f>
        <v>111</v>
      </c>
      <c r="S61" s="23">
        <f t="shared" si="39"/>
        <v>0</v>
      </c>
      <c r="T61" s="16">
        <f aca="true" t="shared" si="40" ref="T61:T77">R61+S61</f>
        <v>111</v>
      </c>
      <c r="U61" s="26">
        <f t="shared" si="15"/>
        <v>38</v>
      </c>
      <c r="V61" s="9">
        <v>65</v>
      </c>
      <c r="W61" s="26">
        <f aca="true" t="shared" si="41" ref="W61:W77">IF(V61&lt;=U61,V61,U61)</f>
        <v>38</v>
      </c>
      <c r="X61" s="53">
        <f t="shared" si="1"/>
        <v>0.6387190401371231</v>
      </c>
    </row>
    <row r="62" spans="1:30" ht="12.75">
      <c r="A62" s="30">
        <f aca="true" t="shared" si="42" ref="A62:A77">A61+1</f>
        <v>48</v>
      </c>
      <c r="B62" s="15" t="s">
        <v>120</v>
      </c>
      <c r="C62" s="9"/>
      <c r="D62" s="17">
        <f>'[2]А-4'!$F$82</f>
        <v>5</v>
      </c>
      <c r="E62" s="218">
        <f>'[4]Норматив и фактически 2009'!$F$72</f>
        <v>520</v>
      </c>
      <c r="F62" s="219">
        <f t="shared" si="35"/>
        <v>401.6372101233424</v>
      </c>
      <c r="G62" s="220">
        <f t="shared" si="36"/>
        <v>257.6904340151365</v>
      </c>
      <c r="H62" s="220">
        <f t="shared" si="37"/>
        <v>143.9467761082059</v>
      </c>
      <c r="I62" s="28">
        <f t="shared" si="38"/>
        <v>50</v>
      </c>
      <c r="J62" s="18">
        <f>'[2]А-4'!G82</f>
        <v>50</v>
      </c>
      <c r="K62" s="28">
        <f>'[2]А-4'!$H$82</f>
        <v>0</v>
      </c>
      <c r="L62" s="23">
        <f>'[2]А-4'!$T$82</f>
        <v>6</v>
      </c>
      <c r="M62" s="23">
        <f>'[2]А-4'!$AF$82</f>
        <v>0</v>
      </c>
      <c r="N62" s="22">
        <f>L62*10/J62</f>
        <v>1.2</v>
      </c>
      <c r="O62" s="22">
        <v>0</v>
      </c>
      <c r="P62" s="28">
        <f t="shared" si="31"/>
        <v>0.6</v>
      </c>
      <c r="Q62" s="28">
        <v>0</v>
      </c>
      <c r="R62" s="23">
        <f t="shared" si="39"/>
        <v>154</v>
      </c>
      <c r="S62" s="23">
        <f t="shared" si="39"/>
        <v>0</v>
      </c>
      <c r="T62" s="16">
        <f t="shared" si="40"/>
        <v>154</v>
      </c>
      <c r="U62" s="26">
        <f t="shared" si="15"/>
        <v>53</v>
      </c>
      <c r="V62" s="9">
        <v>218</v>
      </c>
      <c r="W62" s="26">
        <f t="shared" si="41"/>
        <v>53</v>
      </c>
      <c r="X62" s="53">
        <f t="shared" si="1"/>
        <v>0.38343060881412544</v>
      </c>
      <c r="AD62" s="56">
        <f>9064.2-R60</f>
        <v>6052.200000000001</v>
      </c>
    </row>
    <row r="63" spans="1:24" ht="12.75">
      <c r="A63" s="30">
        <f t="shared" si="42"/>
        <v>49</v>
      </c>
      <c r="B63" s="15" t="s">
        <v>121</v>
      </c>
      <c r="C63" s="9"/>
      <c r="D63" s="17">
        <f>'[2]А-4'!$F$83</f>
        <v>22</v>
      </c>
      <c r="E63" s="218">
        <f>'[4]Норматив и фактически 2009'!$F$73</f>
        <v>2256</v>
      </c>
      <c r="F63" s="219">
        <f t="shared" si="35"/>
        <v>1742.4875885351164</v>
      </c>
      <c r="G63" s="220">
        <f t="shared" si="36"/>
        <v>1117.9800368041306</v>
      </c>
      <c r="H63" s="220">
        <f t="shared" si="37"/>
        <v>624.5075517309857</v>
      </c>
      <c r="I63" s="28">
        <f t="shared" si="38"/>
        <v>220</v>
      </c>
      <c r="J63" s="18">
        <f>'[2]А-4'!G83</f>
        <v>171</v>
      </c>
      <c r="K63" s="28">
        <f>'[2]А-4'!$H$83</f>
        <v>49</v>
      </c>
      <c r="L63" s="23">
        <f>'[2]А-4'!$T$83</f>
        <v>25</v>
      </c>
      <c r="M63" s="23">
        <f>'[2]А-4'!$AF$83</f>
        <v>9</v>
      </c>
      <c r="N63" s="22">
        <f>L63*10/J63</f>
        <v>1.4619883040935673</v>
      </c>
      <c r="O63" s="22">
        <f>ROUND(M63/K63*10,3)</f>
        <v>1.837</v>
      </c>
      <c r="P63" s="28">
        <f t="shared" si="31"/>
        <v>0.7</v>
      </c>
      <c r="Q63" s="28">
        <f t="shared" si="31"/>
        <v>0.9</v>
      </c>
      <c r="R63" s="23">
        <f t="shared" si="39"/>
        <v>782</v>
      </c>
      <c r="S63" s="23">
        <f t="shared" si="39"/>
        <v>562</v>
      </c>
      <c r="T63" s="16">
        <f t="shared" si="40"/>
        <v>1344</v>
      </c>
      <c r="U63" s="26">
        <f t="shared" si="15"/>
        <v>470</v>
      </c>
      <c r="V63" s="9">
        <v>919</v>
      </c>
      <c r="W63" s="26">
        <f t="shared" si="41"/>
        <v>470</v>
      </c>
      <c r="X63" s="53">
        <f t="shared" si="1"/>
        <v>0.7713110892972735</v>
      </c>
    </row>
    <row r="64" spans="1:24" s="87" customFormat="1" ht="12.75">
      <c r="A64" s="30">
        <f t="shared" si="42"/>
        <v>50</v>
      </c>
      <c r="B64" s="15" t="s">
        <v>122</v>
      </c>
      <c r="C64" s="9"/>
      <c r="D64" s="17">
        <f>'[2]А-4'!$F$84</f>
        <v>4</v>
      </c>
      <c r="E64" s="218">
        <f>'[4]Норматив и фактически 2009'!$F$74</f>
        <v>256</v>
      </c>
      <c r="F64" s="219">
        <f t="shared" si="35"/>
        <v>197.72908806072243</v>
      </c>
      <c r="G64" s="220">
        <f t="shared" si="36"/>
        <v>126.8629828997595</v>
      </c>
      <c r="H64" s="220">
        <f t="shared" si="37"/>
        <v>70.86610516096292</v>
      </c>
      <c r="I64" s="28">
        <f t="shared" si="38"/>
        <v>40</v>
      </c>
      <c r="J64" s="18">
        <f>'[2]А-4'!G84</f>
        <v>18</v>
      </c>
      <c r="K64" s="28">
        <f>'[2]А-4'!$H$84</f>
        <v>22</v>
      </c>
      <c r="L64" s="23">
        <f>'[2]А-4'!$T$84</f>
        <v>3</v>
      </c>
      <c r="M64" s="23">
        <f>'[2]А-4'!$AF$84</f>
        <v>2</v>
      </c>
      <c r="N64" s="22">
        <f>L64*10/J64</f>
        <v>1.6666666666666667</v>
      </c>
      <c r="O64" s="22">
        <f>ROUND(M64/K64*10,3)</f>
        <v>0.909</v>
      </c>
      <c r="P64" s="28">
        <f t="shared" si="31"/>
        <v>0.8</v>
      </c>
      <c r="Q64" s="28">
        <f t="shared" si="31"/>
        <v>0.4</v>
      </c>
      <c r="R64" s="23">
        <f t="shared" si="39"/>
        <v>101</v>
      </c>
      <c r="S64" s="23">
        <f t="shared" si="39"/>
        <v>28</v>
      </c>
      <c r="T64" s="16">
        <f t="shared" si="40"/>
        <v>129</v>
      </c>
      <c r="U64" s="26">
        <f t="shared" si="15"/>
        <v>45</v>
      </c>
      <c r="V64" s="9">
        <v>106</v>
      </c>
      <c r="W64" s="26">
        <f t="shared" si="41"/>
        <v>45</v>
      </c>
      <c r="X64" s="53">
        <f t="shared" si="1"/>
        <v>0.6524078033495214</v>
      </c>
    </row>
    <row r="65" spans="1:36" ht="12.75">
      <c r="A65" s="30">
        <f t="shared" si="42"/>
        <v>51</v>
      </c>
      <c r="B65" s="20" t="s">
        <v>19</v>
      </c>
      <c r="C65" s="21"/>
      <c r="D65" s="17">
        <f>'[2]А-4'!$F$85</f>
        <v>0</v>
      </c>
      <c r="E65" s="218">
        <f>'[4]Норматив и фактически 2009'!$F$75</f>
        <v>1728</v>
      </c>
      <c r="F65" s="219">
        <f t="shared" si="35"/>
        <v>1334.6713444098764</v>
      </c>
      <c r="G65" s="220">
        <f t="shared" si="36"/>
        <v>856.3251345733767</v>
      </c>
      <c r="H65" s="220">
        <f t="shared" si="37"/>
        <v>478.34620983649967</v>
      </c>
      <c r="I65" s="28">
        <f t="shared" si="38"/>
        <v>0</v>
      </c>
      <c r="J65" s="18">
        <f>'[2]А-4'!G85</f>
        <v>0</v>
      </c>
      <c r="K65" s="28">
        <f>'[2]А-4'!$H$85</f>
        <v>0</v>
      </c>
      <c r="L65" s="23">
        <f>'[2]А-4'!$T$85</f>
        <v>0</v>
      </c>
      <c r="M65" s="23">
        <f>'[2]А-4'!$AF$85</f>
        <v>0</v>
      </c>
      <c r="N65" s="22">
        <v>0</v>
      </c>
      <c r="O65" s="22">
        <v>0</v>
      </c>
      <c r="P65" s="28">
        <f t="shared" si="31"/>
        <v>0</v>
      </c>
      <c r="Q65" s="28">
        <f t="shared" si="31"/>
        <v>0</v>
      </c>
      <c r="R65" s="23">
        <f t="shared" si="39"/>
        <v>0</v>
      </c>
      <c r="S65" s="23">
        <f t="shared" si="39"/>
        <v>0</v>
      </c>
      <c r="T65" s="16">
        <f t="shared" si="40"/>
        <v>0</v>
      </c>
      <c r="U65" s="26">
        <f t="shared" si="15"/>
        <v>0</v>
      </c>
      <c r="V65" s="9"/>
      <c r="W65" s="26">
        <f t="shared" si="41"/>
        <v>0</v>
      </c>
      <c r="X65" s="53">
        <f t="shared" si="1"/>
        <v>0</v>
      </c>
      <c r="AJ65" s="57"/>
    </row>
    <row r="66" spans="1:24" ht="12.75">
      <c r="A66" s="30">
        <f t="shared" si="42"/>
        <v>52</v>
      </c>
      <c r="B66" s="8" t="s">
        <v>79</v>
      </c>
      <c r="C66" s="9"/>
      <c r="D66" s="17">
        <f>'[2]А-4'!$F$86</f>
        <v>3</v>
      </c>
      <c r="E66" s="218">
        <v>178</v>
      </c>
      <c r="F66" s="219">
        <f t="shared" si="35"/>
        <v>137.48350654222108</v>
      </c>
      <c r="G66" s="220">
        <f t="shared" si="36"/>
        <v>88.20941779748904</v>
      </c>
      <c r="H66" s="220">
        <f t="shared" si="37"/>
        <v>49.27408874473203</v>
      </c>
      <c r="I66" s="28">
        <f t="shared" si="38"/>
        <v>31.8</v>
      </c>
      <c r="J66" s="18">
        <f>'[2]А-4'!G86</f>
        <v>10.2</v>
      </c>
      <c r="K66" s="28">
        <f>'[2]А-4'!$H$86</f>
        <v>21.6</v>
      </c>
      <c r="L66" s="23">
        <f>'[2]А-4'!$T$86</f>
        <v>5</v>
      </c>
      <c r="M66" s="23">
        <f>'[2]А-4'!$AF$86</f>
        <v>10</v>
      </c>
      <c r="N66" s="22">
        <f>L66*10/J66</f>
        <v>4.901960784313726</v>
      </c>
      <c r="O66" s="22">
        <f>ROUND(M66/K66*10,3)</f>
        <v>4.63</v>
      </c>
      <c r="P66" s="28">
        <f>ROUND(N66*$M$8,1)</f>
        <v>2.4</v>
      </c>
      <c r="Q66" s="28">
        <f t="shared" si="31"/>
        <v>2.2</v>
      </c>
      <c r="R66" s="23">
        <f t="shared" si="39"/>
        <v>211</v>
      </c>
      <c r="S66" s="23">
        <f t="shared" si="39"/>
        <v>108</v>
      </c>
      <c r="T66" s="16">
        <f t="shared" si="40"/>
        <v>319</v>
      </c>
      <c r="U66" s="26">
        <f t="shared" si="15"/>
        <v>111</v>
      </c>
      <c r="V66" s="9"/>
      <c r="W66" s="26">
        <f>U66</f>
        <v>111</v>
      </c>
      <c r="X66" s="53">
        <f t="shared" si="1"/>
        <v>2.3202783230004056</v>
      </c>
    </row>
    <row r="67" spans="1:24" ht="12.75">
      <c r="A67" s="30">
        <f t="shared" si="42"/>
        <v>53</v>
      </c>
      <c r="B67" s="20" t="s">
        <v>20</v>
      </c>
      <c r="C67" s="21"/>
      <c r="D67" s="17">
        <f>'[2]А-4'!$F$87</f>
        <v>0</v>
      </c>
      <c r="E67" s="218">
        <f>'[4]Норматив и фактически 2009'!$F$78</f>
        <v>202</v>
      </c>
      <c r="F67" s="219">
        <f t="shared" si="35"/>
        <v>156.02060854791378</v>
      </c>
      <c r="G67" s="220">
        <f t="shared" si="36"/>
        <v>100.10282244434147</v>
      </c>
      <c r="H67" s="220">
        <f t="shared" si="37"/>
        <v>55.9177861035723</v>
      </c>
      <c r="I67" s="28">
        <f t="shared" si="38"/>
        <v>0</v>
      </c>
      <c r="J67" s="18">
        <f>'[2]А-4'!G87</f>
        <v>0</v>
      </c>
      <c r="K67" s="28">
        <f>'[2]А-4'!$H$87</f>
        <v>0</v>
      </c>
      <c r="L67" s="23">
        <f>'[2]А-4'!$T$87</f>
        <v>0</v>
      </c>
      <c r="M67" s="23">
        <f>'[2]А-4'!$AF$87</f>
        <v>0</v>
      </c>
      <c r="N67" s="22">
        <v>0</v>
      </c>
      <c r="O67" s="22">
        <v>0</v>
      </c>
      <c r="P67" s="28">
        <f>ROUND(N67*$M$8,1)</f>
        <v>0</v>
      </c>
      <c r="Q67" s="28">
        <f aca="true" t="shared" si="43" ref="Q67:Q91">ROUND(O67*$M$8,1)</f>
        <v>0</v>
      </c>
      <c r="R67" s="23">
        <f t="shared" si="39"/>
        <v>0</v>
      </c>
      <c r="S67" s="23">
        <f t="shared" si="39"/>
        <v>0</v>
      </c>
      <c r="T67" s="16">
        <f t="shared" si="40"/>
        <v>0</v>
      </c>
      <c r="U67" s="26">
        <f t="shared" si="15"/>
        <v>0</v>
      </c>
      <c r="V67" s="9"/>
      <c r="W67" s="26">
        <f t="shared" si="41"/>
        <v>0</v>
      </c>
      <c r="X67" s="53">
        <f t="shared" si="1"/>
        <v>0</v>
      </c>
    </row>
    <row r="68" spans="1:28" ht="12.75">
      <c r="A68" s="30">
        <f t="shared" si="42"/>
        <v>54</v>
      </c>
      <c r="B68" s="20" t="s">
        <v>36</v>
      </c>
      <c r="C68" s="21"/>
      <c r="D68" s="17">
        <f>'[2]А-4'!$F$88</f>
        <v>0</v>
      </c>
      <c r="E68" s="218">
        <v>208</v>
      </c>
      <c r="F68" s="219">
        <f t="shared" si="35"/>
        <v>160.65488404933697</v>
      </c>
      <c r="G68" s="220">
        <f t="shared" si="36"/>
        <v>103.0761736060546</v>
      </c>
      <c r="H68" s="220">
        <f t="shared" si="37"/>
        <v>57.57871044328237</v>
      </c>
      <c r="I68" s="28">
        <f t="shared" si="38"/>
        <v>0</v>
      </c>
      <c r="J68" s="18">
        <f>'[2]А-4'!G88</f>
        <v>0</v>
      </c>
      <c r="K68" s="28">
        <f>'[2]А-4'!$H$88</f>
        <v>0</v>
      </c>
      <c r="L68" s="23">
        <f>'[2]А-4'!$T$88</f>
        <v>0</v>
      </c>
      <c r="M68" s="23">
        <f>'[2]А-4'!$AF$88</f>
        <v>0</v>
      </c>
      <c r="N68" s="22">
        <v>0</v>
      </c>
      <c r="O68" s="22">
        <v>0</v>
      </c>
      <c r="P68" s="28">
        <f>ROUND(N68*$M$8,1)</f>
        <v>0</v>
      </c>
      <c r="Q68" s="28">
        <f t="shared" si="43"/>
        <v>0</v>
      </c>
      <c r="R68" s="23">
        <f t="shared" si="39"/>
        <v>0</v>
      </c>
      <c r="S68" s="23">
        <f t="shared" si="39"/>
        <v>0</v>
      </c>
      <c r="T68" s="16">
        <f t="shared" si="40"/>
        <v>0</v>
      </c>
      <c r="U68" s="26">
        <f t="shared" si="15"/>
        <v>0</v>
      </c>
      <c r="V68" s="9"/>
      <c r="W68" s="26">
        <f t="shared" si="41"/>
        <v>0</v>
      </c>
      <c r="X68" s="53">
        <f t="shared" si="1"/>
        <v>0</v>
      </c>
      <c r="AB68">
        <f>9064.2-8805</f>
        <v>259.2000000000007</v>
      </c>
    </row>
    <row r="69" spans="1:28" ht="12.75">
      <c r="A69" s="30">
        <f t="shared" si="42"/>
        <v>55</v>
      </c>
      <c r="B69" s="20" t="s">
        <v>80</v>
      </c>
      <c r="C69" s="20"/>
      <c r="D69" s="17">
        <f>'[2]А-4'!$F$89</f>
        <v>0</v>
      </c>
      <c r="E69" s="218">
        <v>605.2</v>
      </c>
      <c r="F69" s="219">
        <f t="shared" si="35"/>
        <v>467.44392224355164</v>
      </c>
      <c r="G69" s="220">
        <f t="shared" si="36"/>
        <v>299.9120205114627</v>
      </c>
      <c r="H69" s="220">
        <f t="shared" si="37"/>
        <v>167.5319017320889</v>
      </c>
      <c r="I69" s="28">
        <f t="shared" si="38"/>
        <v>0</v>
      </c>
      <c r="J69" s="18">
        <f>'[2]А-4'!G89</f>
        <v>0</v>
      </c>
      <c r="K69" s="28">
        <f>'[2]А-4'!$H$89</f>
        <v>0</v>
      </c>
      <c r="L69" s="23">
        <f>'[2]А-4'!$T$89</f>
        <v>0</v>
      </c>
      <c r="M69" s="23">
        <f>'[2]А-4'!$AF$89</f>
        <v>0</v>
      </c>
      <c r="N69" s="22">
        <v>0</v>
      </c>
      <c r="O69" s="22">
        <v>0</v>
      </c>
      <c r="P69" s="28">
        <f>ROUND(N69*$M$8,1)</f>
        <v>0</v>
      </c>
      <c r="Q69" s="28">
        <f t="shared" si="43"/>
        <v>0</v>
      </c>
      <c r="R69" s="23">
        <f t="shared" si="39"/>
        <v>0</v>
      </c>
      <c r="S69" s="23">
        <f t="shared" si="39"/>
        <v>0</v>
      </c>
      <c r="T69" s="16">
        <f t="shared" si="40"/>
        <v>0</v>
      </c>
      <c r="U69" s="26">
        <f t="shared" si="15"/>
        <v>0</v>
      </c>
      <c r="V69" s="9"/>
      <c r="W69" s="26">
        <f>U69</f>
        <v>0</v>
      </c>
      <c r="X69" s="53">
        <f t="shared" si="1"/>
        <v>0</v>
      </c>
      <c r="AB69">
        <f>178+AB68</f>
        <v>437.2000000000007</v>
      </c>
    </row>
    <row r="70" spans="1:24" ht="12.75">
      <c r="A70" s="30">
        <f t="shared" si="42"/>
        <v>56</v>
      </c>
      <c r="B70" s="8" t="s">
        <v>81</v>
      </c>
      <c r="C70" s="8"/>
      <c r="D70" s="17">
        <f>'[2]А-4'!$F$90</f>
        <v>2</v>
      </c>
      <c r="E70" s="218">
        <f>'[4]Норматив и фактически 2009'!$F$81</f>
        <v>110</v>
      </c>
      <c r="F70" s="219">
        <f t="shared" si="35"/>
        <v>84.96171752609168</v>
      </c>
      <c r="G70" s="220">
        <f t="shared" si="36"/>
        <v>54.511437964740416</v>
      </c>
      <c r="H70" s="220">
        <f t="shared" si="37"/>
        <v>30.450279561351255</v>
      </c>
      <c r="I70" s="28">
        <f t="shared" si="38"/>
        <v>21.7</v>
      </c>
      <c r="J70" s="18">
        <f>'[2]А-4'!G90</f>
        <v>0</v>
      </c>
      <c r="K70" s="28">
        <f>'[2]А-4'!$H$90</f>
        <v>21.7</v>
      </c>
      <c r="L70" s="23">
        <f>'[2]А-4'!$T$90</f>
        <v>0</v>
      </c>
      <c r="M70" s="23">
        <f>'[2]А-4'!$AF$90</f>
        <v>9</v>
      </c>
      <c r="N70" s="22">
        <v>0</v>
      </c>
      <c r="O70" s="22">
        <f>ROUND(M70/K70*10,3)</f>
        <v>4.147</v>
      </c>
      <c r="P70" s="28">
        <f>ROUND(N70*$M$8,1)</f>
        <v>0</v>
      </c>
      <c r="Q70" s="28">
        <f t="shared" si="43"/>
        <v>2</v>
      </c>
      <c r="R70" s="23">
        <f t="shared" si="39"/>
        <v>0</v>
      </c>
      <c r="S70" s="23">
        <f t="shared" si="39"/>
        <v>60</v>
      </c>
      <c r="T70" s="16">
        <f t="shared" si="40"/>
        <v>60</v>
      </c>
      <c r="U70" s="26">
        <f t="shared" si="15"/>
        <v>21</v>
      </c>
      <c r="V70" s="15"/>
      <c r="W70" s="26">
        <f>U70</f>
        <v>21</v>
      </c>
      <c r="X70" s="53">
        <f t="shared" si="1"/>
        <v>0.7062004129280232</v>
      </c>
    </row>
    <row r="71" spans="1:24" ht="12.75">
      <c r="A71" s="30">
        <f t="shared" si="42"/>
        <v>57</v>
      </c>
      <c r="B71" s="35" t="s">
        <v>123</v>
      </c>
      <c r="C71" s="37"/>
      <c r="D71" s="17">
        <f>'[2]А-4'!$F$92</f>
        <v>5</v>
      </c>
      <c r="E71" s="218">
        <v>582.175</v>
      </c>
      <c r="F71" s="219">
        <f t="shared" si="35"/>
        <v>449.6598900068401</v>
      </c>
      <c r="G71" s="220">
        <f t="shared" si="36"/>
        <v>288.5017854283886</v>
      </c>
      <c r="H71" s="220">
        <f t="shared" si="37"/>
        <v>161.15810457845149</v>
      </c>
      <c r="I71" s="28">
        <f t="shared" si="38"/>
        <v>56</v>
      </c>
      <c r="J71" s="18">
        <f>'[2]А-4'!G92</f>
        <v>29.2</v>
      </c>
      <c r="K71" s="28">
        <f>'[2]А-4'!$H$92</f>
        <v>26.8</v>
      </c>
      <c r="L71" s="23">
        <f>'[2]А-4'!$T$92</f>
        <v>10</v>
      </c>
      <c r="M71" s="23">
        <f>'[2]А-4'!$AF$91</f>
        <v>0</v>
      </c>
      <c r="N71" s="22">
        <f>L71*10/J71</f>
        <v>3.4246575342465753</v>
      </c>
      <c r="O71" s="22">
        <f>ROUND(M71/K71*10,3)</f>
        <v>0</v>
      </c>
      <c r="P71" s="28">
        <f aca="true" t="shared" si="44" ref="P71:Q117">ROUND(N71*$M$8,1)</f>
        <v>1.6</v>
      </c>
      <c r="Q71" s="28">
        <f t="shared" si="43"/>
        <v>0</v>
      </c>
      <c r="R71" s="23">
        <f t="shared" si="39"/>
        <v>461</v>
      </c>
      <c r="S71" s="23">
        <f t="shared" si="39"/>
        <v>0</v>
      </c>
      <c r="T71" s="16">
        <f t="shared" si="40"/>
        <v>461</v>
      </c>
      <c r="U71" s="26">
        <f t="shared" si="15"/>
        <v>161</v>
      </c>
      <c r="V71" s="9"/>
      <c r="W71" s="26">
        <f>U71</f>
        <v>161</v>
      </c>
      <c r="X71" s="53">
        <f t="shared" si="1"/>
        <v>1.0252193051797156</v>
      </c>
    </row>
    <row r="72" spans="1:24" ht="12.75">
      <c r="A72" s="30">
        <f t="shared" si="42"/>
        <v>58</v>
      </c>
      <c r="B72" s="160" t="s">
        <v>50</v>
      </c>
      <c r="C72" s="161"/>
      <c r="D72" s="17">
        <f>'[2]А-4'!$F$93</f>
        <v>0</v>
      </c>
      <c r="E72" s="218">
        <v>685</v>
      </c>
      <c r="F72" s="219">
        <f t="shared" si="35"/>
        <v>529.07978641248</v>
      </c>
      <c r="G72" s="220">
        <f t="shared" si="36"/>
        <v>339.45759096224714</v>
      </c>
      <c r="H72" s="220">
        <f t="shared" si="37"/>
        <v>189.62219545023282</v>
      </c>
      <c r="I72" s="28">
        <f t="shared" si="38"/>
        <v>0</v>
      </c>
      <c r="J72" s="18">
        <f>'[2]А-4'!G93</f>
        <v>0</v>
      </c>
      <c r="K72" s="28">
        <f>'[2]А-4'!$H$93</f>
        <v>0</v>
      </c>
      <c r="L72" s="23">
        <f>'[2]А-4'!$T$93</f>
        <v>0</v>
      </c>
      <c r="M72" s="23">
        <f>'[2]А-4'!$AF$93</f>
        <v>0</v>
      </c>
      <c r="N72" s="22">
        <v>0</v>
      </c>
      <c r="O72" s="22">
        <v>0</v>
      </c>
      <c r="P72" s="28">
        <f t="shared" si="44"/>
        <v>0</v>
      </c>
      <c r="Q72" s="28">
        <f t="shared" si="43"/>
        <v>0</v>
      </c>
      <c r="R72" s="23">
        <f t="shared" si="39"/>
        <v>0</v>
      </c>
      <c r="S72" s="23">
        <f t="shared" si="39"/>
        <v>0</v>
      </c>
      <c r="T72" s="16">
        <f t="shared" si="40"/>
        <v>0</v>
      </c>
      <c r="U72" s="26">
        <f t="shared" si="15"/>
        <v>0</v>
      </c>
      <c r="V72" s="9"/>
      <c r="W72" s="26">
        <f t="shared" si="41"/>
        <v>0</v>
      </c>
      <c r="X72" s="53">
        <f t="shared" si="1"/>
        <v>0</v>
      </c>
    </row>
    <row r="73" spans="1:24" ht="12.75">
      <c r="A73" s="30">
        <f t="shared" si="42"/>
        <v>59</v>
      </c>
      <c r="B73" s="35" t="s">
        <v>43</v>
      </c>
      <c r="C73" s="36"/>
      <c r="D73" s="17">
        <f>'[2]А-4'!$F$94</f>
        <v>3</v>
      </c>
      <c r="E73" s="218">
        <v>168</v>
      </c>
      <c r="F73" s="219">
        <f t="shared" si="35"/>
        <v>129.7597140398491</v>
      </c>
      <c r="G73" s="220">
        <f t="shared" si="36"/>
        <v>83.25383252796716</v>
      </c>
      <c r="H73" s="220">
        <f t="shared" si="37"/>
        <v>46.50588151188191</v>
      </c>
      <c r="I73" s="28">
        <f t="shared" si="38"/>
        <v>32.5</v>
      </c>
      <c r="J73" s="18">
        <f>'[2]А-4'!G94</f>
        <v>10.5</v>
      </c>
      <c r="K73" s="28">
        <f>'[2]А-4'!$H$94</f>
        <v>22</v>
      </c>
      <c r="L73" s="23">
        <f>'[2]А-4'!$T$94</f>
        <v>5</v>
      </c>
      <c r="M73" s="23">
        <f>'[2]А-4'!$AF$94</f>
        <v>11</v>
      </c>
      <c r="N73" s="22">
        <f>L73*10/J73</f>
        <v>4.761904761904762</v>
      </c>
      <c r="O73" s="22">
        <f>ROUND(M73/K73*10,3)</f>
        <v>5</v>
      </c>
      <c r="P73" s="28">
        <f t="shared" si="44"/>
        <v>2.3</v>
      </c>
      <c r="Q73" s="28">
        <f t="shared" si="43"/>
        <v>2.4</v>
      </c>
      <c r="R73" s="23">
        <f t="shared" si="39"/>
        <v>191</v>
      </c>
      <c r="S73" s="23">
        <f t="shared" si="39"/>
        <v>111</v>
      </c>
      <c r="T73" s="16">
        <f t="shared" si="40"/>
        <v>302</v>
      </c>
      <c r="U73" s="26">
        <f t="shared" si="15"/>
        <v>105</v>
      </c>
      <c r="V73" s="9"/>
      <c r="W73" s="26">
        <f>U73</f>
        <v>105</v>
      </c>
      <c r="X73" s="53">
        <f t="shared" si="1"/>
        <v>2.327378741812394</v>
      </c>
    </row>
    <row r="74" spans="1:24" ht="12.75">
      <c r="A74" s="30">
        <f t="shared" si="42"/>
        <v>60</v>
      </c>
      <c r="B74" s="41" t="s">
        <v>66</v>
      </c>
      <c r="C74" s="42"/>
      <c r="D74" s="17">
        <f>'[2]А-4'!$F$95</f>
        <v>1</v>
      </c>
      <c r="E74" s="218">
        <f>'[4]Норматив и фактически 2009'!$F$87</f>
        <v>160</v>
      </c>
      <c r="F74" s="219">
        <f t="shared" si="35"/>
        <v>123.58068003795152</v>
      </c>
      <c r="G74" s="220">
        <f t="shared" si="36"/>
        <v>79.28936431234969</v>
      </c>
      <c r="H74" s="220">
        <f t="shared" si="37"/>
        <v>44.29131572560183</v>
      </c>
      <c r="I74" s="28">
        <f t="shared" si="38"/>
        <v>10.3</v>
      </c>
      <c r="J74" s="18">
        <f>'[2]А-4'!G95</f>
        <v>0</v>
      </c>
      <c r="K74" s="28">
        <f>'[2]А-4'!$H$95</f>
        <v>10.3</v>
      </c>
      <c r="L74" s="23">
        <f>'[2]А-4'!$T$95</f>
        <v>0</v>
      </c>
      <c r="M74" s="23">
        <f>'[2]А-4'!$AF$95</f>
        <v>5</v>
      </c>
      <c r="N74" s="22">
        <v>0</v>
      </c>
      <c r="O74" s="22">
        <f>ROUND(M74/K74*10,3)</f>
        <v>4.854</v>
      </c>
      <c r="P74" s="28">
        <f t="shared" si="44"/>
        <v>0</v>
      </c>
      <c r="Q74" s="28">
        <f t="shared" si="43"/>
        <v>2.3</v>
      </c>
      <c r="R74" s="23">
        <f t="shared" si="39"/>
        <v>0</v>
      </c>
      <c r="S74" s="23">
        <f t="shared" si="39"/>
        <v>101</v>
      </c>
      <c r="T74" s="16">
        <f t="shared" si="40"/>
        <v>101</v>
      </c>
      <c r="U74" s="26">
        <f t="shared" si="15"/>
        <v>35</v>
      </c>
      <c r="V74" s="9"/>
      <c r="W74" s="26">
        <f>U74</f>
        <v>35</v>
      </c>
      <c r="X74" s="53">
        <f t="shared" si="1"/>
        <v>0.8172798528781601</v>
      </c>
    </row>
    <row r="75" spans="1:24" ht="12.75">
      <c r="A75" s="30">
        <f t="shared" si="42"/>
        <v>61</v>
      </c>
      <c r="B75" s="20" t="s">
        <v>21</v>
      </c>
      <c r="C75" s="59"/>
      <c r="D75" s="17">
        <f>'[2]А-4'!$F$96</f>
        <v>0</v>
      </c>
      <c r="E75" s="218">
        <v>526.4</v>
      </c>
      <c r="F75" s="219">
        <f t="shared" si="35"/>
        <v>406.5804373248605</v>
      </c>
      <c r="G75" s="220">
        <f t="shared" si="36"/>
        <v>260.8620085876305</v>
      </c>
      <c r="H75" s="220">
        <f t="shared" si="37"/>
        <v>145.71842873723</v>
      </c>
      <c r="I75" s="28">
        <f t="shared" si="38"/>
        <v>0</v>
      </c>
      <c r="J75" s="18">
        <f>'[2]А-4'!G96</f>
        <v>0</v>
      </c>
      <c r="K75" s="28">
        <f>'[2]А-4'!$H$96</f>
        <v>0</v>
      </c>
      <c r="L75" s="23">
        <f>'[2]А-4'!$T$96</f>
        <v>0</v>
      </c>
      <c r="M75" s="23">
        <f>'[2]А-4'!$AF$96</f>
        <v>0</v>
      </c>
      <c r="N75" s="22">
        <v>0</v>
      </c>
      <c r="O75" s="22">
        <v>0</v>
      </c>
      <c r="P75" s="28">
        <f t="shared" si="44"/>
        <v>0</v>
      </c>
      <c r="Q75" s="28">
        <f t="shared" si="43"/>
        <v>0</v>
      </c>
      <c r="R75" s="23">
        <f t="shared" si="39"/>
        <v>0</v>
      </c>
      <c r="S75" s="23">
        <f t="shared" si="39"/>
        <v>0</v>
      </c>
      <c r="T75" s="16">
        <f t="shared" si="40"/>
        <v>0</v>
      </c>
      <c r="U75" s="26">
        <f t="shared" si="15"/>
        <v>0</v>
      </c>
      <c r="V75" s="9"/>
      <c r="W75" s="26">
        <f t="shared" si="41"/>
        <v>0</v>
      </c>
      <c r="X75" s="53">
        <f aca="true" t="shared" si="45" ref="X75:X117">T75/F75</f>
        <v>0</v>
      </c>
    </row>
    <row r="76" spans="1:24" ht="12.75">
      <c r="A76" s="30">
        <f t="shared" si="42"/>
        <v>62</v>
      </c>
      <c r="B76" s="35" t="s">
        <v>35</v>
      </c>
      <c r="C76" s="36"/>
      <c r="D76" s="17">
        <f>'[2]А-4'!$F$97</f>
        <v>1</v>
      </c>
      <c r="E76" s="218">
        <v>154</v>
      </c>
      <c r="F76" s="219">
        <f t="shared" si="35"/>
        <v>118.94640453652833</v>
      </c>
      <c r="G76" s="220">
        <f t="shared" si="36"/>
        <v>76.31601315063658</v>
      </c>
      <c r="H76" s="220">
        <f t="shared" si="37"/>
        <v>42.630391385891755</v>
      </c>
      <c r="I76" s="28">
        <f t="shared" si="38"/>
        <v>11.8</v>
      </c>
      <c r="J76" s="18">
        <f>'[2]А-4'!G97</f>
        <v>7.8</v>
      </c>
      <c r="K76" s="28">
        <f>'[2]А-4'!$H$97</f>
        <v>4</v>
      </c>
      <c r="L76" s="23">
        <f>'[2]А-4'!$T$97</f>
        <v>6</v>
      </c>
      <c r="M76" s="23">
        <f>'[2]А-4'!$AF$97</f>
        <v>5</v>
      </c>
      <c r="N76" s="22">
        <f>L76*10/J76</f>
        <v>7.6923076923076925</v>
      </c>
      <c r="O76" s="22">
        <f>ROUND(M76/K76*10,3)</f>
        <v>12.5</v>
      </c>
      <c r="P76" s="28">
        <f t="shared" si="44"/>
        <v>3.7</v>
      </c>
      <c r="Q76" s="28">
        <f t="shared" si="43"/>
        <v>6</v>
      </c>
      <c r="R76" s="23">
        <f t="shared" si="39"/>
        <v>282</v>
      </c>
      <c r="S76" s="23">
        <f t="shared" si="39"/>
        <v>255</v>
      </c>
      <c r="T76" s="16">
        <f t="shared" si="40"/>
        <v>537</v>
      </c>
      <c r="U76" s="26">
        <f t="shared" si="15"/>
        <v>187</v>
      </c>
      <c r="V76" s="9">
        <v>100</v>
      </c>
      <c r="W76" s="26">
        <f t="shared" si="41"/>
        <v>100</v>
      </c>
      <c r="X76" s="53">
        <f t="shared" si="45"/>
        <v>4.514638354075577</v>
      </c>
    </row>
    <row r="77" spans="1:24" ht="15" customHeight="1">
      <c r="A77" s="30">
        <f t="shared" si="42"/>
        <v>63</v>
      </c>
      <c r="B77" s="46" t="s">
        <v>82</v>
      </c>
      <c r="C77" s="47"/>
      <c r="D77" s="17">
        <f>'[2]А-4'!$F$98</f>
        <v>6</v>
      </c>
      <c r="E77" s="218">
        <v>500.425</v>
      </c>
      <c r="F77" s="219">
        <f t="shared" si="35"/>
        <v>386.51788629994934</v>
      </c>
      <c r="G77" s="220">
        <f t="shared" si="36"/>
        <v>247.98987585004747</v>
      </c>
      <c r="H77" s="220">
        <f t="shared" si="37"/>
        <v>138.52801044990184</v>
      </c>
      <c r="I77" s="28">
        <f t="shared" si="38"/>
        <v>66.1</v>
      </c>
      <c r="J77" s="18">
        <f>'[2]А-4'!G98</f>
        <v>31.099999999999998</v>
      </c>
      <c r="K77" s="28">
        <f>'[2]А-4'!$H$98</f>
        <v>35</v>
      </c>
      <c r="L77" s="23">
        <f>'[2]А-4'!$T$98</f>
        <v>19</v>
      </c>
      <c r="M77" s="23">
        <f>'[2]А-4'!$AF$98</f>
        <v>17</v>
      </c>
      <c r="N77" s="22">
        <f>L77*10/J77</f>
        <v>6.109324758842444</v>
      </c>
      <c r="O77" s="22">
        <f>ROUND(M77/K77*10,3)</f>
        <v>4.857</v>
      </c>
      <c r="P77" s="28">
        <f t="shared" si="44"/>
        <v>2.9</v>
      </c>
      <c r="Q77" s="28">
        <f t="shared" si="43"/>
        <v>2.3</v>
      </c>
      <c r="R77" s="23">
        <f t="shared" si="39"/>
        <v>719</v>
      </c>
      <c r="S77" s="23">
        <f t="shared" si="39"/>
        <v>318</v>
      </c>
      <c r="T77" s="16">
        <f t="shared" si="40"/>
        <v>1037</v>
      </c>
      <c r="U77" s="26">
        <f t="shared" si="15"/>
        <v>362</v>
      </c>
      <c r="V77" s="9"/>
      <c r="W77" s="26">
        <f t="shared" si="41"/>
        <v>0</v>
      </c>
      <c r="X77" s="53">
        <f t="shared" si="45"/>
        <v>2.6829288805415263</v>
      </c>
    </row>
    <row r="78" spans="1:30" ht="30.75" customHeight="1">
      <c r="A78" s="249" t="s">
        <v>107</v>
      </c>
      <c r="B78" s="250"/>
      <c r="C78" s="251"/>
      <c r="D78" s="129">
        <f>SUM(D79:D91)</f>
        <v>69</v>
      </c>
      <c r="E78" s="125">
        <f>SUM(E79:E91)</f>
        <v>10201.95</v>
      </c>
      <c r="F78" s="125">
        <f aca="true" t="shared" si="46" ref="F78:M78">SUM(F79:F91)</f>
        <v>6324.96900117624</v>
      </c>
      <c r="G78" s="125">
        <f t="shared" si="46"/>
        <v>2154.2844418006275</v>
      </c>
      <c r="H78" s="125">
        <f t="shared" si="46"/>
        <v>4170.6845593756125</v>
      </c>
      <c r="I78" s="125">
        <f t="shared" si="46"/>
        <v>883.1999999999999</v>
      </c>
      <c r="J78" s="125">
        <f t="shared" si="46"/>
        <v>676.4300000000001</v>
      </c>
      <c r="K78" s="125">
        <f t="shared" si="46"/>
        <v>206.76999999999998</v>
      </c>
      <c r="L78" s="129">
        <f t="shared" si="46"/>
        <v>135</v>
      </c>
      <c r="M78" s="129">
        <f t="shared" si="46"/>
        <v>53</v>
      </c>
      <c r="N78" s="130">
        <f>ROUND(L78/J78*10,2)</f>
        <v>2</v>
      </c>
      <c r="O78" s="130">
        <f>ROUND(M78/K78*10,3)</f>
        <v>2.563</v>
      </c>
      <c r="P78" s="125">
        <f t="shared" si="44"/>
        <v>1</v>
      </c>
      <c r="Q78" s="125">
        <f t="shared" si="43"/>
        <v>1.2</v>
      </c>
      <c r="R78" s="129">
        <f aca="true" t="shared" si="47" ref="R78:W78">SUM(R79:R91)</f>
        <v>1473</v>
      </c>
      <c r="S78" s="129">
        <f t="shared" si="47"/>
        <v>2992</v>
      </c>
      <c r="T78" s="129">
        <f t="shared" si="47"/>
        <v>4465</v>
      </c>
      <c r="U78" s="129">
        <f t="shared" si="47"/>
        <v>1559</v>
      </c>
      <c r="V78" s="129">
        <f t="shared" si="47"/>
        <v>720</v>
      </c>
      <c r="W78" s="129">
        <f t="shared" si="47"/>
        <v>837</v>
      </c>
      <c r="X78" s="53">
        <f t="shared" si="45"/>
        <v>0.7059323135290708</v>
      </c>
      <c r="Y78" s="58">
        <f>6325/10202</f>
        <v>0.619976475200941</v>
      </c>
      <c r="AB78">
        <v>3408</v>
      </c>
      <c r="AD78" s="19">
        <f>AB78-T78</f>
        <v>-1057</v>
      </c>
    </row>
    <row r="79" spans="1:24" ht="12.75">
      <c r="A79" s="30">
        <f>A77+1</f>
        <v>64</v>
      </c>
      <c r="B79" s="20" t="s">
        <v>37</v>
      </c>
      <c r="C79" s="21"/>
      <c r="D79" s="17">
        <f>'[2]А-4'!$F$113</f>
        <v>0</v>
      </c>
      <c r="E79" s="218">
        <f>'[5]Норматив и фактически 2011'!$F$100</f>
        <v>215</v>
      </c>
      <c r="F79" s="219">
        <f aca="true" t="shared" si="48" ref="F79:F91">E79*$Y$78</f>
        <v>133.2949421682023</v>
      </c>
      <c r="G79" s="220">
        <f aca="true" t="shared" si="49" ref="G79:G91">F79*0.3406</f>
        <v>45.400257302489706</v>
      </c>
      <c r="H79" s="220">
        <f aca="true" t="shared" si="50" ref="H79:H91">F79*0.6594</f>
        <v>87.8946848657126</v>
      </c>
      <c r="I79" s="28">
        <f aca="true" t="shared" si="51" ref="I79:I91">J79+K79</f>
        <v>0</v>
      </c>
      <c r="J79" s="18">
        <f>'[2]А-4'!G113</f>
        <v>0</v>
      </c>
      <c r="K79" s="28">
        <f>'[2]А-4'!$H$113</f>
        <v>0</v>
      </c>
      <c r="L79" s="23">
        <f>'[2]А-4'!$T$113</f>
        <v>0</v>
      </c>
      <c r="M79" s="23">
        <f>'[2]А-4'!$AF$113</f>
        <v>0</v>
      </c>
      <c r="N79" s="22">
        <v>0</v>
      </c>
      <c r="O79" s="22">
        <v>0</v>
      </c>
      <c r="P79" s="28">
        <f t="shared" si="44"/>
        <v>0</v>
      </c>
      <c r="Q79" s="28">
        <f t="shared" si="43"/>
        <v>0</v>
      </c>
      <c r="R79" s="23">
        <f aca="true" t="shared" si="52" ref="R79:S91">ROUNDDOWN((P79*G79),0)</f>
        <v>0</v>
      </c>
      <c r="S79" s="23">
        <f t="shared" si="52"/>
        <v>0</v>
      </c>
      <c r="T79" s="16">
        <f aca="true" t="shared" si="53" ref="T79:T91">R79+S79</f>
        <v>0</v>
      </c>
      <c r="U79" s="26">
        <f t="shared" si="15"/>
        <v>0</v>
      </c>
      <c r="V79" s="9"/>
      <c r="W79" s="26">
        <f aca="true" t="shared" si="54" ref="W79:W87">IF(V79&lt;=U79,V79,U79)</f>
        <v>0</v>
      </c>
      <c r="X79" s="53">
        <f t="shared" si="45"/>
        <v>0</v>
      </c>
    </row>
    <row r="80" spans="1:24" ht="12.75">
      <c r="A80" s="30">
        <f>A79+1</f>
        <v>65</v>
      </c>
      <c r="B80" s="265" t="s">
        <v>88</v>
      </c>
      <c r="C80" s="266"/>
      <c r="D80" s="17">
        <f>'[2]А-4'!$F$114</f>
        <v>10</v>
      </c>
      <c r="E80" s="218">
        <v>917.285</v>
      </c>
      <c r="F80" s="219">
        <f t="shared" si="48"/>
        <v>568.6951210546952</v>
      </c>
      <c r="G80" s="220">
        <f t="shared" si="49"/>
        <v>193.69755823122918</v>
      </c>
      <c r="H80" s="220">
        <f t="shared" si="50"/>
        <v>374.99756282346596</v>
      </c>
      <c r="I80" s="28">
        <f t="shared" si="51"/>
        <v>100</v>
      </c>
      <c r="J80" s="18">
        <f>'[2]А-4'!G114</f>
        <v>75.5</v>
      </c>
      <c r="K80" s="28">
        <f>'[2]А-4'!$H$114</f>
        <v>24.5</v>
      </c>
      <c r="L80" s="23">
        <f>'[2]А-4'!$T$114</f>
        <v>22</v>
      </c>
      <c r="M80" s="23">
        <f>'[2]А-4'!$AF$114</f>
        <v>9</v>
      </c>
      <c r="N80" s="22">
        <f>L80*10/J80</f>
        <v>2.9139072847682117</v>
      </c>
      <c r="O80" s="22">
        <f>ROUND(M80/K80*10,3)</f>
        <v>3.673</v>
      </c>
      <c r="P80" s="28">
        <f t="shared" si="44"/>
        <v>1.4</v>
      </c>
      <c r="Q80" s="28">
        <f t="shared" si="43"/>
        <v>1.8</v>
      </c>
      <c r="R80" s="23">
        <f t="shared" si="52"/>
        <v>271</v>
      </c>
      <c r="S80" s="23">
        <f t="shared" si="52"/>
        <v>674</v>
      </c>
      <c r="T80" s="16">
        <f t="shared" si="53"/>
        <v>945</v>
      </c>
      <c r="U80" s="26">
        <f t="shared" si="15"/>
        <v>330</v>
      </c>
      <c r="V80" s="9">
        <v>276</v>
      </c>
      <c r="W80" s="26">
        <f t="shared" si="54"/>
        <v>276</v>
      </c>
      <c r="X80" s="53">
        <f t="shared" si="45"/>
        <v>1.661698799608856</v>
      </c>
    </row>
    <row r="81" spans="1:24" ht="12.75">
      <c r="A81" s="30">
        <f aca="true" t="shared" si="55" ref="A81:A91">A80+1</f>
        <v>66</v>
      </c>
      <c r="B81" s="10" t="s">
        <v>86</v>
      </c>
      <c r="C81" s="10"/>
      <c r="D81" s="17">
        <f>'[2]А-4'!$F$115</f>
        <v>4</v>
      </c>
      <c r="E81" s="218">
        <f>'[4]Норматив и фактически 2009'!$F$96</f>
        <v>307</v>
      </c>
      <c r="F81" s="219">
        <f t="shared" si="48"/>
        <v>190.3327778866889</v>
      </c>
      <c r="G81" s="220">
        <f t="shared" si="49"/>
        <v>64.82734414820624</v>
      </c>
      <c r="H81" s="220">
        <f t="shared" si="50"/>
        <v>125.50543373848265</v>
      </c>
      <c r="I81" s="28">
        <f t="shared" si="51"/>
        <v>47.699999999999996</v>
      </c>
      <c r="J81" s="18">
        <f>'[2]А-4'!G115</f>
        <v>44.599999999999994</v>
      </c>
      <c r="K81" s="28">
        <f>'[2]А-4'!$H$115</f>
        <v>3.0999999999999996</v>
      </c>
      <c r="L81" s="23">
        <f>'[2]А-4'!$T$115</f>
        <v>8</v>
      </c>
      <c r="M81" s="23">
        <f>'[2]А-4'!$AF$115</f>
        <v>3</v>
      </c>
      <c r="N81" s="22">
        <f>L81*10/J81</f>
        <v>1.7937219730941707</v>
      </c>
      <c r="O81" s="22">
        <f>ROUND(M81/K81*10,3)</f>
        <v>9.677</v>
      </c>
      <c r="P81" s="28">
        <f t="shared" si="44"/>
        <v>0.9</v>
      </c>
      <c r="Q81" s="28">
        <f t="shared" si="43"/>
        <v>4.6</v>
      </c>
      <c r="R81" s="23">
        <f t="shared" si="52"/>
        <v>58</v>
      </c>
      <c r="S81" s="23">
        <f t="shared" si="52"/>
        <v>577</v>
      </c>
      <c r="T81" s="16">
        <f t="shared" si="53"/>
        <v>635</v>
      </c>
      <c r="U81" s="26">
        <f aca="true" t="shared" si="56" ref="U81:U116">ROUNDDOWN(IF(T81&lt;$O$6,"0",T81*35/100),0)</f>
        <v>222</v>
      </c>
      <c r="V81" s="9">
        <v>42</v>
      </c>
      <c r="W81" s="26">
        <f t="shared" si="54"/>
        <v>42</v>
      </c>
      <c r="X81" s="53">
        <f t="shared" si="45"/>
        <v>3.336261925300305</v>
      </c>
    </row>
    <row r="82" spans="1:24" ht="12.75">
      <c r="A82" s="30">
        <f t="shared" si="55"/>
        <v>67</v>
      </c>
      <c r="B82" s="10" t="s">
        <v>85</v>
      </c>
      <c r="C82" s="10"/>
      <c r="D82" s="17">
        <f>'[2]А-4'!$F$116</f>
        <v>2</v>
      </c>
      <c r="E82" s="218">
        <f>'[4]Норматив и фактически 2009'!$F$97</f>
        <v>177</v>
      </c>
      <c r="F82" s="219">
        <f t="shared" si="48"/>
        <v>109.73583611056655</v>
      </c>
      <c r="G82" s="220">
        <f t="shared" si="49"/>
        <v>37.37602577925897</v>
      </c>
      <c r="H82" s="220">
        <f t="shared" si="50"/>
        <v>72.35981033130759</v>
      </c>
      <c r="I82" s="28">
        <f t="shared" si="51"/>
        <v>25.599999999999998</v>
      </c>
      <c r="J82" s="18">
        <f>'[2]А-4'!G116</f>
        <v>23.9</v>
      </c>
      <c r="K82" s="28">
        <f>'[2]А-4'!$H$116</f>
        <v>1.7</v>
      </c>
      <c r="L82" s="23">
        <f>'[2]А-4'!$T$116</f>
        <v>3</v>
      </c>
      <c r="M82" s="23">
        <f>'[2]А-4'!$AF$116</f>
        <v>2</v>
      </c>
      <c r="N82" s="22">
        <f>L82*10/J82</f>
        <v>1.2552301255230127</v>
      </c>
      <c r="O82" s="22">
        <f>ROUND(M82/K82*10,3)</f>
        <v>11.765</v>
      </c>
      <c r="P82" s="28">
        <f t="shared" si="44"/>
        <v>0.6</v>
      </c>
      <c r="Q82" s="28">
        <f t="shared" si="43"/>
        <v>5.6</v>
      </c>
      <c r="R82" s="23">
        <f t="shared" si="52"/>
        <v>22</v>
      </c>
      <c r="S82" s="23">
        <f t="shared" si="52"/>
        <v>405</v>
      </c>
      <c r="T82" s="16">
        <f t="shared" si="53"/>
        <v>427</v>
      </c>
      <c r="U82" s="26">
        <f t="shared" si="56"/>
        <v>149</v>
      </c>
      <c r="V82" s="9">
        <v>15</v>
      </c>
      <c r="W82" s="26">
        <f t="shared" si="54"/>
        <v>15</v>
      </c>
      <c r="X82" s="53">
        <f t="shared" si="45"/>
        <v>3.891162769924745</v>
      </c>
    </row>
    <row r="83" spans="1:24" ht="16.5" customHeight="1">
      <c r="A83" s="30">
        <f t="shared" si="55"/>
        <v>68</v>
      </c>
      <c r="B83" s="12" t="s">
        <v>60</v>
      </c>
      <c r="C83" s="9"/>
      <c r="D83" s="17">
        <f>'[2]А-4'!$F$117</f>
        <v>7</v>
      </c>
      <c r="E83" s="218">
        <v>345</v>
      </c>
      <c r="F83" s="219">
        <f t="shared" si="48"/>
        <v>213.89188394432466</v>
      </c>
      <c r="G83" s="220">
        <f t="shared" si="49"/>
        <v>72.85157567143698</v>
      </c>
      <c r="H83" s="220">
        <f t="shared" si="50"/>
        <v>141.04030827288767</v>
      </c>
      <c r="I83" s="28">
        <f t="shared" si="51"/>
        <v>79.5</v>
      </c>
      <c r="J83" s="18">
        <f>'[2]А-4'!G117</f>
        <v>57.4</v>
      </c>
      <c r="K83" s="28">
        <f>'[2]А-4'!$H$117</f>
        <v>22.099999999999998</v>
      </c>
      <c r="L83" s="23">
        <f>'[2]А-4'!$T$117</f>
        <v>48</v>
      </c>
      <c r="M83" s="23">
        <f>'[2]А-4'!$AF$117</f>
        <v>14</v>
      </c>
      <c r="N83" s="22">
        <f>L83*10/J83</f>
        <v>8.362369337979095</v>
      </c>
      <c r="O83" s="22">
        <f>ROUND(M83/K83*10,3)</f>
        <v>6.335</v>
      </c>
      <c r="P83" s="28">
        <f t="shared" si="44"/>
        <v>4</v>
      </c>
      <c r="Q83" s="28">
        <f t="shared" si="43"/>
        <v>3</v>
      </c>
      <c r="R83" s="23">
        <f t="shared" si="52"/>
        <v>291</v>
      </c>
      <c r="S83" s="23">
        <f t="shared" si="52"/>
        <v>423</v>
      </c>
      <c r="T83" s="16">
        <f t="shared" si="53"/>
        <v>714</v>
      </c>
      <c r="U83" s="26">
        <f t="shared" si="56"/>
        <v>249</v>
      </c>
      <c r="V83" s="9">
        <v>60</v>
      </c>
      <c r="W83" s="26">
        <f t="shared" si="54"/>
        <v>60</v>
      </c>
      <c r="X83" s="53">
        <f t="shared" si="45"/>
        <v>3.338135074755112</v>
      </c>
    </row>
    <row r="84" spans="1:24" ht="15.75" customHeight="1">
      <c r="A84" s="30">
        <f t="shared" si="55"/>
        <v>69</v>
      </c>
      <c r="B84" s="11" t="s">
        <v>61</v>
      </c>
      <c r="C84" s="7"/>
      <c r="D84" s="17">
        <f>'[2]А-4'!$F$118</f>
        <v>7</v>
      </c>
      <c r="E84" s="28">
        <v>263</v>
      </c>
      <c r="F84" s="219">
        <f t="shared" si="48"/>
        <v>163.05381297784749</v>
      </c>
      <c r="G84" s="220">
        <f t="shared" si="49"/>
        <v>55.53612870025486</v>
      </c>
      <c r="H84" s="220">
        <f t="shared" si="50"/>
        <v>107.51768427759264</v>
      </c>
      <c r="I84" s="28">
        <f t="shared" si="51"/>
        <v>72.5</v>
      </c>
      <c r="J84" s="18">
        <f>'[2]А-4'!G118</f>
        <v>53.2</v>
      </c>
      <c r="K84" s="28">
        <f>'[2]А-4'!$H$118</f>
        <v>19.299999999999997</v>
      </c>
      <c r="L84" s="23">
        <f>'[2]А-4'!$T$119</f>
        <v>0</v>
      </c>
      <c r="M84" s="23">
        <f>'[2]А-4'!$AF$118</f>
        <v>24</v>
      </c>
      <c r="N84" s="22">
        <f>L84*10/J84</f>
        <v>0</v>
      </c>
      <c r="O84" s="22">
        <f>ROUND(M84/K84*10,3)</f>
        <v>12.435</v>
      </c>
      <c r="P84" s="28">
        <f t="shared" si="44"/>
        <v>0</v>
      </c>
      <c r="Q84" s="28">
        <f t="shared" si="43"/>
        <v>6</v>
      </c>
      <c r="R84" s="23">
        <f t="shared" si="52"/>
        <v>0</v>
      </c>
      <c r="S84" s="23">
        <f t="shared" si="52"/>
        <v>645</v>
      </c>
      <c r="T84" s="16">
        <f t="shared" si="53"/>
        <v>645</v>
      </c>
      <c r="U84" s="26">
        <f t="shared" si="56"/>
        <v>225</v>
      </c>
      <c r="V84" s="9">
        <v>60</v>
      </c>
      <c r="W84" s="26">
        <f t="shared" si="54"/>
        <v>60</v>
      </c>
      <c r="X84" s="53">
        <f t="shared" si="45"/>
        <v>3.9557492598325794</v>
      </c>
    </row>
    <row r="85" spans="1:24" ht="12.75">
      <c r="A85" s="30">
        <f t="shared" si="55"/>
        <v>70</v>
      </c>
      <c r="B85" s="20" t="s">
        <v>45</v>
      </c>
      <c r="C85" s="21"/>
      <c r="D85" s="17">
        <f>'[2]А-4'!$F$119</f>
        <v>0</v>
      </c>
      <c r="E85" s="218">
        <v>76</v>
      </c>
      <c r="F85" s="219">
        <f t="shared" si="48"/>
        <v>47.11821211527152</v>
      </c>
      <c r="G85" s="220">
        <f t="shared" si="49"/>
        <v>16.048463046461478</v>
      </c>
      <c r="H85" s="220">
        <f t="shared" si="50"/>
        <v>31.06974906881004</v>
      </c>
      <c r="I85" s="28">
        <f t="shared" si="51"/>
        <v>0</v>
      </c>
      <c r="J85" s="18">
        <f>'[2]А-4'!G119</f>
        <v>0</v>
      </c>
      <c r="K85" s="28">
        <f>'[2]А-4'!$H$119</f>
        <v>0</v>
      </c>
      <c r="L85" s="23">
        <f>'[2]А-4'!$T$120</f>
        <v>0</v>
      </c>
      <c r="M85" s="23">
        <f>'[2]А-4'!$AF$119</f>
        <v>0</v>
      </c>
      <c r="N85" s="22">
        <v>0</v>
      </c>
      <c r="O85" s="22">
        <v>0</v>
      </c>
      <c r="P85" s="28">
        <f t="shared" si="44"/>
        <v>0</v>
      </c>
      <c r="Q85" s="28">
        <f t="shared" si="43"/>
        <v>0</v>
      </c>
      <c r="R85" s="23">
        <f t="shared" si="52"/>
        <v>0</v>
      </c>
      <c r="S85" s="23">
        <f t="shared" si="52"/>
        <v>0</v>
      </c>
      <c r="T85" s="16">
        <f t="shared" si="53"/>
        <v>0</v>
      </c>
      <c r="U85" s="26">
        <f t="shared" si="56"/>
        <v>0</v>
      </c>
      <c r="V85" s="9"/>
      <c r="W85" s="26">
        <f t="shared" si="54"/>
        <v>0</v>
      </c>
      <c r="X85" s="53">
        <f t="shared" si="45"/>
        <v>0</v>
      </c>
    </row>
    <row r="86" spans="1:24" ht="12.75">
      <c r="A86" s="30">
        <f t="shared" si="55"/>
        <v>71</v>
      </c>
      <c r="B86" s="20" t="s">
        <v>52</v>
      </c>
      <c r="C86" s="21"/>
      <c r="D86" s="17">
        <f>'[2]А-4'!$F$120</f>
        <v>0</v>
      </c>
      <c r="E86" s="218">
        <v>243</v>
      </c>
      <c r="F86" s="219">
        <f t="shared" si="48"/>
        <v>150.65428347382866</v>
      </c>
      <c r="G86" s="220">
        <f t="shared" si="49"/>
        <v>51.31284895118604</v>
      </c>
      <c r="H86" s="220">
        <f t="shared" si="50"/>
        <v>99.34143452264261</v>
      </c>
      <c r="I86" s="28">
        <f t="shared" si="51"/>
        <v>0</v>
      </c>
      <c r="J86" s="18">
        <f>'[2]А-4'!G120</f>
        <v>0</v>
      </c>
      <c r="K86" s="28">
        <f>'[2]А-4'!$H$120</f>
        <v>0</v>
      </c>
      <c r="L86" s="23">
        <f>'[2]А-4'!$T$121</f>
        <v>0</v>
      </c>
      <c r="M86" s="23">
        <f>'[2]А-4'!$AF$120</f>
        <v>0</v>
      </c>
      <c r="N86" s="22">
        <v>0</v>
      </c>
      <c r="O86" s="22">
        <v>0</v>
      </c>
      <c r="P86" s="28">
        <f t="shared" si="44"/>
        <v>0</v>
      </c>
      <c r="Q86" s="28">
        <f t="shared" si="43"/>
        <v>0</v>
      </c>
      <c r="R86" s="23">
        <f t="shared" si="52"/>
        <v>0</v>
      </c>
      <c r="S86" s="23">
        <f t="shared" si="52"/>
        <v>0</v>
      </c>
      <c r="T86" s="16">
        <f t="shared" si="53"/>
        <v>0</v>
      </c>
      <c r="U86" s="26">
        <f t="shared" si="56"/>
        <v>0</v>
      </c>
      <c r="V86" s="9">
        <v>100</v>
      </c>
      <c r="W86" s="26">
        <f t="shared" si="54"/>
        <v>0</v>
      </c>
      <c r="X86" s="53">
        <f t="shared" si="45"/>
        <v>0</v>
      </c>
    </row>
    <row r="87" spans="1:24" ht="12.75">
      <c r="A87" s="30">
        <f t="shared" si="55"/>
        <v>72</v>
      </c>
      <c r="B87" s="44" t="s">
        <v>22</v>
      </c>
      <c r="C87" s="45"/>
      <c r="D87" s="17">
        <f>'[2]А-4'!$F$121</f>
        <v>4</v>
      </c>
      <c r="E87" s="218">
        <v>350</v>
      </c>
      <c r="F87" s="219">
        <f t="shared" si="48"/>
        <v>216.99176632032936</v>
      </c>
      <c r="G87" s="220">
        <f t="shared" si="49"/>
        <v>73.90739560870418</v>
      </c>
      <c r="H87" s="220">
        <f t="shared" si="50"/>
        <v>143.08437071162518</v>
      </c>
      <c r="I87" s="28">
        <f t="shared" si="51"/>
        <v>42.43</v>
      </c>
      <c r="J87" s="18">
        <f>'[2]А-4'!G121</f>
        <v>0</v>
      </c>
      <c r="K87" s="28">
        <f>'[2]А-4'!$H$121</f>
        <v>42.43</v>
      </c>
      <c r="L87" s="23">
        <f>'[2]А-4'!$T$121</f>
        <v>0</v>
      </c>
      <c r="M87" s="23">
        <f>'[2]А-4'!$AF$121</f>
        <v>0</v>
      </c>
      <c r="N87" s="22">
        <v>0</v>
      </c>
      <c r="O87" s="22">
        <f>ROUND(M87/K87*10,3)</f>
        <v>0</v>
      </c>
      <c r="P87" s="28">
        <f t="shared" si="44"/>
        <v>0</v>
      </c>
      <c r="Q87" s="28">
        <f t="shared" si="43"/>
        <v>0</v>
      </c>
      <c r="R87" s="23">
        <f t="shared" si="52"/>
        <v>0</v>
      </c>
      <c r="S87" s="23">
        <f t="shared" si="52"/>
        <v>0</v>
      </c>
      <c r="T87" s="16">
        <f t="shared" si="53"/>
        <v>0</v>
      </c>
      <c r="U87" s="26">
        <f t="shared" si="56"/>
        <v>0</v>
      </c>
      <c r="V87" s="9"/>
      <c r="W87" s="26">
        <f t="shared" si="54"/>
        <v>0</v>
      </c>
      <c r="X87" s="53">
        <f t="shared" si="45"/>
        <v>0</v>
      </c>
    </row>
    <row r="88" spans="1:25" s="242" customFormat="1" ht="12.75">
      <c r="A88" s="230">
        <f t="shared" si="55"/>
        <v>73</v>
      </c>
      <c r="B88" s="231" t="s">
        <v>33</v>
      </c>
      <c r="C88" s="232"/>
      <c r="D88" s="233">
        <f>'[2]А-4'!$F$122</f>
        <v>34</v>
      </c>
      <c r="E88" s="234">
        <v>6563</v>
      </c>
      <c r="F88" s="235">
        <f t="shared" si="48"/>
        <v>4068.905606743776</v>
      </c>
      <c r="G88" s="236">
        <f t="shared" si="49"/>
        <v>1385.8692496569302</v>
      </c>
      <c r="H88" s="236">
        <f t="shared" si="50"/>
        <v>2683.036357086846</v>
      </c>
      <c r="I88" s="234">
        <f t="shared" si="51"/>
        <v>503.29999999999995</v>
      </c>
      <c r="J88" s="233">
        <f>'[2]А-4'!G122</f>
        <v>419.59999999999997</v>
      </c>
      <c r="K88" s="234">
        <f>'[2]А-4'!$H$122</f>
        <v>83.7</v>
      </c>
      <c r="L88" s="237">
        <f>'[2]А-4'!$T$122</f>
        <v>54</v>
      </c>
      <c r="M88" s="237">
        <f>'[2]А-4'!$AF$122</f>
        <v>1</v>
      </c>
      <c r="N88" s="238">
        <f>L88*10/J88</f>
        <v>1.2869399428026693</v>
      </c>
      <c r="O88" s="238">
        <f>ROUND(M88/K88*10,3)</f>
        <v>0.119</v>
      </c>
      <c r="P88" s="234">
        <f t="shared" si="44"/>
        <v>0.6</v>
      </c>
      <c r="Q88" s="234">
        <f t="shared" si="43"/>
        <v>0.1</v>
      </c>
      <c r="R88" s="237">
        <f t="shared" si="52"/>
        <v>831</v>
      </c>
      <c r="S88" s="237">
        <f t="shared" si="52"/>
        <v>268</v>
      </c>
      <c r="T88" s="237">
        <f t="shared" si="53"/>
        <v>1099</v>
      </c>
      <c r="U88" s="239">
        <f t="shared" si="56"/>
        <v>384</v>
      </c>
      <c r="V88" s="232"/>
      <c r="W88" s="240">
        <f>U88</f>
        <v>384</v>
      </c>
      <c r="X88" s="241">
        <f t="shared" si="45"/>
        <v>0.270097197187009</v>
      </c>
      <c r="Y88" s="241">
        <f>T88/E88</f>
        <v>0.16745390827365533</v>
      </c>
    </row>
    <row r="89" spans="1:24" ht="12.75">
      <c r="A89" s="30">
        <f t="shared" si="55"/>
        <v>74</v>
      </c>
      <c r="B89" s="160" t="s">
        <v>87</v>
      </c>
      <c r="C89" s="161"/>
      <c r="D89" s="17">
        <f>'[2]А-4'!$F$123</f>
        <v>0</v>
      </c>
      <c r="E89" s="218">
        <v>255.665</v>
      </c>
      <c r="F89" s="219">
        <f t="shared" si="48"/>
        <v>158.50628553224857</v>
      </c>
      <c r="G89" s="220">
        <f t="shared" si="49"/>
        <v>53.98724085228387</v>
      </c>
      <c r="H89" s="220">
        <f t="shared" si="50"/>
        <v>104.51904467996471</v>
      </c>
      <c r="I89" s="28">
        <f t="shared" si="51"/>
        <v>0</v>
      </c>
      <c r="J89" s="18">
        <f>'[2]А-4'!G123</f>
        <v>0</v>
      </c>
      <c r="K89" s="28">
        <f>'[2]А-4'!$H$123</f>
        <v>0</v>
      </c>
      <c r="L89" s="23">
        <f>'[2]А-4'!$T$123</f>
        <v>0</v>
      </c>
      <c r="M89" s="23">
        <f>'[2]А-4'!$AF$123</f>
        <v>0</v>
      </c>
      <c r="N89" s="22">
        <v>0</v>
      </c>
      <c r="O89" s="22">
        <v>0</v>
      </c>
      <c r="P89" s="28">
        <f t="shared" si="44"/>
        <v>0</v>
      </c>
      <c r="Q89" s="28">
        <f t="shared" si="43"/>
        <v>0</v>
      </c>
      <c r="R89" s="23">
        <f t="shared" si="52"/>
        <v>0</v>
      </c>
      <c r="S89" s="23">
        <f t="shared" si="52"/>
        <v>0</v>
      </c>
      <c r="T89" s="16">
        <f t="shared" si="53"/>
        <v>0</v>
      </c>
      <c r="U89" s="26">
        <f t="shared" si="56"/>
        <v>0</v>
      </c>
      <c r="V89" s="9"/>
      <c r="W89" s="26">
        <f>IF(V89&lt;=U89,V89,U89)</f>
        <v>0</v>
      </c>
      <c r="X89" s="53">
        <f t="shared" si="45"/>
        <v>0</v>
      </c>
    </row>
    <row r="90" spans="1:24" ht="12.75">
      <c r="A90" s="30">
        <f t="shared" si="55"/>
        <v>75</v>
      </c>
      <c r="B90" s="8" t="s">
        <v>49</v>
      </c>
      <c r="C90" s="9"/>
      <c r="D90" s="17">
        <f>'[2]А-4'!$F$124</f>
        <v>1</v>
      </c>
      <c r="E90" s="218">
        <v>227</v>
      </c>
      <c r="F90" s="219">
        <f t="shared" si="48"/>
        <v>140.7346598706136</v>
      </c>
      <c r="G90" s="220">
        <f t="shared" si="49"/>
        <v>47.934225151930995</v>
      </c>
      <c r="H90" s="220">
        <f t="shared" si="50"/>
        <v>92.80043471868261</v>
      </c>
      <c r="I90" s="28">
        <f t="shared" si="51"/>
        <v>12.17</v>
      </c>
      <c r="J90" s="28">
        <f>'[2]А-4'!G124</f>
        <v>2.23</v>
      </c>
      <c r="K90" s="28">
        <f>'[2]А-4'!$H$124</f>
        <v>9.94</v>
      </c>
      <c r="L90" s="23">
        <f>'[2]А-4'!$T$124</f>
        <v>0</v>
      </c>
      <c r="M90" s="23">
        <f>'[2]А-4'!$AF$124</f>
        <v>0</v>
      </c>
      <c r="N90" s="22">
        <f>L90*10/J90</f>
        <v>0</v>
      </c>
      <c r="O90" s="22">
        <f>ROUND(M90/K90*10,3)</f>
        <v>0</v>
      </c>
      <c r="P90" s="28">
        <f t="shared" si="44"/>
        <v>0</v>
      </c>
      <c r="Q90" s="28">
        <f t="shared" si="43"/>
        <v>0</v>
      </c>
      <c r="R90" s="23">
        <f t="shared" si="52"/>
        <v>0</v>
      </c>
      <c r="S90" s="23">
        <f t="shared" si="52"/>
        <v>0</v>
      </c>
      <c r="T90" s="16">
        <f t="shared" si="53"/>
        <v>0</v>
      </c>
      <c r="U90" s="26">
        <f t="shared" si="56"/>
        <v>0</v>
      </c>
      <c r="V90" s="9">
        <v>81</v>
      </c>
      <c r="W90" s="26">
        <f>IF(V90&lt;=U90,V90,U90)</f>
        <v>0</v>
      </c>
      <c r="X90" s="53">
        <f t="shared" si="45"/>
        <v>0</v>
      </c>
    </row>
    <row r="91" spans="1:24" ht="12.75">
      <c r="A91" s="30">
        <f t="shared" si="55"/>
        <v>76</v>
      </c>
      <c r="B91" s="59" t="s">
        <v>124</v>
      </c>
      <c r="C91" s="21"/>
      <c r="D91" s="17">
        <f>'[2]А-4'!$F$125</f>
        <v>0</v>
      </c>
      <c r="E91" s="218">
        <v>263</v>
      </c>
      <c r="F91" s="219">
        <f t="shared" si="48"/>
        <v>163.05381297784749</v>
      </c>
      <c r="G91" s="220">
        <f t="shared" si="49"/>
        <v>55.53612870025486</v>
      </c>
      <c r="H91" s="220">
        <f t="shared" si="50"/>
        <v>107.51768427759264</v>
      </c>
      <c r="I91" s="28">
        <f t="shared" si="51"/>
        <v>0</v>
      </c>
      <c r="J91" s="18">
        <f>'[2]А-4'!G125</f>
        <v>0</v>
      </c>
      <c r="K91" s="28">
        <f>'[2]А-4'!$H$125</f>
        <v>0</v>
      </c>
      <c r="L91" s="23">
        <f>'[2]А-4'!$T$125</f>
        <v>0</v>
      </c>
      <c r="M91" s="23">
        <f>'[2]А-4'!$AF$125</f>
        <v>0</v>
      </c>
      <c r="N91" s="22">
        <v>0</v>
      </c>
      <c r="O91" s="22">
        <v>0</v>
      </c>
      <c r="P91" s="28">
        <f t="shared" si="44"/>
        <v>0</v>
      </c>
      <c r="Q91" s="28">
        <f t="shared" si="43"/>
        <v>0</v>
      </c>
      <c r="R91" s="23">
        <f t="shared" si="52"/>
        <v>0</v>
      </c>
      <c r="S91" s="23">
        <f t="shared" si="52"/>
        <v>0</v>
      </c>
      <c r="T91" s="16">
        <f t="shared" si="53"/>
        <v>0</v>
      </c>
      <c r="U91" s="26">
        <f t="shared" si="56"/>
        <v>0</v>
      </c>
      <c r="V91" s="9">
        <v>86</v>
      </c>
      <c r="W91" s="26">
        <f>IF(V91&lt;=U91,V91,U91)</f>
        <v>0</v>
      </c>
      <c r="X91" s="53">
        <f t="shared" si="45"/>
        <v>0</v>
      </c>
    </row>
    <row r="92" spans="1:30" ht="24.75" customHeight="1">
      <c r="A92" s="252" t="s">
        <v>108</v>
      </c>
      <c r="B92" s="253"/>
      <c r="C92" s="254"/>
      <c r="D92" s="140">
        <f>SUM(D93:D96)</f>
        <v>56</v>
      </c>
      <c r="E92" s="217">
        <f>SUM(E93:E96)</f>
        <v>4676</v>
      </c>
      <c r="F92" s="217">
        <f aca="true" t="shared" si="57" ref="F92:M92">SUM(F93:F96)</f>
        <v>2947</v>
      </c>
      <c r="G92" s="217">
        <f t="shared" si="57"/>
        <v>1757.0013999999999</v>
      </c>
      <c r="H92" s="217">
        <f t="shared" si="57"/>
        <v>1189.9986</v>
      </c>
      <c r="I92" s="140">
        <f t="shared" si="57"/>
        <v>593.6999999999999</v>
      </c>
      <c r="J92" s="140">
        <f t="shared" si="57"/>
        <v>534.34</v>
      </c>
      <c r="K92" s="140">
        <f t="shared" si="57"/>
        <v>59.36</v>
      </c>
      <c r="L92" s="142">
        <f t="shared" si="57"/>
        <v>31</v>
      </c>
      <c r="M92" s="142">
        <f t="shared" si="57"/>
        <v>4</v>
      </c>
      <c r="N92" s="130">
        <f>ROUND(L92/J92*10,2)</f>
        <v>0.58</v>
      </c>
      <c r="O92" s="162">
        <f>ROUND(M92/K92*10,2)</f>
        <v>0.67</v>
      </c>
      <c r="P92" s="125">
        <f t="shared" si="44"/>
        <v>0.3</v>
      </c>
      <c r="Q92" s="162">
        <f>ROUND(O92*$M$8,2)</f>
        <v>0.32</v>
      </c>
      <c r="R92" s="140">
        <f aca="true" t="shared" si="58" ref="R92:W92">SUM(R93:R96)</f>
        <v>577</v>
      </c>
      <c r="S92" s="140">
        <f t="shared" si="58"/>
        <v>156</v>
      </c>
      <c r="T92" s="142">
        <f t="shared" si="58"/>
        <v>733</v>
      </c>
      <c r="U92" s="142">
        <f t="shared" si="58"/>
        <v>236</v>
      </c>
      <c r="V92" s="142">
        <f t="shared" si="58"/>
        <v>230</v>
      </c>
      <c r="W92" s="142">
        <f t="shared" si="58"/>
        <v>236</v>
      </c>
      <c r="X92" s="53">
        <f t="shared" si="45"/>
        <v>0.24872751951136748</v>
      </c>
      <c r="Y92">
        <f>2947/E92</f>
        <v>0.6302395209580839</v>
      </c>
      <c r="AB92">
        <v>1570</v>
      </c>
      <c r="AD92" s="19">
        <f>AB92-T92</f>
        <v>837</v>
      </c>
    </row>
    <row r="93" spans="1:24" ht="12.75">
      <c r="A93" s="30">
        <f>A91+1</f>
        <v>77</v>
      </c>
      <c r="B93" s="8" t="s">
        <v>23</v>
      </c>
      <c r="C93" s="9"/>
      <c r="D93" s="17">
        <f>'[2]А-4'!$F$135</f>
        <v>40</v>
      </c>
      <c r="E93" s="218">
        <f>'[5]Норматив и фактически 2011'!$F$116</f>
        <v>2465</v>
      </c>
      <c r="F93" s="219">
        <f>E93*$Y$92</f>
        <v>1553.5404191616767</v>
      </c>
      <c r="G93" s="220">
        <f>F93*0.5962</f>
        <v>926.2207979041916</v>
      </c>
      <c r="H93" s="220">
        <f>F93*0.4038</f>
        <v>627.3196212574851</v>
      </c>
      <c r="I93" s="28">
        <f>J93+K93</f>
        <v>414.48999999999995</v>
      </c>
      <c r="J93" s="28">
        <f>'[2]А-4'!G135</f>
        <v>414.48999999999995</v>
      </c>
      <c r="K93" s="28">
        <f>'[2]А-4'!$H$135</f>
        <v>0</v>
      </c>
      <c r="L93" s="23">
        <f>'[2]А-4'!$T$135</f>
        <v>19</v>
      </c>
      <c r="M93" s="23">
        <f>'[2]А-4'!$AF$135</f>
        <v>0</v>
      </c>
      <c r="N93" s="22">
        <f>L93*10/J93</f>
        <v>0.4583946536707762</v>
      </c>
      <c r="O93" s="22">
        <v>0</v>
      </c>
      <c r="P93" s="28">
        <f t="shared" si="44"/>
        <v>0.2</v>
      </c>
      <c r="Q93" s="28">
        <f>ROUND(O93*$M$8,1)</f>
        <v>0</v>
      </c>
      <c r="R93" s="23">
        <f aca="true" t="shared" si="59" ref="R93:S108">ROUNDDOWN((P93*G93),0)</f>
        <v>185</v>
      </c>
      <c r="S93" s="23">
        <f t="shared" si="59"/>
        <v>0</v>
      </c>
      <c r="T93" s="16">
        <f>R93+S93</f>
        <v>185</v>
      </c>
      <c r="U93" s="26">
        <f t="shared" si="56"/>
        <v>64</v>
      </c>
      <c r="V93" s="9">
        <v>180</v>
      </c>
      <c r="W93" s="26">
        <f>IF(V93&lt;=U93,V93,U93)</f>
        <v>64</v>
      </c>
      <c r="X93" s="53">
        <f t="shared" si="45"/>
        <v>0.11908283667304255</v>
      </c>
    </row>
    <row r="94" spans="1:24" ht="12.75">
      <c r="A94" s="30">
        <f>A93+1</f>
        <v>78</v>
      </c>
      <c r="B94" s="8" t="s">
        <v>44</v>
      </c>
      <c r="C94" s="9"/>
      <c r="D94" s="17">
        <f>'[2]А-4'!$F$137</f>
        <v>4</v>
      </c>
      <c r="E94" s="218">
        <v>211</v>
      </c>
      <c r="F94" s="219">
        <f>E94*$Y$92</f>
        <v>132.9805389221557</v>
      </c>
      <c r="G94" s="220">
        <f>F94*0.5962</f>
        <v>79.28299730538922</v>
      </c>
      <c r="H94" s="220">
        <f>F94*0.4038</f>
        <v>53.697541616766465</v>
      </c>
      <c r="I94" s="28">
        <f>J94+K94</f>
        <v>44.7</v>
      </c>
      <c r="J94" s="28">
        <f>'[2]А-4'!G137</f>
        <v>37.1</v>
      </c>
      <c r="K94" s="28">
        <f>'[2]А-4'!$H$137</f>
        <v>7.6</v>
      </c>
      <c r="L94" s="23">
        <f>'[2]А-4'!$T$137</f>
        <v>3</v>
      </c>
      <c r="M94" s="23">
        <f>'[2]А-4'!$AF$137</f>
        <v>1</v>
      </c>
      <c r="N94" s="22">
        <f>L94*10/J94</f>
        <v>0.8086253369272237</v>
      </c>
      <c r="O94" s="22">
        <f>ROUND(M94/K94*10,3)</f>
        <v>1.316</v>
      </c>
      <c r="P94" s="28">
        <f t="shared" si="44"/>
        <v>0.4</v>
      </c>
      <c r="Q94" s="28">
        <f>ROUND(O94*$M$8,1)</f>
        <v>0.6</v>
      </c>
      <c r="R94" s="23">
        <f t="shared" si="59"/>
        <v>31</v>
      </c>
      <c r="S94" s="23">
        <f t="shared" si="59"/>
        <v>32</v>
      </c>
      <c r="T94" s="16">
        <f>R94+S94</f>
        <v>63</v>
      </c>
      <c r="U94" s="26">
        <f t="shared" si="56"/>
        <v>22</v>
      </c>
      <c r="V94" s="9">
        <v>50</v>
      </c>
      <c r="W94" s="26">
        <f>IF(V94&lt;=U94,V94,U94)</f>
        <v>22</v>
      </c>
      <c r="X94" s="53">
        <f t="shared" si="45"/>
        <v>0.473753531987707</v>
      </c>
    </row>
    <row r="95" spans="1:24" ht="12.75">
      <c r="A95" s="30">
        <f>A94+1</f>
        <v>79</v>
      </c>
      <c r="B95" s="44" t="s">
        <v>24</v>
      </c>
      <c r="C95" s="45"/>
      <c r="D95" s="17">
        <f>'[2]А-4'!$F$138</f>
        <v>1</v>
      </c>
      <c r="E95" s="218">
        <v>370</v>
      </c>
      <c r="F95" s="219">
        <f>E95*$Y$92</f>
        <v>233.18862275449104</v>
      </c>
      <c r="G95" s="220">
        <f>F95*0.5962</f>
        <v>139.02705688622754</v>
      </c>
      <c r="H95" s="220">
        <f>F95*0.4038</f>
        <v>94.16156586826348</v>
      </c>
      <c r="I95" s="28">
        <f>J95+K95</f>
        <v>11.1</v>
      </c>
      <c r="J95" s="28">
        <f>'[2]А-4'!G138</f>
        <v>11.1</v>
      </c>
      <c r="K95" s="28">
        <f>'[2]А-4'!$H$138</f>
        <v>0</v>
      </c>
      <c r="L95" s="23">
        <f>'[2]А-4'!$T$138</f>
        <v>1</v>
      </c>
      <c r="M95" s="23">
        <f>'[2]А-4'!$AF$138</f>
        <v>0</v>
      </c>
      <c r="N95" s="22">
        <f>L95*10/J95</f>
        <v>0.9009009009009009</v>
      </c>
      <c r="O95" s="22">
        <v>0</v>
      </c>
      <c r="P95" s="28">
        <f t="shared" si="44"/>
        <v>0.4</v>
      </c>
      <c r="Q95" s="28">
        <v>0</v>
      </c>
      <c r="R95" s="23">
        <f t="shared" si="59"/>
        <v>55</v>
      </c>
      <c r="S95" s="23">
        <f t="shared" si="59"/>
        <v>0</v>
      </c>
      <c r="T95" s="16">
        <f>R95+S95</f>
        <v>55</v>
      </c>
      <c r="U95" s="26">
        <v>0</v>
      </c>
      <c r="V95" s="9"/>
      <c r="W95" s="26">
        <f>IF(V95&lt;=U95,V95,U95)</f>
        <v>0</v>
      </c>
      <c r="X95" s="53">
        <f t="shared" si="45"/>
        <v>0.2358605636515375</v>
      </c>
    </row>
    <row r="96" spans="1:24" ht="12.75">
      <c r="A96" s="30">
        <f>A95+1</f>
        <v>80</v>
      </c>
      <c r="B96" s="8" t="s">
        <v>53</v>
      </c>
      <c r="C96" s="9"/>
      <c r="D96" s="17">
        <f>'[2]А-4'!$F$139</f>
        <v>11</v>
      </c>
      <c r="E96" s="218">
        <v>1630</v>
      </c>
      <c r="F96" s="219">
        <f>E96*$Y$92</f>
        <v>1027.2904191616767</v>
      </c>
      <c r="G96" s="220">
        <f>F96*0.5962</f>
        <v>612.4705479041916</v>
      </c>
      <c r="H96" s="220">
        <f>F96*0.4038</f>
        <v>414.81987125748503</v>
      </c>
      <c r="I96" s="28">
        <f>J96+K96</f>
        <v>123.41</v>
      </c>
      <c r="J96" s="28">
        <f>'[2]А-4'!G139</f>
        <v>71.65</v>
      </c>
      <c r="K96" s="28">
        <f>'[2]А-4'!$H$139</f>
        <v>51.76</v>
      </c>
      <c r="L96" s="23">
        <f>'[2]А-4'!$T$139</f>
        <v>8</v>
      </c>
      <c r="M96" s="23">
        <f>'[2]А-4'!$AF$139</f>
        <v>3</v>
      </c>
      <c r="N96" s="22">
        <f>L96*10/J96</f>
        <v>1.1165387299371947</v>
      </c>
      <c r="O96" s="22">
        <f>ROUND(M96/K96*10,3)</f>
        <v>0.58</v>
      </c>
      <c r="P96" s="28">
        <f t="shared" si="44"/>
        <v>0.5</v>
      </c>
      <c r="Q96" s="28">
        <f>ROUND(O96*$M$8,1)</f>
        <v>0.3</v>
      </c>
      <c r="R96" s="23">
        <f t="shared" si="59"/>
        <v>306</v>
      </c>
      <c r="S96" s="23">
        <f t="shared" si="59"/>
        <v>124</v>
      </c>
      <c r="T96" s="16">
        <f>R96+S96</f>
        <v>430</v>
      </c>
      <c r="U96" s="26">
        <f t="shared" si="56"/>
        <v>150</v>
      </c>
      <c r="V96" s="9"/>
      <c r="W96" s="26">
        <f>U96</f>
        <v>150</v>
      </c>
      <c r="X96" s="53">
        <f t="shared" si="45"/>
        <v>0.41857686198504873</v>
      </c>
    </row>
    <row r="97" spans="1:30" ht="27" customHeight="1">
      <c r="A97" s="252" t="s">
        <v>109</v>
      </c>
      <c r="B97" s="253"/>
      <c r="C97" s="254"/>
      <c r="D97" s="140">
        <f>SUM(D98:D109)</f>
        <v>46</v>
      </c>
      <c r="E97" s="217">
        <f>SUM(E98:E109)</f>
        <v>3557.2599999999998</v>
      </c>
      <c r="F97" s="217">
        <f aca="true" t="shared" si="60" ref="F97:M97">SUM(F98:F109)</f>
        <v>2312.9999999999995</v>
      </c>
      <c r="G97" s="217">
        <f t="shared" si="60"/>
        <v>1790.9559</v>
      </c>
      <c r="H97" s="217">
        <f t="shared" si="60"/>
        <v>522.0441000000001</v>
      </c>
      <c r="I97" s="140">
        <f t="shared" si="60"/>
        <v>511.34</v>
      </c>
      <c r="J97" s="140">
        <f t="shared" si="60"/>
        <v>463.5399999999999</v>
      </c>
      <c r="K97" s="140">
        <f t="shared" si="60"/>
        <v>47.8</v>
      </c>
      <c r="L97" s="142">
        <f t="shared" si="60"/>
        <v>103</v>
      </c>
      <c r="M97" s="142">
        <f t="shared" si="60"/>
        <v>18</v>
      </c>
      <c r="N97" s="130">
        <f>ROUND(L97/J97*10,2)</f>
        <v>2.22</v>
      </c>
      <c r="O97" s="162">
        <f>ROUND(M97/K97*10,2)</f>
        <v>3.77</v>
      </c>
      <c r="P97" s="125">
        <f t="shared" si="44"/>
        <v>1.1</v>
      </c>
      <c r="Q97" s="162">
        <f>ROUND(O97*$M$8,2)</f>
        <v>1.81</v>
      </c>
      <c r="R97" s="140">
        <f aca="true" t="shared" si="61" ref="R97:W97">SUM(R98:R109)</f>
        <v>1764</v>
      </c>
      <c r="S97" s="142">
        <f t="shared" si="61"/>
        <v>126</v>
      </c>
      <c r="T97" s="142">
        <f t="shared" si="61"/>
        <v>1890</v>
      </c>
      <c r="U97" s="142">
        <f t="shared" si="61"/>
        <v>646</v>
      </c>
      <c r="V97" s="142">
        <f t="shared" si="61"/>
        <v>615</v>
      </c>
      <c r="W97" s="142">
        <f t="shared" si="61"/>
        <v>479</v>
      </c>
      <c r="X97" s="53">
        <f t="shared" si="45"/>
        <v>0.8171206225680936</v>
      </c>
      <c r="Y97" s="60">
        <f>2313/E97</f>
        <v>0.6502195510027381</v>
      </c>
      <c r="AB97">
        <v>2546</v>
      </c>
      <c r="AD97" s="19">
        <f>AB97-T97</f>
        <v>656</v>
      </c>
    </row>
    <row r="98" spans="1:24" ht="12.75">
      <c r="A98" s="30">
        <f>A96+1</f>
        <v>81</v>
      </c>
      <c r="B98" s="8" t="s">
        <v>38</v>
      </c>
      <c r="C98" s="9"/>
      <c r="D98" s="17">
        <f>'[2]А-4'!$F$153</f>
        <v>2</v>
      </c>
      <c r="E98" s="218">
        <f>'[5]Норматив и фактически 2011'!$F$124</f>
        <v>46</v>
      </c>
      <c r="F98" s="219">
        <f aca="true" t="shared" si="62" ref="F98:F109">E98*$Y$97</f>
        <v>29.910099346125953</v>
      </c>
      <c r="G98" s="220">
        <f aca="true" t="shared" si="63" ref="G98:G109">F98*0.7743</f>
        <v>23.159389923705326</v>
      </c>
      <c r="H98" s="220">
        <f aca="true" t="shared" si="64" ref="H98:H109">F98*0.2257</f>
        <v>6.750709422420628</v>
      </c>
      <c r="I98" s="28">
        <f aca="true" t="shared" si="65" ref="I98:I109">J98+K98</f>
        <v>22.3</v>
      </c>
      <c r="J98" s="28">
        <f>'[2]А-4'!G153</f>
        <v>7.5</v>
      </c>
      <c r="K98" s="28">
        <f>'[2]А-4'!H153</f>
        <v>14.8</v>
      </c>
      <c r="L98" s="23">
        <f>'[2]А-4'!T153</f>
        <v>5</v>
      </c>
      <c r="M98" s="23">
        <f>'[2]А-4'!AF153</f>
        <v>10</v>
      </c>
      <c r="N98" s="22">
        <f aca="true" t="shared" si="66" ref="N98:N104">L98*10/J98</f>
        <v>6.666666666666667</v>
      </c>
      <c r="O98" s="22">
        <f>ROUND(M98/K98*10,3)</f>
        <v>6.757</v>
      </c>
      <c r="P98" s="28">
        <f t="shared" si="44"/>
        <v>3.2</v>
      </c>
      <c r="Q98" s="28">
        <f t="shared" si="44"/>
        <v>3.2</v>
      </c>
      <c r="R98" s="23">
        <f t="shared" si="59"/>
        <v>74</v>
      </c>
      <c r="S98" s="23">
        <f t="shared" si="59"/>
        <v>21</v>
      </c>
      <c r="T98" s="16">
        <f aca="true" t="shared" si="67" ref="T98:T109">R98+S98</f>
        <v>95</v>
      </c>
      <c r="U98" s="26">
        <f t="shared" si="56"/>
        <v>33</v>
      </c>
      <c r="V98" s="9">
        <v>20</v>
      </c>
      <c r="W98" s="26">
        <f aca="true" t="shared" si="68" ref="W98:W109">IF(V98&lt;=U98,V98,U98)</f>
        <v>20</v>
      </c>
      <c r="X98" s="53">
        <f t="shared" si="45"/>
        <v>3.1761847027199757</v>
      </c>
    </row>
    <row r="99" spans="1:24" ht="12.75">
      <c r="A99" s="30">
        <f>A98+1</f>
        <v>82</v>
      </c>
      <c r="B99" s="8" t="s">
        <v>25</v>
      </c>
      <c r="C99" s="9"/>
      <c r="D99" s="17">
        <f>'[2]А-4'!$F$154</f>
        <v>3</v>
      </c>
      <c r="E99" s="218">
        <f>'[4]Норматив и фактически 2009'!$F$116</f>
        <v>37</v>
      </c>
      <c r="F99" s="219">
        <f t="shared" si="62"/>
        <v>24.05812338710131</v>
      </c>
      <c r="G99" s="220">
        <f t="shared" si="63"/>
        <v>18.628204938632546</v>
      </c>
      <c r="H99" s="220">
        <f t="shared" si="64"/>
        <v>5.429918448468766</v>
      </c>
      <c r="I99" s="28">
        <f t="shared" si="65"/>
        <v>30</v>
      </c>
      <c r="J99" s="28">
        <f>'[2]А-4'!G154</f>
        <v>25.1</v>
      </c>
      <c r="K99" s="28">
        <f>'[2]А-4'!H154</f>
        <v>4.9</v>
      </c>
      <c r="L99" s="23">
        <f>'[2]А-4'!T154</f>
        <v>8</v>
      </c>
      <c r="M99" s="23">
        <f>'[2]А-4'!AF154</f>
        <v>1</v>
      </c>
      <c r="N99" s="22">
        <f t="shared" si="66"/>
        <v>3.187250996015936</v>
      </c>
      <c r="O99" s="22">
        <f>ROUND(M99/K99*10,3)</f>
        <v>2.041</v>
      </c>
      <c r="P99" s="28">
        <f t="shared" si="44"/>
        <v>1.5</v>
      </c>
      <c r="Q99" s="28">
        <f t="shared" si="44"/>
        <v>1</v>
      </c>
      <c r="R99" s="23">
        <f t="shared" si="59"/>
        <v>27</v>
      </c>
      <c r="S99" s="23">
        <f t="shared" si="59"/>
        <v>5</v>
      </c>
      <c r="T99" s="16">
        <f t="shared" si="67"/>
        <v>32</v>
      </c>
      <c r="U99" s="26">
        <f t="shared" si="56"/>
        <v>0</v>
      </c>
      <c r="V99" s="9">
        <v>18</v>
      </c>
      <c r="W99" s="26">
        <f t="shared" si="68"/>
        <v>0</v>
      </c>
      <c r="X99" s="53">
        <f t="shared" si="45"/>
        <v>1.3301120575828747</v>
      </c>
    </row>
    <row r="100" spans="1:25" ht="12.75">
      <c r="A100" s="30">
        <f aca="true" t="shared" si="69" ref="A100:A109">A99+1</f>
        <v>83</v>
      </c>
      <c r="B100" s="247" t="s">
        <v>89</v>
      </c>
      <c r="C100" s="248"/>
      <c r="D100" s="17">
        <f>'[2]А-4'!$F$155</f>
        <v>12</v>
      </c>
      <c r="E100" s="218">
        <v>1241</v>
      </c>
      <c r="F100" s="219">
        <f t="shared" si="62"/>
        <v>806.922462794398</v>
      </c>
      <c r="G100" s="220">
        <f t="shared" si="63"/>
        <v>624.8000629417024</v>
      </c>
      <c r="H100" s="220">
        <f t="shared" si="64"/>
        <v>182.12239985269565</v>
      </c>
      <c r="I100" s="28">
        <f t="shared" si="65"/>
        <v>148.2</v>
      </c>
      <c r="J100" s="28">
        <f>'[2]А-4'!G155</f>
        <v>148.2</v>
      </c>
      <c r="K100" s="28">
        <f>'[2]А-4'!H155</f>
        <v>0</v>
      </c>
      <c r="L100" s="23">
        <f>'[2]А-4'!T155</f>
        <v>10</v>
      </c>
      <c r="M100" s="23">
        <f>'[2]А-4'!AF155</f>
        <v>0</v>
      </c>
      <c r="N100" s="22">
        <f t="shared" si="66"/>
        <v>0.6747638326585695</v>
      </c>
      <c r="O100" s="22">
        <v>0</v>
      </c>
      <c r="P100" s="28">
        <f t="shared" si="44"/>
        <v>0.3</v>
      </c>
      <c r="Q100" s="28">
        <f t="shared" si="44"/>
        <v>0</v>
      </c>
      <c r="R100" s="23">
        <f t="shared" si="59"/>
        <v>187</v>
      </c>
      <c r="S100" s="23">
        <f t="shared" si="59"/>
        <v>0</v>
      </c>
      <c r="T100" s="16">
        <f t="shared" si="67"/>
        <v>187</v>
      </c>
      <c r="U100" s="26">
        <f t="shared" si="56"/>
        <v>65</v>
      </c>
      <c r="V100" s="9"/>
      <c r="W100" s="26">
        <f>U100</f>
        <v>65</v>
      </c>
      <c r="X100" s="53">
        <f t="shared" si="45"/>
        <v>0.23174469496413952</v>
      </c>
      <c r="Y100">
        <f>T100/E100</f>
        <v>0.1506849315068493</v>
      </c>
    </row>
    <row r="101" spans="1:24" ht="12.75">
      <c r="A101" s="30">
        <f t="shared" si="69"/>
        <v>84</v>
      </c>
      <c r="B101" s="8" t="s">
        <v>54</v>
      </c>
      <c r="C101" s="9"/>
      <c r="D101" s="17">
        <f>'[2]А-4'!$F$156</f>
        <v>3</v>
      </c>
      <c r="E101" s="218">
        <v>165</v>
      </c>
      <c r="F101" s="219">
        <f t="shared" si="62"/>
        <v>107.28622591545178</v>
      </c>
      <c r="G101" s="220">
        <f t="shared" si="63"/>
        <v>83.07172472633431</v>
      </c>
      <c r="H101" s="220">
        <f t="shared" si="64"/>
        <v>24.214501189117467</v>
      </c>
      <c r="I101" s="28">
        <f t="shared" si="65"/>
        <v>31.099999999999998</v>
      </c>
      <c r="J101" s="28">
        <f>'[2]А-4'!G156</f>
        <v>22.4</v>
      </c>
      <c r="K101" s="28">
        <f>'[2]А-4'!H156</f>
        <v>8.7</v>
      </c>
      <c r="L101" s="23">
        <f>'[2]А-4'!T156</f>
        <v>13</v>
      </c>
      <c r="M101" s="23">
        <f>'[2]А-4'!AF156</f>
        <v>2</v>
      </c>
      <c r="N101" s="22">
        <f t="shared" si="66"/>
        <v>5.803571428571429</v>
      </c>
      <c r="O101" s="22">
        <f>ROUND(M101/K101*10,3)</f>
        <v>2.299</v>
      </c>
      <c r="P101" s="28">
        <f t="shared" si="44"/>
        <v>2.8</v>
      </c>
      <c r="Q101" s="28">
        <f t="shared" si="44"/>
        <v>1.1</v>
      </c>
      <c r="R101" s="23">
        <f t="shared" si="59"/>
        <v>232</v>
      </c>
      <c r="S101" s="23">
        <f t="shared" si="59"/>
        <v>26</v>
      </c>
      <c r="T101" s="16">
        <f t="shared" si="67"/>
        <v>258</v>
      </c>
      <c r="U101" s="26">
        <f t="shared" si="56"/>
        <v>90</v>
      </c>
      <c r="V101" s="9">
        <v>75</v>
      </c>
      <c r="W101" s="26">
        <f t="shared" si="68"/>
        <v>75</v>
      </c>
      <c r="X101" s="53">
        <f t="shared" si="45"/>
        <v>2.4047821404708563</v>
      </c>
    </row>
    <row r="102" spans="1:24" ht="12.75">
      <c r="A102" s="30">
        <f t="shared" si="69"/>
        <v>85</v>
      </c>
      <c r="B102" s="8" t="s">
        <v>55</v>
      </c>
      <c r="C102" s="9"/>
      <c r="D102" s="17">
        <f>'[2]А-4'!$F$157</f>
        <v>2</v>
      </c>
      <c r="E102" s="218">
        <v>175</v>
      </c>
      <c r="F102" s="219">
        <f t="shared" si="62"/>
        <v>113.78842142547917</v>
      </c>
      <c r="G102" s="220">
        <f t="shared" si="63"/>
        <v>88.10637470974852</v>
      </c>
      <c r="H102" s="220">
        <f t="shared" si="64"/>
        <v>25.68204671573065</v>
      </c>
      <c r="I102" s="28">
        <f t="shared" si="65"/>
        <v>21.299999999999997</v>
      </c>
      <c r="J102" s="28">
        <f>'[2]А-4'!G157</f>
        <v>13.1</v>
      </c>
      <c r="K102" s="28">
        <f>'[2]А-4'!H157</f>
        <v>8.2</v>
      </c>
      <c r="L102" s="23">
        <f>'[2]А-4'!T157</f>
        <v>12</v>
      </c>
      <c r="M102" s="23">
        <f>'[2]А-4'!AF157</f>
        <v>5</v>
      </c>
      <c r="N102" s="22">
        <f t="shared" si="66"/>
        <v>9.160305343511451</v>
      </c>
      <c r="O102" s="22">
        <f>ROUND(M102/K102*10,3)</f>
        <v>6.098</v>
      </c>
      <c r="P102" s="28">
        <f t="shared" si="44"/>
        <v>4.4</v>
      </c>
      <c r="Q102" s="28">
        <f t="shared" si="44"/>
        <v>2.9</v>
      </c>
      <c r="R102" s="23">
        <f t="shared" si="59"/>
        <v>387</v>
      </c>
      <c r="S102" s="23">
        <f t="shared" si="59"/>
        <v>74</v>
      </c>
      <c r="T102" s="16">
        <f t="shared" si="67"/>
        <v>461</v>
      </c>
      <c r="U102" s="26">
        <f t="shared" si="56"/>
        <v>161</v>
      </c>
      <c r="V102" s="9">
        <v>30</v>
      </c>
      <c r="W102" s="26">
        <f t="shared" si="68"/>
        <v>30</v>
      </c>
      <c r="X102" s="53">
        <f t="shared" si="45"/>
        <v>4.051378815391266</v>
      </c>
    </row>
    <row r="103" spans="1:24" ht="12.75">
      <c r="A103" s="30">
        <f t="shared" si="69"/>
        <v>86</v>
      </c>
      <c r="B103" s="8" t="s">
        <v>56</v>
      </c>
      <c r="C103" s="9"/>
      <c r="D103" s="17">
        <f>'[2]А-4'!$F$158</f>
        <v>3</v>
      </c>
      <c r="E103" s="218">
        <v>338</v>
      </c>
      <c r="F103" s="219">
        <f t="shared" si="62"/>
        <v>219.77420823892547</v>
      </c>
      <c r="G103" s="220">
        <f t="shared" si="63"/>
        <v>170.1711694394</v>
      </c>
      <c r="H103" s="220">
        <f t="shared" si="64"/>
        <v>49.60303879952548</v>
      </c>
      <c r="I103" s="28">
        <f t="shared" si="65"/>
        <v>30</v>
      </c>
      <c r="J103" s="28">
        <f>'[2]А-4'!G158</f>
        <v>30</v>
      </c>
      <c r="K103" s="28">
        <f>'[2]А-4'!H158</f>
        <v>0</v>
      </c>
      <c r="L103" s="23">
        <f>'[2]А-4'!T158</f>
        <v>5</v>
      </c>
      <c r="M103" s="23">
        <f>'[2]А-4'!AF158</f>
        <v>0</v>
      </c>
      <c r="N103" s="22">
        <f t="shared" si="66"/>
        <v>1.6666666666666667</v>
      </c>
      <c r="O103" s="22">
        <v>0</v>
      </c>
      <c r="P103" s="28">
        <f t="shared" si="44"/>
        <v>0.8</v>
      </c>
      <c r="Q103" s="28">
        <f t="shared" si="44"/>
        <v>0</v>
      </c>
      <c r="R103" s="23">
        <f t="shared" si="59"/>
        <v>136</v>
      </c>
      <c r="S103" s="23">
        <f t="shared" si="59"/>
        <v>0</v>
      </c>
      <c r="T103" s="16">
        <f t="shared" si="67"/>
        <v>136</v>
      </c>
      <c r="U103" s="26">
        <f t="shared" si="56"/>
        <v>47</v>
      </c>
      <c r="V103" s="9">
        <v>75</v>
      </c>
      <c r="W103" s="26">
        <f t="shared" si="68"/>
        <v>47</v>
      </c>
      <c r="X103" s="53">
        <f t="shared" si="45"/>
        <v>0.6188169261979498</v>
      </c>
    </row>
    <row r="104" spans="1:24" ht="12.75">
      <c r="A104" s="30">
        <f t="shared" si="69"/>
        <v>87</v>
      </c>
      <c r="B104" s="8" t="s">
        <v>57</v>
      </c>
      <c r="C104" s="9"/>
      <c r="D104" s="17">
        <f>'[2]А-4'!$F$159</f>
        <v>10</v>
      </c>
      <c r="E104" s="218">
        <v>623</v>
      </c>
      <c r="F104" s="219">
        <f t="shared" si="62"/>
        <v>405.08678027470586</v>
      </c>
      <c r="G104" s="220">
        <f t="shared" si="63"/>
        <v>313.65869396670473</v>
      </c>
      <c r="H104" s="220">
        <f t="shared" si="64"/>
        <v>91.42808630800111</v>
      </c>
      <c r="I104" s="28">
        <f t="shared" si="65"/>
        <v>100</v>
      </c>
      <c r="J104" s="28">
        <f>'[2]А-4'!G159</f>
        <v>100</v>
      </c>
      <c r="K104" s="28">
        <f>'[2]А-4'!H159</f>
        <v>0</v>
      </c>
      <c r="L104" s="23">
        <f>'[2]А-4'!T159</f>
        <v>16</v>
      </c>
      <c r="M104" s="23">
        <f>'[2]А-4'!AF159</f>
        <v>0</v>
      </c>
      <c r="N104" s="22">
        <f t="shared" si="66"/>
        <v>1.6</v>
      </c>
      <c r="O104" s="22">
        <v>0</v>
      </c>
      <c r="P104" s="28">
        <f t="shared" si="44"/>
        <v>0.8</v>
      </c>
      <c r="Q104" s="28">
        <f t="shared" si="44"/>
        <v>0</v>
      </c>
      <c r="R104" s="23">
        <f t="shared" si="59"/>
        <v>250</v>
      </c>
      <c r="S104" s="23">
        <f t="shared" si="59"/>
        <v>0</v>
      </c>
      <c r="T104" s="16">
        <f t="shared" si="67"/>
        <v>250</v>
      </c>
      <c r="U104" s="26">
        <f t="shared" si="56"/>
        <v>87</v>
      </c>
      <c r="V104" s="9">
        <v>150</v>
      </c>
      <c r="W104" s="26">
        <f t="shared" si="68"/>
        <v>87</v>
      </c>
      <c r="X104" s="53">
        <f t="shared" si="45"/>
        <v>0.6171517121108342</v>
      </c>
    </row>
    <row r="105" spans="1:24" ht="12.75">
      <c r="A105" s="30">
        <f t="shared" si="69"/>
        <v>88</v>
      </c>
      <c r="B105" s="44" t="s">
        <v>67</v>
      </c>
      <c r="C105" s="45"/>
      <c r="D105" s="17">
        <f>'[2]А-4'!$F$160</f>
        <v>0</v>
      </c>
      <c r="E105" s="218">
        <v>225</v>
      </c>
      <c r="F105" s="219">
        <f t="shared" si="62"/>
        <v>146.29939897561607</v>
      </c>
      <c r="G105" s="220">
        <f t="shared" si="63"/>
        <v>113.27962462681953</v>
      </c>
      <c r="H105" s="220">
        <f t="shared" si="64"/>
        <v>33.01977434879655</v>
      </c>
      <c r="I105" s="28">
        <f t="shared" si="65"/>
        <v>0</v>
      </c>
      <c r="J105" s="28">
        <f>'[2]А-4'!G160</f>
        <v>0</v>
      </c>
      <c r="K105" s="28">
        <f>'[2]А-4'!H160</f>
        <v>0</v>
      </c>
      <c r="L105" s="23">
        <f>'[2]А-4'!T160</f>
        <v>0</v>
      </c>
      <c r="M105" s="23">
        <f>'[2]А-4'!AF160</f>
        <v>0</v>
      </c>
      <c r="N105" s="22">
        <v>0</v>
      </c>
      <c r="O105" s="22">
        <v>0</v>
      </c>
      <c r="P105" s="28">
        <f t="shared" si="44"/>
        <v>0</v>
      </c>
      <c r="Q105" s="28">
        <f t="shared" si="44"/>
        <v>0</v>
      </c>
      <c r="R105" s="23">
        <f t="shared" si="59"/>
        <v>0</v>
      </c>
      <c r="S105" s="23">
        <f t="shared" si="59"/>
        <v>0</v>
      </c>
      <c r="T105" s="16">
        <f t="shared" si="67"/>
        <v>0</v>
      </c>
      <c r="U105" s="26">
        <f t="shared" si="56"/>
        <v>0</v>
      </c>
      <c r="V105" s="9">
        <v>30</v>
      </c>
      <c r="W105" s="26">
        <f t="shared" si="68"/>
        <v>0</v>
      </c>
      <c r="X105" s="53">
        <f t="shared" si="45"/>
        <v>0</v>
      </c>
    </row>
    <row r="106" spans="1:24" ht="12.75">
      <c r="A106" s="30">
        <f t="shared" si="69"/>
        <v>89</v>
      </c>
      <c r="B106" s="44" t="s">
        <v>68</v>
      </c>
      <c r="C106" s="45"/>
      <c r="D106" s="17">
        <f>'[2]А-4'!$F$161</f>
        <v>4</v>
      </c>
      <c r="E106" s="218">
        <v>296.7</v>
      </c>
      <c r="F106" s="219">
        <f t="shared" si="62"/>
        <v>192.9201407825124</v>
      </c>
      <c r="G106" s="220">
        <f t="shared" si="63"/>
        <v>149.37806500789935</v>
      </c>
      <c r="H106" s="220">
        <f t="shared" si="64"/>
        <v>43.542075774613046</v>
      </c>
      <c r="I106" s="28">
        <f t="shared" si="65"/>
        <v>46.6</v>
      </c>
      <c r="J106" s="28">
        <f>'[2]А-4'!G161</f>
        <v>37.7</v>
      </c>
      <c r="K106" s="28">
        <f>'[2]А-4'!H161</f>
        <v>8.899999999999999</v>
      </c>
      <c r="L106" s="23">
        <f>'[2]А-4'!T161</f>
        <v>8</v>
      </c>
      <c r="M106" s="23">
        <f>'[2]А-4'!AF161</f>
        <v>0</v>
      </c>
      <c r="N106" s="22">
        <f>L106*10/J106</f>
        <v>2.122015915119363</v>
      </c>
      <c r="O106" s="22">
        <f>ROUND(M106/K106*10,3)</f>
        <v>0</v>
      </c>
      <c r="P106" s="28">
        <f t="shared" si="44"/>
        <v>1</v>
      </c>
      <c r="Q106" s="28">
        <f t="shared" si="44"/>
        <v>0</v>
      </c>
      <c r="R106" s="23">
        <f t="shared" si="59"/>
        <v>149</v>
      </c>
      <c r="S106" s="23">
        <f t="shared" si="59"/>
        <v>0</v>
      </c>
      <c r="T106" s="16">
        <f t="shared" si="67"/>
        <v>149</v>
      </c>
      <c r="U106" s="26">
        <f t="shared" si="56"/>
        <v>52</v>
      </c>
      <c r="V106" s="9">
        <v>105</v>
      </c>
      <c r="W106" s="26">
        <f t="shared" si="68"/>
        <v>52</v>
      </c>
      <c r="X106" s="53">
        <f t="shared" si="45"/>
        <v>0.7723403030685865</v>
      </c>
    </row>
    <row r="107" spans="1:24" ht="12.75">
      <c r="A107" s="30">
        <f t="shared" si="69"/>
        <v>90</v>
      </c>
      <c r="B107" s="153" t="s">
        <v>69</v>
      </c>
      <c r="C107" s="154"/>
      <c r="D107" s="17">
        <f>'[2]А-4'!$F$162</f>
        <v>0</v>
      </c>
      <c r="E107" s="218">
        <v>14</v>
      </c>
      <c r="F107" s="219">
        <f t="shared" si="62"/>
        <v>9.103073714038333</v>
      </c>
      <c r="G107" s="220">
        <f t="shared" si="63"/>
        <v>7.048509976779881</v>
      </c>
      <c r="H107" s="220">
        <f t="shared" si="64"/>
        <v>2.054563737258452</v>
      </c>
      <c r="I107" s="28">
        <f t="shared" si="65"/>
        <v>0</v>
      </c>
      <c r="J107" s="28">
        <f>'[2]А-4'!G162</f>
        <v>0</v>
      </c>
      <c r="K107" s="28">
        <f>'[2]А-4'!H162</f>
        <v>0</v>
      </c>
      <c r="L107" s="23">
        <f>'[2]А-4'!T162</f>
        <v>0</v>
      </c>
      <c r="M107" s="23">
        <f>'[2]А-4'!AF162</f>
        <v>0</v>
      </c>
      <c r="N107" s="22">
        <v>0</v>
      </c>
      <c r="O107" s="22">
        <v>0</v>
      </c>
      <c r="P107" s="28">
        <f t="shared" si="44"/>
        <v>0</v>
      </c>
      <c r="Q107" s="28">
        <f t="shared" si="44"/>
        <v>0</v>
      </c>
      <c r="R107" s="23">
        <f t="shared" si="59"/>
        <v>0</v>
      </c>
      <c r="S107" s="23">
        <f t="shared" si="59"/>
        <v>0</v>
      </c>
      <c r="T107" s="16">
        <f t="shared" si="67"/>
        <v>0</v>
      </c>
      <c r="U107" s="26">
        <f t="shared" si="56"/>
        <v>0</v>
      </c>
      <c r="V107" s="9"/>
      <c r="W107" s="26">
        <f t="shared" si="68"/>
        <v>0</v>
      </c>
      <c r="X107" s="53">
        <f t="shared" si="45"/>
        <v>0</v>
      </c>
    </row>
    <row r="108" spans="1:24" ht="12.75">
      <c r="A108" s="30">
        <f t="shared" si="69"/>
        <v>91</v>
      </c>
      <c r="B108" s="46" t="s">
        <v>90</v>
      </c>
      <c r="C108" s="47"/>
      <c r="D108" s="17">
        <f>'[2]А-4'!$F$163</f>
        <v>3</v>
      </c>
      <c r="E108" s="227">
        <v>139.56</v>
      </c>
      <c r="F108" s="219">
        <f t="shared" si="62"/>
        <v>90.74464053794213</v>
      </c>
      <c r="G108" s="220">
        <f t="shared" si="63"/>
        <v>70.26357516852859</v>
      </c>
      <c r="H108" s="220">
        <f t="shared" si="64"/>
        <v>20.48106536941354</v>
      </c>
      <c r="I108" s="28">
        <f t="shared" si="65"/>
        <v>35.89999999999999</v>
      </c>
      <c r="J108" s="28">
        <f>'[2]А-4'!G163</f>
        <v>33.599999999999994</v>
      </c>
      <c r="K108" s="28">
        <f>'[2]А-4'!H163</f>
        <v>2.3</v>
      </c>
      <c r="L108" s="23">
        <f>'[2]А-4'!T163</f>
        <v>8</v>
      </c>
      <c r="M108" s="23">
        <f>'[2]А-4'!AF163</f>
        <v>0</v>
      </c>
      <c r="N108" s="22">
        <f>L108*10/J108</f>
        <v>2.3809523809523814</v>
      </c>
      <c r="O108" s="22">
        <f>ROUND(M108/K108*10,3)</f>
        <v>0</v>
      </c>
      <c r="P108" s="28">
        <f t="shared" si="44"/>
        <v>1.1</v>
      </c>
      <c r="Q108" s="28">
        <f t="shared" si="44"/>
        <v>0</v>
      </c>
      <c r="R108" s="23">
        <f t="shared" si="59"/>
        <v>77</v>
      </c>
      <c r="S108" s="23">
        <f t="shared" si="59"/>
        <v>0</v>
      </c>
      <c r="T108" s="16">
        <f t="shared" si="67"/>
        <v>77</v>
      </c>
      <c r="U108" s="26">
        <f t="shared" si="56"/>
        <v>26</v>
      </c>
      <c r="V108" s="9">
        <v>35</v>
      </c>
      <c r="W108" s="26">
        <f t="shared" si="68"/>
        <v>26</v>
      </c>
      <c r="X108" s="53">
        <f t="shared" si="45"/>
        <v>0.8485349607815657</v>
      </c>
    </row>
    <row r="109" spans="1:24" ht="12.75">
      <c r="A109" s="30">
        <f t="shared" si="69"/>
        <v>92</v>
      </c>
      <c r="B109" s="257" t="s">
        <v>91</v>
      </c>
      <c r="C109" s="258"/>
      <c r="D109" s="17">
        <f>'[2]А-4'!$F$164</f>
        <v>4</v>
      </c>
      <c r="E109" s="227">
        <v>257</v>
      </c>
      <c r="F109" s="219">
        <f t="shared" si="62"/>
        <v>167.1064246077037</v>
      </c>
      <c r="G109" s="220">
        <f t="shared" si="63"/>
        <v>129.39050457374498</v>
      </c>
      <c r="H109" s="220">
        <f t="shared" si="64"/>
        <v>37.715920033958724</v>
      </c>
      <c r="I109" s="28">
        <f t="shared" si="65"/>
        <v>45.94</v>
      </c>
      <c r="J109" s="28">
        <f>'[2]А-4'!G164</f>
        <v>45.94</v>
      </c>
      <c r="K109" s="28">
        <f>'[2]А-4'!H164</f>
        <v>0</v>
      </c>
      <c r="L109" s="23">
        <f>'[2]А-4'!T164</f>
        <v>18</v>
      </c>
      <c r="M109" s="23">
        <f>'[2]А-4'!AF164</f>
        <v>0</v>
      </c>
      <c r="N109" s="22">
        <f>L109*10/J109</f>
        <v>3.91815411406182</v>
      </c>
      <c r="O109" s="22">
        <v>0</v>
      </c>
      <c r="P109" s="28">
        <f t="shared" si="44"/>
        <v>1.9</v>
      </c>
      <c r="Q109" s="28">
        <f t="shared" si="44"/>
        <v>0</v>
      </c>
      <c r="R109" s="23">
        <f aca="true" t="shared" si="70" ref="R109:S116">ROUNDDOWN((P109*G109),0)</f>
        <v>245</v>
      </c>
      <c r="S109" s="23">
        <f t="shared" si="70"/>
        <v>0</v>
      </c>
      <c r="T109" s="16">
        <f t="shared" si="67"/>
        <v>245</v>
      </c>
      <c r="U109" s="26">
        <f t="shared" si="56"/>
        <v>85</v>
      </c>
      <c r="V109" s="9">
        <v>77</v>
      </c>
      <c r="W109" s="26">
        <f t="shared" si="68"/>
        <v>77</v>
      </c>
      <c r="X109" s="53">
        <f t="shared" si="45"/>
        <v>1.4661315420706174</v>
      </c>
    </row>
    <row r="110" spans="1:25" ht="18">
      <c r="A110" s="252" t="s">
        <v>110</v>
      </c>
      <c r="B110" s="253"/>
      <c r="C110" s="254"/>
      <c r="D110" s="140">
        <f>SUM(D111:D112)</f>
        <v>37</v>
      </c>
      <c r="E110" s="217">
        <f>SUM(E111:E112)</f>
        <v>1925</v>
      </c>
      <c r="F110" s="217">
        <f aca="true" t="shared" si="71" ref="F110:M110">SUM(F111:F112)</f>
        <v>1521</v>
      </c>
      <c r="G110" s="217">
        <f t="shared" si="71"/>
        <v>1082.0394000000001</v>
      </c>
      <c r="H110" s="217">
        <f t="shared" si="71"/>
        <v>438.96060000000006</v>
      </c>
      <c r="I110" s="140">
        <f t="shared" si="71"/>
        <v>372.27</v>
      </c>
      <c r="J110" s="140">
        <f t="shared" si="71"/>
        <v>307.26</v>
      </c>
      <c r="K110" s="140">
        <f t="shared" si="71"/>
        <v>65.01</v>
      </c>
      <c r="L110" s="142">
        <f t="shared" si="71"/>
        <v>43</v>
      </c>
      <c r="M110" s="142">
        <f t="shared" si="71"/>
        <v>2</v>
      </c>
      <c r="N110" s="130">
        <f>ROUND(L110/J110*10,2)</f>
        <v>1.4</v>
      </c>
      <c r="O110" s="141">
        <f>ROUND(M110/K110*10,2)</f>
        <v>0.31</v>
      </c>
      <c r="P110" s="125">
        <f t="shared" si="44"/>
        <v>0.7</v>
      </c>
      <c r="Q110" s="141">
        <f aca="true" t="shared" si="72" ref="Q110:Q116">ROUND(O110*$M$8,2)</f>
        <v>0.15</v>
      </c>
      <c r="R110" s="140">
        <f>SUM(R111:R112)</f>
        <v>770</v>
      </c>
      <c r="S110" s="140"/>
      <c r="T110" s="142">
        <f>SUM(T111:T112)</f>
        <v>785</v>
      </c>
      <c r="U110" s="142">
        <f>SUM(U111:U112)</f>
        <v>274</v>
      </c>
      <c r="V110" s="142">
        <f>SUM(V111:V112)</f>
        <v>245</v>
      </c>
      <c r="W110" s="142">
        <f>SUM(W111:W112)</f>
        <v>274</v>
      </c>
      <c r="X110" s="53">
        <f t="shared" si="45"/>
        <v>0.5161078238001315</v>
      </c>
      <c r="Y110">
        <f>1521/E110</f>
        <v>0.7901298701298701</v>
      </c>
    </row>
    <row r="111" spans="1:24" ht="12.75">
      <c r="A111" s="30">
        <f>A109+1</f>
        <v>93</v>
      </c>
      <c r="B111" s="8" t="s">
        <v>26</v>
      </c>
      <c r="C111" s="9"/>
      <c r="D111" s="17">
        <f>'[2]А-4'!$F$173</f>
        <v>32</v>
      </c>
      <c r="E111" s="218">
        <f>'[4]Норматив и фактически 2009'!$F$121</f>
        <v>1679</v>
      </c>
      <c r="F111" s="219">
        <f>E111*$Y$110</f>
        <v>1326.628051948052</v>
      </c>
      <c r="G111" s="220">
        <f>F111*0.7114</f>
        <v>943.7631961558442</v>
      </c>
      <c r="H111" s="220">
        <f>F111*0.2886</f>
        <v>382.86485579220783</v>
      </c>
      <c r="I111" s="28">
        <f>J111+K111</f>
        <v>319.97999999999996</v>
      </c>
      <c r="J111" s="28">
        <f>'[2]А-4'!G173</f>
        <v>290.2</v>
      </c>
      <c r="K111" s="28">
        <f>'[2]А-4'!$H$173</f>
        <v>29.779999999999998</v>
      </c>
      <c r="L111" s="23">
        <f>'[2]А-4'!T173</f>
        <v>40</v>
      </c>
      <c r="M111" s="23">
        <f>'[2]А-4'!AF173</f>
        <v>0</v>
      </c>
      <c r="N111" s="22">
        <f>L111*10/J111</f>
        <v>1.3783597518952446</v>
      </c>
      <c r="O111" s="22">
        <f>ROUND(M111/K111*10,3)</f>
        <v>0</v>
      </c>
      <c r="P111" s="28">
        <f t="shared" si="44"/>
        <v>0.7</v>
      </c>
      <c r="Q111" s="22">
        <f t="shared" si="72"/>
        <v>0</v>
      </c>
      <c r="R111" s="23">
        <f t="shared" si="70"/>
        <v>660</v>
      </c>
      <c r="S111" s="23">
        <f t="shared" si="70"/>
        <v>0</v>
      </c>
      <c r="T111" s="16">
        <f>R111+S111</f>
        <v>660</v>
      </c>
      <c r="U111" s="26">
        <f t="shared" si="56"/>
        <v>231</v>
      </c>
      <c r="V111" s="9">
        <v>245</v>
      </c>
      <c r="W111" s="26">
        <f>IF(V111&lt;=U111,V111,U111)</f>
        <v>231</v>
      </c>
      <c r="X111" s="53">
        <f t="shared" si="45"/>
        <v>0.4975019177612296</v>
      </c>
    </row>
    <row r="112" spans="1:24" ht="12.75">
      <c r="A112" s="30">
        <f>A111+1</f>
        <v>94</v>
      </c>
      <c r="B112" s="8" t="s">
        <v>33</v>
      </c>
      <c r="C112" s="8"/>
      <c r="D112" s="17">
        <f>'[2]А-4'!$F$174</f>
        <v>5</v>
      </c>
      <c r="E112" s="218">
        <f>'[6]Реестр действующих пользователе'!$I$127</f>
        <v>246</v>
      </c>
      <c r="F112" s="219">
        <f>E112*$Y$110</f>
        <v>194.37194805194804</v>
      </c>
      <c r="G112" s="220">
        <f>F112*0.7114</f>
        <v>138.27620384415584</v>
      </c>
      <c r="H112" s="220">
        <f>F112*0.2886</f>
        <v>56.09574420779221</v>
      </c>
      <c r="I112" s="28">
        <f>J112+K112</f>
        <v>52.290000000000006</v>
      </c>
      <c r="J112" s="28">
        <f>'[2]А-4'!G174</f>
        <v>17.06</v>
      </c>
      <c r="K112" s="28">
        <f>'[2]А-4'!$H$174</f>
        <v>35.230000000000004</v>
      </c>
      <c r="L112" s="23">
        <f>'[2]А-4'!T174</f>
        <v>3</v>
      </c>
      <c r="M112" s="23">
        <f>'[2]А-4'!AF174</f>
        <v>2</v>
      </c>
      <c r="N112" s="22">
        <f>L112*10/J112</f>
        <v>1.7584994138335288</v>
      </c>
      <c r="O112" s="22">
        <f>ROUND(M112/K112*10,3)</f>
        <v>0.568</v>
      </c>
      <c r="P112" s="28">
        <f t="shared" si="44"/>
        <v>0.8</v>
      </c>
      <c r="Q112" s="22">
        <f t="shared" si="72"/>
        <v>0.27</v>
      </c>
      <c r="R112" s="23">
        <f t="shared" si="70"/>
        <v>110</v>
      </c>
      <c r="S112" s="23">
        <f t="shared" si="70"/>
        <v>15</v>
      </c>
      <c r="T112" s="16">
        <f>R112+S112</f>
        <v>125</v>
      </c>
      <c r="U112" s="26">
        <f t="shared" si="56"/>
        <v>43</v>
      </c>
      <c r="V112" s="9"/>
      <c r="W112" s="26">
        <f>U112</f>
        <v>43</v>
      </c>
      <c r="X112" s="53">
        <f t="shared" si="45"/>
        <v>0.6430969142038561</v>
      </c>
    </row>
    <row r="113" spans="1:37" ht="18">
      <c r="A113" s="252" t="s">
        <v>111</v>
      </c>
      <c r="B113" s="253"/>
      <c r="C113" s="254"/>
      <c r="D113" s="140">
        <f>SUM(D114:D116)</f>
        <v>57</v>
      </c>
      <c r="E113" s="217">
        <f>SUM(E114:E116)</f>
        <v>2956</v>
      </c>
      <c r="F113" s="217">
        <f aca="true" t="shared" si="73" ref="F113:M113">SUM(F114:F116)</f>
        <v>1714.0000000000002</v>
      </c>
      <c r="G113" s="217">
        <f t="shared" si="73"/>
        <v>1329.0356000000002</v>
      </c>
      <c r="H113" s="217">
        <f t="shared" si="73"/>
        <v>384.9644</v>
      </c>
      <c r="I113" s="217">
        <f t="shared" si="73"/>
        <v>1060.04</v>
      </c>
      <c r="J113" s="140">
        <f t="shared" si="73"/>
        <v>516.9200000000001</v>
      </c>
      <c r="K113" s="140">
        <f t="shared" si="73"/>
        <v>543.12</v>
      </c>
      <c r="L113" s="142">
        <f t="shared" si="73"/>
        <v>44</v>
      </c>
      <c r="M113" s="142">
        <f t="shared" si="73"/>
        <v>2</v>
      </c>
      <c r="N113" s="130">
        <f>ROUND(L113/J113*10,2)</f>
        <v>0.85</v>
      </c>
      <c r="O113" s="141">
        <f>ROUND(M113/K113*10,2)</f>
        <v>0.04</v>
      </c>
      <c r="P113" s="125">
        <f t="shared" si="44"/>
        <v>0.4</v>
      </c>
      <c r="Q113" s="141">
        <f t="shared" si="72"/>
        <v>0.02</v>
      </c>
      <c r="R113" s="140">
        <f>SUM(R114:R116)</f>
        <v>583</v>
      </c>
      <c r="S113" s="140">
        <f>SUM(S114:S116)</f>
        <v>6</v>
      </c>
      <c r="T113" s="142">
        <f>SUM(T114:T116)</f>
        <v>589</v>
      </c>
      <c r="U113" s="142">
        <f>SUM(U114:U116)</f>
        <v>205</v>
      </c>
      <c r="V113" s="142">
        <f>SUM(V114:V115)</f>
        <v>193</v>
      </c>
      <c r="W113" s="142">
        <f>SUM(W114:W115)</f>
        <v>193</v>
      </c>
      <c r="X113" s="53">
        <f t="shared" si="45"/>
        <v>0.34364060676779457</v>
      </c>
      <c r="Y113">
        <f>1714/E113</f>
        <v>0.5798376184032477</v>
      </c>
      <c r="AB113">
        <v>1580</v>
      </c>
      <c r="AD113" s="19">
        <f>AB113-T113</f>
        <v>991</v>
      </c>
      <c r="AK113">
        <f>2956-R113</f>
        <v>2373</v>
      </c>
    </row>
    <row r="114" spans="1:24" ht="12.75">
      <c r="A114" s="30">
        <f>A112+1</f>
        <v>95</v>
      </c>
      <c r="B114" s="8" t="s">
        <v>27</v>
      </c>
      <c r="C114" s="9"/>
      <c r="D114" s="17">
        <f>'[2]А-4'!$F$178</f>
        <v>44</v>
      </c>
      <c r="E114" s="218">
        <f>'[4]Норматив и фактически 2009'!$F$126</f>
        <v>2316</v>
      </c>
      <c r="F114" s="219">
        <f>E114*$Y$113</f>
        <v>1342.9039242219217</v>
      </c>
      <c r="G114" s="220">
        <f>F114*0.7754</f>
        <v>1041.287702841678</v>
      </c>
      <c r="H114" s="220">
        <f>F114*0.2246</f>
        <v>301.6162213802436</v>
      </c>
      <c r="I114" s="28">
        <f>J114+K114</f>
        <v>882.44</v>
      </c>
      <c r="J114" s="28">
        <f>'[2]А-4'!G178</f>
        <v>441.22</v>
      </c>
      <c r="K114" s="28">
        <f>'[2]А-4'!$J$178</f>
        <v>441.22</v>
      </c>
      <c r="L114" s="23">
        <f>'[2]А-4'!T178</f>
        <v>33</v>
      </c>
      <c r="M114" s="23">
        <f>'[2]А-4'!AF178</f>
        <v>0</v>
      </c>
      <c r="N114" s="22">
        <f>L114*10/J114</f>
        <v>0.747926204614478</v>
      </c>
      <c r="O114" s="22">
        <f>ROUND(M114/K114*10,3)</f>
        <v>0</v>
      </c>
      <c r="P114" s="28">
        <f t="shared" si="44"/>
        <v>0.4</v>
      </c>
      <c r="Q114" s="22">
        <f t="shared" si="72"/>
        <v>0</v>
      </c>
      <c r="R114" s="23">
        <f t="shared" si="70"/>
        <v>416</v>
      </c>
      <c r="S114" s="23">
        <f t="shared" si="70"/>
        <v>0</v>
      </c>
      <c r="T114" s="16">
        <f>R114+S114</f>
        <v>416</v>
      </c>
      <c r="U114" s="26">
        <f t="shared" si="56"/>
        <v>145</v>
      </c>
      <c r="V114" s="9">
        <v>143</v>
      </c>
      <c r="W114" s="26">
        <f>IF(V114&lt;=U114,V114,U114)</f>
        <v>143</v>
      </c>
      <c r="X114" s="53">
        <f t="shared" si="45"/>
        <v>0.3097764423028478</v>
      </c>
    </row>
    <row r="115" spans="1:24" ht="12.75">
      <c r="A115" s="30">
        <f>A114+1</f>
        <v>96</v>
      </c>
      <c r="B115" s="8" t="s">
        <v>44</v>
      </c>
      <c r="C115" s="9"/>
      <c r="D115" s="17">
        <f>'[2]А-4'!$F$179</f>
        <v>13</v>
      </c>
      <c r="E115" s="218">
        <v>531</v>
      </c>
      <c r="F115" s="219">
        <f>E115*$Y$113</f>
        <v>307.8937753721245</v>
      </c>
      <c r="G115" s="220">
        <f>F115*0.7754</f>
        <v>238.74083342354533</v>
      </c>
      <c r="H115" s="220">
        <f>F115*0.2246</f>
        <v>69.15294194857915</v>
      </c>
      <c r="I115" s="28">
        <f>J115+K115</f>
        <v>177.60000000000002</v>
      </c>
      <c r="J115" s="28">
        <f>'[2]А-4'!G179</f>
        <v>75.7</v>
      </c>
      <c r="K115" s="28">
        <f>'[2]А-4'!$J$179</f>
        <v>101.9</v>
      </c>
      <c r="L115" s="23">
        <f>'[2]А-4'!T179</f>
        <v>11</v>
      </c>
      <c r="M115" s="23">
        <f>'[2]А-4'!AF179</f>
        <v>2</v>
      </c>
      <c r="N115" s="22">
        <f>L115*10/J115</f>
        <v>1.453104359313078</v>
      </c>
      <c r="O115" s="22">
        <f>ROUND(M115/K115*10,3)</f>
        <v>0.196</v>
      </c>
      <c r="P115" s="28">
        <f t="shared" si="44"/>
        <v>0.7</v>
      </c>
      <c r="Q115" s="22">
        <f t="shared" si="72"/>
        <v>0.09</v>
      </c>
      <c r="R115" s="23">
        <f t="shared" si="70"/>
        <v>167</v>
      </c>
      <c r="S115" s="23">
        <f t="shared" si="70"/>
        <v>6</v>
      </c>
      <c r="T115" s="16">
        <f>R115+S115</f>
        <v>173</v>
      </c>
      <c r="U115" s="26">
        <f t="shared" si="56"/>
        <v>60</v>
      </c>
      <c r="V115" s="9">
        <v>50</v>
      </c>
      <c r="W115" s="26">
        <f>IF(V115&lt;=U115,V115,U115)</f>
        <v>50</v>
      </c>
      <c r="X115" s="53">
        <f t="shared" si="45"/>
        <v>0.561882096482496</v>
      </c>
    </row>
    <row r="116" spans="1:24" ht="12.75">
      <c r="A116" s="30">
        <f>A115+1</f>
        <v>97</v>
      </c>
      <c r="B116" s="259" t="s">
        <v>126</v>
      </c>
      <c r="C116" s="260"/>
      <c r="D116" s="17">
        <v>0</v>
      </c>
      <c r="E116" s="218">
        <v>109</v>
      </c>
      <c r="F116" s="219">
        <f>E116*$Y$113</f>
        <v>63.20230040595399</v>
      </c>
      <c r="G116" s="220">
        <f>F116*0.7754</f>
        <v>49.00706373477672</v>
      </c>
      <c r="H116" s="220">
        <f>F116*0.2246</f>
        <v>14.195236671177266</v>
      </c>
      <c r="I116" s="28">
        <f>J116+K116</f>
        <v>0</v>
      </c>
      <c r="J116" s="28">
        <f>'[2]А-4'!G180</f>
        <v>0</v>
      </c>
      <c r="K116" s="28">
        <v>0</v>
      </c>
      <c r="L116" s="23">
        <f>'[2]А-4'!T180</f>
        <v>0</v>
      </c>
      <c r="M116" s="23">
        <f>'[2]А-4'!AF180</f>
        <v>0</v>
      </c>
      <c r="N116" s="22">
        <v>0</v>
      </c>
      <c r="O116" s="22">
        <v>0</v>
      </c>
      <c r="P116" s="28">
        <f t="shared" si="44"/>
        <v>0</v>
      </c>
      <c r="Q116" s="22">
        <f t="shared" si="72"/>
        <v>0</v>
      </c>
      <c r="R116" s="23">
        <f t="shared" si="70"/>
        <v>0</v>
      </c>
      <c r="S116" s="23">
        <f t="shared" si="70"/>
        <v>0</v>
      </c>
      <c r="T116" s="16">
        <f>R116+S116</f>
        <v>0</v>
      </c>
      <c r="U116" s="26">
        <f t="shared" si="56"/>
        <v>0</v>
      </c>
      <c r="V116" s="9"/>
      <c r="W116" s="26">
        <f>IF(V116&lt;=U116,V116,U116)</f>
        <v>0</v>
      </c>
      <c r="X116" s="53">
        <f t="shared" si="45"/>
        <v>0</v>
      </c>
    </row>
    <row r="117" spans="1:24" ht="39.75" customHeight="1">
      <c r="A117" s="150"/>
      <c r="B117" s="249" t="s">
        <v>28</v>
      </c>
      <c r="C117" s="251"/>
      <c r="D117" s="155">
        <f>D113+D110+D97+D92+D78+D60+D49+D13+D11</f>
        <v>495</v>
      </c>
      <c r="E117" s="221">
        <f>E113+E110+E97+E92+E78+E60+E49+E13+E11</f>
        <v>44250.02</v>
      </c>
      <c r="F117" s="221">
        <f aca="true" t="shared" si="74" ref="F117:M117">F113+F110+F97+F92+F78+F60+F49+F13+F11</f>
        <v>31292.025795131605</v>
      </c>
      <c r="G117" s="221">
        <f t="shared" si="74"/>
        <v>18161.33667579653</v>
      </c>
      <c r="H117" s="221">
        <f t="shared" si="74"/>
        <v>13130.689119335077</v>
      </c>
      <c r="I117" s="221">
        <f t="shared" si="74"/>
        <v>5902.63</v>
      </c>
      <c r="J117" s="221">
        <f t="shared" si="74"/>
        <v>4459.08</v>
      </c>
      <c r="K117" s="221">
        <f t="shared" si="74"/>
        <v>1443.5500000000002</v>
      </c>
      <c r="L117" s="155">
        <f t="shared" si="74"/>
        <v>867</v>
      </c>
      <c r="M117" s="155">
        <f t="shared" si="74"/>
        <v>224</v>
      </c>
      <c r="N117" s="156">
        <f>L117*10/J117</f>
        <v>1.9443472644581394</v>
      </c>
      <c r="O117" s="228">
        <f>ROUND(M117/K117*10,3)</f>
        <v>1.552</v>
      </c>
      <c r="P117" s="229">
        <f t="shared" si="44"/>
        <v>0.9</v>
      </c>
      <c r="Q117" s="228">
        <f>ROUND(O117*$M$8,2)</f>
        <v>0.74</v>
      </c>
      <c r="R117" s="155">
        <f aca="true" t="shared" si="75" ref="R117:W117">R113+R110+R97+R92+R78+R60+R49+R13+R11</f>
        <v>14644</v>
      </c>
      <c r="S117" s="155">
        <f t="shared" si="75"/>
        <v>7247</v>
      </c>
      <c r="T117" s="155">
        <f t="shared" si="75"/>
        <v>21906</v>
      </c>
      <c r="U117" s="155">
        <f t="shared" si="75"/>
        <v>7406</v>
      </c>
      <c r="V117" s="155">
        <f t="shared" si="75"/>
        <v>4922</v>
      </c>
      <c r="W117" s="155">
        <f t="shared" si="75"/>
        <v>5225</v>
      </c>
      <c r="X117" s="53">
        <f t="shared" si="45"/>
        <v>0.7000505542024742</v>
      </c>
    </row>
    <row r="118" spans="2:7" ht="12.75">
      <c r="B118" s="163"/>
      <c r="C118" s="269" t="s">
        <v>146</v>
      </c>
      <c r="D118" s="269"/>
      <c r="E118" s="269"/>
      <c r="F118" s="269"/>
      <c r="G118" s="269"/>
    </row>
    <row r="119" ht="12.75">
      <c r="B119" s="87" t="s">
        <v>145</v>
      </c>
    </row>
    <row r="121" ht="12.75">
      <c r="F121" s="56"/>
    </row>
  </sheetData>
  <sheetProtection selectLockedCells="1" selectUnlockedCells="1"/>
  <mergeCells count="26">
    <mergeCell ref="C1:W1"/>
    <mergeCell ref="C118:G118"/>
    <mergeCell ref="L6:M6"/>
    <mergeCell ref="B11:C11"/>
    <mergeCell ref="B13:C13"/>
    <mergeCell ref="B20:C20"/>
    <mergeCell ref="B51:C51"/>
    <mergeCell ref="B10:C10"/>
    <mergeCell ref="B26:C26"/>
    <mergeCell ref="B27:C27"/>
    <mergeCell ref="B117:C117"/>
    <mergeCell ref="B109:C109"/>
    <mergeCell ref="A110:C110"/>
    <mergeCell ref="A113:C113"/>
    <mergeCell ref="B116:C116"/>
    <mergeCell ref="B40:C40"/>
    <mergeCell ref="B48:C48"/>
    <mergeCell ref="B49:C49"/>
    <mergeCell ref="B80:C80"/>
    <mergeCell ref="A97:C97"/>
    <mergeCell ref="B31:C31"/>
    <mergeCell ref="B37:C37"/>
    <mergeCell ref="B100:C100"/>
    <mergeCell ref="A78:C78"/>
    <mergeCell ref="A92:C92"/>
    <mergeCell ref="B60:C60"/>
  </mergeCells>
  <printOptions/>
  <pageMargins left="0.3937007874015748" right="0" top="0" bottom="0" header="0" footer="0"/>
  <pageSetup horizontalDpi="600" verticalDpi="600" orientation="landscape" paperSize="9" scale="61" r:id="rId1"/>
  <rowBreaks count="1" manualBreakCount="1">
    <brk id="56" max="36" man="1"/>
  </rowBreaks>
  <colBreaks count="1" manualBreakCount="1">
    <brk id="24" max="1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K118"/>
  <sheetViews>
    <sheetView view="pageBreakPreview" zoomScale="75" zoomScaleNormal="75" zoomScaleSheetLayoutView="75" zoomScalePageLayoutView="75" workbookViewId="0" topLeftCell="A1">
      <selection activeCell="J5" sqref="J5"/>
    </sheetView>
  </sheetViews>
  <sheetFormatPr defaultColWidth="9.140625" defaultRowHeight="12.75"/>
  <cols>
    <col min="1" max="1" width="3.421875" style="0" customWidth="1"/>
    <col min="2" max="2" width="7.7109375" style="0" customWidth="1"/>
    <col min="3" max="3" width="48.57421875" style="0" customWidth="1"/>
    <col min="4" max="4" width="8.00390625" style="0" customWidth="1"/>
    <col min="5" max="5" width="13.57421875" style="0" customWidth="1"/>
    <col min="6" max="6" width="10.57421875" style="0" customWidth="1"/>
    <col min="7" max="7" width="10.57421875" style="29" customWidth="1"/>
    <col min="8" max="8" width="9.8515625" style="29" customWidth="1"/>
    <col min="9" max="9" width="10.00390625" style="29" customWidth="1"/>
    <col min="10" max="10" width="9.140625" style="29" customWidth="1"/>
    <col min="11" max="11" width="9.00390625" style="29" customWidth="1"/>
    <col min="12" max="12" width="8.8515625" style="29" customWidth="1"/>
    <col min="13" max="13" width="6.8515625" style="29" customWidth="1"/>
    <col min="14" max="14" width="7.7109375" style="29" customWidth="1"/>
    <col min="15" max="15" width="8.8515625" style="29" customWidth="1"/>
    <col min="16" max="16" width="7.28125" style="29" customWidth="1"/>
    <col min="17" max="17" width="7.57421875" style="29" customWidth="1"/>
    <col min="18" max="18" width="9.140625" style="29" customWidth="1"/>
    <col min="19" max="19" width="8.8515625" style="29" customWidth="1"/>
    <col min="20" max="20" width="8.8515625" style="0" customWidth="1"/>
    <col min="21" max="21" width="8.00390625" style="0" customWidth="1"/>
    <col min="22" max="22" width="7.57421875" style="0" customWidth="1"/>
    <col min="23" max="23" width="8.7109375" style="0" customWidth="1"/>
    <col min="24" max="24" width="10.00390625" style="0" customWidth="1"/>
    <col min="25" max="25" width="7.8515625" style="0" customWidth="1"/>
    <col min="26" max="26" width="5.140625" style="0" customWidth="1"/>
    <col min="27" max="27" width="5.57421875" style="0" customWidth="1"/>
    <col min="28" max="28" width="8.00390625" style="0" customWidth="1"/>
    <col min="29" max="29" width="5.57421875" style="0" customWidth="1"/>
    <col min="30" max="30" width="9.421875" style="0" customWidth="1"/>
    <col min="31" max="31" width="5.00390625" style="0" customWidth="1"/>
    <col min="32" max="32" width="5.421875" style="0" customWidth="1"/>
    <col min="33" max="33" width="5.57421875" style="0" customWidth="1"/>
    <col min="34" max="34" width="5.8515625" style="0" customWidth="1"/>
    <col min="35" max="35" width="5.140625" style="0" customWidth="1"/>
    <col min="36" max="36" width="4.7109375" style="0" customWidth="1"/>
  </cols>
  <sheetData>
    <row r="1" spans="7:19" ht="12.75">
      <c r="G1"/>
      <c r="H1"/>
      <c r="I1"/>
      <c r="J1"/>
      <c r="K1"/>
      <c r="L1"/>
      <c r="M1"/>
      <c r="N1"/>
      <c r="O1"/>
      <c r="P1"/>
      <c r="Q1"/>
      <c r="R1"/>
      <c r="S1"/>
    </row>
    <row r="2" spans="3:23" ht="93" customHeight="1">
      <c r="C2" s="292" t="s">
        <v>179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</row>
    <row r="3" spans="2:34" ht="15.75">
      <c r="B3" s="1" t="s">
        <v>0</v>
      </c>
      <c r="C3" s="1"/>
      <c r="D3" s="1"/>
      <c r="E3" s="1"/>
      <c r="F3" s="1"/>
      <c r="G3" s="64"/>
      <c r="H3" s="64"/>
      <c r="I3" s="64"/>
      <c r="J3" s="64"/>
      <c r="K3" s="64"/>
      <c r="L3" s="64"/>
      <c r="M3" s="64"/>
      <c r="N3" s="64"/>
      <c r="O3" s="65"/>
      <c r="P3" s="65"/>
      <c r="AE3" s="2"/>
      <c r="AF3" s="1" t="s">
        <v>1</v>
      </c>
      <c r="AG3" s="1"/>
      <c r="AH3" s="2"/>
    </row>
    <row r="4" spans="2:16" ht="15.75">
      <c r="B4" s="1"/>
      <c r="C4" s="1"/>
      <c r="D4" s="1"/>
      <c r="E4" s="1"/>
      <c r="F4" s="1"/>
      <c r="G4" s="64"/>
      <c r="H4" s="64"/>
      <c r="I4" s="64"/>
      <c r="J4" s="64"/>
      <c r="K4" s="64"/>
      <c r="L4" s="64"/>
      <c r="M4" s="64"/>
      <c r="N4" s="64"/>
      <c r="O4" s="65"/>
      <c r="P4" s="65"/>
    </row>
    <row r="5" spans="1:35" ht="15.75">
      <c r="A5" s="2"/>
      <c r="B5" s="3" t="s">
        <v>2</v>
      </c>
      <c r="C5" s="3"/>
      <c r="D5" s="3"/>
      <c r="E5" s="3"/>
      <c r="F5" s="3"/>
      <c r="G5" s="66" t="s">
        <v>70</v>
      </c>
      <c r="H5" s="66"/>
      <c r="I5" s="66"/>
      <c r="J5" s="66"/>
      <c r="K5" s="66"/>
      <c r="L5" s="66"/>
      <c r="M5" s="66"/>
      <c r="N5" s="66"/>
      <c r="O5" s="65"/>
      <c r="P5" s="65"/>
      <c r="Q5" s="1" t="s">
        <v>1</v>
      </c>
      <c r="R5" s="65"/>
      <c r="S5" s="6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.75">
      <c r="A6" s="2"/>
      <c r="B6" s="2"/>
      <c r="C6" s="2"/>
      <c r="D6" s="2"/>
      <c r="E6" s="2"/>
      <c r="F6" s="2"/>
      <c r="G6" s="65"/>
      <c r="H6" s="65"/>
      <c r="I6" s="82"/>
      <c r="J6" s="65"/>
      <c r="K6" s="65"/>
      <c r="L6" s="65"/>
      <c r="M6" s="65"/>
      <c r="N6" s="65"/>
      <c r="O6" s="65"/>
      <c r="P6" s="65"/>
      <c r="Q6" s="65"/>
      <c r="R6" s="65"/>
      <c r="S6" s="65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42" customHeight="1">
      <c r="A7" s="2"/>
      <c r="B7" s="2" t="s">
        <v>3</v>
      </c>
      <c r="C7" s="3" t="s">
        <v>92</v>
      </c>
      <c r="D7" s="3"/>
      <c r="E7" s="3"/>
      <c r="F7" s="3"/>
      <c r="G7" s="67"/>
      <c r="H7" s="67"/>
      <c r="I7" s="82"/>
      <c r="J7" s="67"/>
      <c r="K7" s="67"/>
      <c r="L7" s="270" t="s">
        <v>48</v>
      </c>
      <c r="M7" s="291"/>
      <c r="N7" s="83"/>
      <c r="O7" s="69">
        <v>33</v>
      </c>
      <c r="P7" s="70" t="s">
        <v>46</v>
      </c>
      <c r="Q7" s="79"/>
      <c r="R7" s="65" t="s">
        <v>5</v>
      </c>
      <c r="S7" s="65"/>
      <c r="T7" s="2"/>
      <c r="U7" s="2"/>
      <c r="V7" s="63">
        <f>D118</f>
        <v>495</v>
      </c>
      <c r="W7" s="2" t="s">
        <v>4</v>
      </c>
      <c r="X7" s="2"/>
      <c r="Y7" s="4"/>
      <c r="Z7" s="2" t="s">
        <v>4</v>
      </c>
      <c r="AA7" s="2" t="s">
        <v>5</v>
      </c>
      <c r="AB7" s="2"/>
      <c r="AC7" s="2"/>
      <c r="AD7" s="2"/>
      <c r="AE7" s="4"/>
      <c r="AF7" s="2" t="s">
        <v>4</v>
      </c>
      <c r="AG7" s="2"/>
      <c r="AH7" s="2"/>
      <c r="AI7" s="2"/>
    </row>
    <row r="8" spans="1:35" ht="12.75">
      <c r="A8" s="2"/>
      <c r="B8" s="2"/>
      <c r="C8" s="2"/>
      <c r="D8" s="2"/>
      <c r="E8" s="2"/>
      <c r="F8" s="2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 t="s">
        <v>6</v>
      </c>
      <c r="S8" s="65"/>
      <c r="T8" s="2"/>
      <c r="U8" s="2"/>
      <c r="V8" s="4">
        <v>186</v>
      </c>
      <c r="W8" s="2" t="s">
        <v>4</v>
      </c>
      <c r="X8" s="2"/>
      <c r="Y8" s="5"/>
      <c r="Z8" s="2"/>
      <c r="AA8" s="2" t="s">
        <v>6</v>
      </c>
      <c r="AB8" s="2"/>
      <c r="AC8" s="2"/>
      <c r="AD8" s="2"/>
      <c r="AE8" s="4">
        <f>'[1]Норматив и фактически'!$K$130</f>
        <v>144</v>
      </c>
      <c r="AF8" s="2" t="s">
        <v>4</v>
      </c>
      <c r="AG8" s="2"/>
      <c r="AH8" s="2"/>
      <c r="AI8" s="2"/>
    </row>
    <row r="9" spans="1:35" ht="12.75">
      <c r="A9" s="2"/>
      <c r="B9" s="2" t="s">
        <v>7</v>
      </c>
      <c r="C9" s="2"/>
      <c r="D9" s="2"/>
      <c r="E9" s="2"/>
      <c r="F9" s="2"/>
      <c r="G9" s="65"/>
      <c r="H9" s="65"/>
      <c r="I9" s="65"/>
      <c r="J9" s="65"/>
      <c r="K9" s="71"/>
      <c r="L9" s="71"/>
      <c r="M9" s="72">
        <v>0.35</v>
      </c>
      <c r="N9" s="73"/>
      <c r="O9" s="290" t="s">
        <v>141</v>
      </c>
      <c r="P9" s="290"/>
      <c r="Q9" s="74"/>
      <c r="R9" s="65" t="s">
        <v>8</v>
      </c>
      <c r="S9" s="65"/>
      <c r="T9" s="2"/>
      <c r="U9" s="2"/>
      <c r="V9" s="6">
        <v>450</v>
      </c>
      <c r="W9" s="2" t="s">
        <v>4</v>
      </c>
      <c r="X9" s="2"/>
      <c r="Y9" s="2"/>
      <c r="Z9" s="2"/>
      <c r="AA9" s="2" t="s">
        <v>8</v>
      </c>
      <c r="AB9" s="2"/>
      <c r="AC9" s="2"/>
      <c r="AD9" s="2"/>
      <c r="AE9" s="6">
        <v>450</v>
      </c>
      <c r="AF9" s="2" t="s">
        <v>4</v>
      </c>
      <c r="AG9" s="2"/>
      <c r="AH9" s="2"/>
      <c r="AI9" s="2"/>
    </row>
    <row r="10" spans="1:26" ht="12.75">
      <c r="A10" s="2"/>
      <c r="B10" s="2"/>
      <c r="C10" s="2"/>
      <c r="D10" s="2"/>
      <c r="E10" s="2"/>
      <c r="F10" s="2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2"/>
      <c r="U10" s="2"/>
      <c r="V10" s="2"/>
      <c r="W10" s="2"/>
      <c r="X10" s="2"/>
      <c r="Y10" s="2"/>
      <c r="Z10" s="2"/>
    </row>
    <row r="11" spans="1:23" ht="90.75" customHeight="1">
      <c r="A11" s="61" t="s">
        <v>9</v>
      </c>
      <c r="B11" s="280" t="s">
        <v>11</v>
      </c>
      <c r="C11" s="281"/>
      <c r="D11" s="62" t="s">
        <v>41</v>
      </c>
      <c r="E11" s="62" t="s">
        <v>125</v>
      </c>
      <c r="F11" s="62" t="s">
        <v>112</v>
      </c>
      <c r="G11" s="75" t="s">
        <v>139</v>
      </c>
      <c r="H11" s="75" t="s">
        <v>140</v>
      </c>
      <c r="I11" s="75" t="s">
        <v>135</v>
      </c>
      <c r="J11" s="75" t="s">
        <v>128</v>
      </c>
      <c r="K11" s="75" t="s">
        <v>127</v>
      </c>
      <c r="L11" s="75" t="s">
        <v>129</v>
      </c>
      <c r="M11" s="75" t="s">
        <v>130</v>
      </c>
      <c r="N11" s="75" t="s">
        <v>131</v>
      </c>
      <c r="O11" s="75" t="s">
        <v>132</v>
      </c>
      <c r="P11" s="75" t="s">
        <v>134</v>
      </c>
      <c r="Q11" s="75" t="s">
        <v>133</v>
      </c>
      <c r="R11" s="75" t="s">
        <v>136</v>
      </c>
      <c r="S11" s="75" t="s">
        <v>137</v>
      </c>
      <c r="T11" s="62" t="s">
        <v>138</v>
      </c>
      <c r="U11" s="62" t="s">
        <v>116</v>
      </c>
      <c r="V11" s="62" t="s">
        <v>117</v>
      </c>
      <c r="W11" s="62" t="s">
        <v>118</v>
      </c>
    </row>
    <row r="12" spans="1:24" ht="23.25" customHeight="1">
      <c r="A12" s="145"/>
      <c r="B12" s="272" t="s">
        <v>104</v>
      </c>
      <c r="C12" s="273"/>
      <c r="D12" s="123">
        <f>'[2]А-4'!$F$10</f>
        <v>2</v>
      </c>
      <c r="E12" s="146">
        <f>E13</f>
        <v>47.5</v>
      </c>
      <c r="F12" s="146">
        <f aca="true" t="shared" si="0" ref="F12:W12">F13</f>
        <v>45.44996540390936</v>
      </c>
      <c r="G12" s="146">
        <f t="shared" si="0"/>
        <v>19.03899050769763</v>
      </c>
      <c r="H12" s="146">
        <f t="shared" si="0"/>
        <v>26.410974896211727</v>
      </c>
      <c r="I12" s="146">
        <f t="shared" si="0"/>
        <v>20</v>
      </c>
      <c r="J12" s="146">
        <f t="shared" si="0"/>
        <v>11.5</v>
      </c>
      <c r="K12" s="146">
        <f t="shared" si="0"/>
        <v>8.5</v>
      </c>
      <c r="L12" s="128">
        <f t="shared" si="0"/>
        <v>0</v>
      </c>
      <c r="M12" s="128">
        <f t="shared" si="0"/>
        <v>0</v>
      </c>
      <c r="N12" s="128">
        <f t="shared" si="0"/>
        <v>0</v>
      </c>
      <c r="O12" s="128">
        <f t="shared" si="0"/>
        <v>0</v>
      </c>
      <c r="P12" s="128">
        <f t="shared" si="0"/>
        <v>0</v>
      </c>
      <c r="Q12" s="128">
        <f t="shared" si="0"/>
        <v>0</v>
      </c>
      <c r="R12" s="128">
        <f t="shared" si="0"/>
        <v>0</v>
      </c>
      <c r="S12" s="128">
        <f t="shared" si="0"/>
        <v>0</v>
      </c>
      <c r="T12" s="128">
        <f t="shared" si="0"/>
        <v>0</v>
      </c>
      <c r="U12" s="128">
        <f t="shared" si="0"/>
        <v>0</v>
      </c>
      <c r="V12" s="128">
        <f t="shared" si="0"/>
        <v>0</v>
      </c>
      <c r="W12" s="128">
        <f t="shared" si="0"/>
        <v>0</v>
      </c>
      <c r="X12" s="53">
        <f aca="true" t="shared" si="1" ref="X12:X75">T12/F12</f>
        <v>0</v>
      </c>
    </row>
    <row r="13" spans="1:30" ht="20.25" customHeight="1">
      <c r="A13" s="30">
        <v>1</v>
      </c>
      <c r="B13" s="50" t="s">
        <v>99</v>
      </c>
      <c r="C13" s="49"/>
      <c r="D13" s="17">
        <f>'[2]А-4'!$F$10</f>
        <v>2</v>
      </c>
      <c r="E13" s="218">
        <v>47.5</v>
      </c>
      <c r="F13" s="219">
        <f>E13*$Y$14</f>
        <v>45.44996540390936</v>
      </c>
      <c r="G13" s="220">
        <f aca="true" t="shared" si="2" ref="G13:G49">F13*0.4189</f>
        <v>19.03899050769763</v>
      </c>
      <c r="H13" s="220">
        <f aca="true" t="shared" si="3" ref="H13:H49">F13*0.5811</f>
        <v>26.410974896211727</v>
      </c>
      <c r="I13" s="76">
        <v>20</v>
      </c>
      <c r="J13" s="18">
        <f>'[2]А-4'!$G$10</f>
        <v>11.5</v>
      </c>
      <c r="K13" s="18">
        <f>'[2]А-4'!$H$10</f>
        <v>8.5</v>
      </c>
      <c r="L13" s="28">
        <f>'[2]А-4'!$R$10</f>
        <v>0</v>
      </c>
      <c r="M13" s="23">
        <f>'[2]А-4'!$AD$10</f>
        <v>0</v>
      </c>
      <c r="N13" s="23">
        <f>L13*10/J13</f>
        <v>0</v>
      </c>
      <c r="O13" s="22">
        <f>M13*10/K13</f>
        <v>0</v>
      </c>
      <c r="P13" s="22">
        <v>0</v>
      </c>
      <c r="Q13" s="22">
        <f>ROUND(O13*$M$9,2)</f>
        <v>0</v>
      </c>
      <c r="R13" s="23">
        <f aca="true" t="shared" si="4" ref="R13:S49">ROUNDDOWN((P13*G13),0)</f>
        <v>0</v>
      </c>
      <c r="S13" s="23">
        <f t="shared" si="4"/>
        <v>0</v>
      </c>
      <c r="T13" s="16">
        <f aca="true" t="shared" si="5" ref="T13:T49">R13+S13</f>
        <v>0</v>
      </c>
      <c r="U13" s="26">
        <f>ROUNDDOWN(IF(T13&lt;$O$7,"0",T13*18/100),0)</f>
        <v>0</v>
      </c>
      <c r="V13" s="9">
        <v>0</v>
      </c>
      <c r="W13" s="26">
        <f aca="true" t="shared" si="6" ref="W13:W28">IF(V13&lt;=U13,V13,U13)</f>
        <v>0</v>
      </c>
      <c r="X13" s="53">
        <f t="shared" si="1"/>
        <v>0</v>
      </c>
      <c r="AD13">
        <f>Q14*S14</f>
        <v>253.92</v>
      </c>
    </row>
    <row r="14" spans="1:30" ht="29.25" customHeight="1">
      <c r="A14" s="145"/>
      <c r="B14" s="274" t="s">
        <v>103</v>
      </c>
      <c r="C14" s="275"/>
      <c r="D14" s="129">
        <f aca="true" t="shared" si="7" ref="D14:M14">SUM(D15:D49)</f>
        <v>85</v>
      </c>
      <c r="E14" s="125">
        <f t="shared" si="7"/>
        <v>5781.110000000001</v>
      </c>
      <c r="F14" s="125">
        <f t="shared" si="7"/>
        <v>5531.6052525514615</v>
      </c>
      <c r="G14" s="125">
        <f t="shared" si="7"/>
        <v>2317.1894402938074</v>
      </c>
      <c r="H14" s="125">
        <f t="shared" si="7"/>
        <v>3214.4158122576537</v>
      </c>
      <c r="I14" s="125">
        <f t="shared" si="7"/>
        <v>880.0799999999998</v>
      </c>
      <c r="J14" s="125">
        <f t="shared" si="7"/>
        <v>647.19</v>
      </c>
      <c r="K14" s="125">
        <f t="shared" si="7"/>
        <v>232.89000000000001</v>
      </c>
      <c r="L14" s="129">
        <f t="shared" si="7"/>
        <v>187</v>
      </c>
      <c r="M14" s="129">
        <f t="shared" si="7"/>
        <v>32</v>
      </c>
      <c r="N14" s="130">
        <f>ROUND(L14/J14*10,2)</f>
        <v>2.89</v>
      </c>
      <c r="O14" s="130">
        <f>ROUND(M14/K14*10,2)</f>
        <v>1.37</v>
      </c>
      <c r="P14" s="125">
        <f aca="true" t="shared" si="8" ref="P14:Q50">ROUND(N14*$M$9,1)</f>
        <v>1</v>
      </c>
      <c r="Q14" s="130">
        <f>ROUND(O14*$M$9,2)</f>
        <v>0.48</v>
      </c>
      <c r="R14" s="129">
        <f aca="true" t="shared" si="9" ref="R14:W14">SUM(R15:R49)</f>
        <v>1545</v>
      </c>
      <c r="S14" s="125">
        <f t="shared" si="9"/>
        <v>529</v>
      </c>
      <c r="T14" s="129">
        <f t="shared" si="9"/>
        <v>2074</v>
      </c>
      <c r="U14" s="129">
        <f t="shared" si="9"/>
        <v>341</v>
      </c>
      <c r="V14" s="129">
        <f t="shared" si="9"/>
        <v>162</v>
      </c>
      <c r="W14" s="129">
        <f t="shared" si="9"/>
        <v>136</v>
      </c>
      <c r="X14" s="53">
        <f t="shared" si="1"/>
        <v>0.3749363711453134</v>
      </c>
      <c r="Y14" s="53">
        <f>AB14/AB15</f>
        <v>0.9568413769244075</v>
      </c>
      <c r="AB14">
        <v>5531.5</v>
      </c>
      <c r="AD14">
        <v>2473</v>
      </c>
    </row>
    <row r="15" spans="1:28" ht="17.25" customHeight="1">
      <c r="A15" s="30">
        <f>A13+1</f>
        <v>2</v>
      </c>
      <c r="B15" s="50" t="s">
        <v>96</v>
      </c>
      <c r="C15" s="49"/>
      <c r="D15" s="17">
        <f>'[2]А-4'!$F$12</f>
        <v>3</v>
      </c>
      <c r="E15" s="218">
        <f>'[3]Норматив и фактически 2015'!$F$13</f>
        <v>660</v>
      </c>
      <c r="F15" s="219">
        <f aca="true" t="shared" si="10" ref="F15:F49">E15*$Y$14</f>
        <v>631.515308770109</v>
      </c>
      <c r="G15" s="220">
        <f t="shared" si="2"/>
        <v>264.54176284379867</v>
      </c>
      <c r="H15" s="220">
        <f t="shared" si="3"/>
        <v>366.9735459263103</v>
      </c>
      <c r="I15" s="28">
        <f aca="true" t="shared" si="11" ref="I15:I49">J15+K15</f>
        <v>30</v>
      </c>
      <c r="J15" s="14">
        <f>'[2]А-4'!$G$12</f>
        <v>21.6</v>
      </c>
      <c r="K15" s="28">
        <f>'[2]А-4'!$H$12</f>
        <v>8.399999999999999</v>
      </c>
      <c r="L15" s="23">
        <f>'[2]А-4'!$R$12</f>
        <v>0</v>
      </c>
      <c r="M15" s="23">
        <f>'[2]А-4'!$AD$12</f>
        <v>0</v>
      </c>
      <c r="N15" s="22">
        <f>L15*10/J15</f>
        <v>0</v>
      </c>
      <c r="O15" s="22">
        <f>M15*10/K15</f>
        <v>0</v>
      </c>
      <c r="P15" s="28">
        <f t="shared" si="8"/>
        <v>0</v>
      </c>
      <c r="Q15" s="28">
        <f t="shared" si="8"/>
        <v>0</v>
      </c>
      <c r="R15" s="23">
        <f t="shared" si="4"/>
        <v>0</v>
      </c>
      <c r="S15" s="23">
        <f t="shared" si="4"/>
        <v>0</v>
      </c>
      <c r="T15" s="16">
        <f t="shared" si="5"/>
        <v>0</v>
      </c>
      <c r="U15" s="26">
        <f>ROUNDDOWN(IF(T15&lt;$O$7,"0",T15*18/100),0)</f>
        <v>0</v>
      </c>
      <c r="V15" s="9">
        <v>14</v>
      </c>
      <c r="W15" s="26">
        <f t="shared" si="6"/>
        <v>0</v>
      </c>
      <c r="X15" s="53">
        <f t="shared" si="1"/>
        <v>0</v>
      </c>
      <c r="AB15">
        <v>5781</v>
      </c>
    </row>
    <row r="16" spans="1:24" ht="17.25" customHeight="1">
      <c r="A16" s="30">
        <f aca="true" t="shared" si="12" ref="A16:A49">A15+1</f>
        <v>3</v>
      </c>
      <c r="B16" s="50" t="s">
        <v>97</v>
      </c>
      <c r="C16" s="49"/>
      <c r="D16" s="17">
        <f>'[2]А-4'!$F$13</f>
        <v>3</v>
      </c>
      <c r="E16" s="218">
        <f>'[4]Норматив и фактически 2009'!$F$14</f>
        <v>566</v>
      </c>
      <c r="F16" s="219">
        <f t="shared" si="10"/>
        <v>541.5722193392146</v>
      </c>
      <c r="G16" s="220">
        <f t="shared" si="2"/>
        <v>226.864602681197</v>
      </c>
      <c r="H16" s="220">
        <f t="shared" si="3"/>
        <v>314.70761665801757</v>
      </c>
      <c r="I16" s="28">
        <f t="shared" si="11"/>
        <v>29.85</v>
      </c>
      <c r="J16" s="18">
        <f>'[2]А-4'!$G$13</f>
        <v>23.7</v>
      </c>
      <c r="K16" s="18">
        <f>'[2]А-4'!$H$13</f>
        <v>6.15</v>
      </c>
      <c r="L16" s="23">
        <f>'[2]А-4'!$R$13</f>
        <v>3</v>
      </c>
      <c r="M16" s="23">
        <f>'[2]А-4'!$AD$13</f>
        <v>0</v>
      </c>
      <c r="N16" s="22">
        <f aca="true" t="shared" si="13" ref="N16:N23">L16*10/J16</f>
        <v>1.2658227848101267</v>
      </c>
      <c r="O16" s="22">
        <f aca="true" t="shared" si="14" ref="O16:O23">ROUND(M16/K16*10,3)</f>
        <v>0</v>
      </c>
      <c r="P16" s="28">
        <f t="shared" si="8"/>
        <v>0.4</v>
      </c>
      <c r="Q16" s="28">
        <f t="shared" si="8"/>
        <v>0</v>
      </c>
      <c r="R16" s="23">
        <f t="shared" si="4"/>
        <v>90</v>
      </c>
      <c r="S16" s="23">
        <f t="shared" si="4"/>
        <v>0</v>
      </c>
      <c r="T16" s="16">
        <f t="shared" si="5"/>
        <v>90</v>
      </c>
      <c r="U16" s="26">
        <f aca="true" t="shared" si="15" ref="U16:U81">ROUNDDOWN(IF(T16&lt;$O$7,"0",T16*18/100),0)</f>
        <v>16</v>
      </c>
      <c r="V16" s="9">
        <v>10</v>
      </c>
      <c r="W16" s="26">
        <f t="shared" si="6"/>
        <v>10</v>
      </c>
      <c r="X16" s="53">
        <f t="shared" si="1"/>
        <v>0.1661828225048382</v>
      </c>
    </row>
    <row r="17" spans="1:30" ht="12.75" customHeight="1">
      <c r="A17" s="30">
        <f t="shared" si="12"/>
        <v>4</v>
      </c>
      <c r="B17" s="50" t="s">
        <v>98</v>
      </c>
      <c r="C17" s="49"/>
      <c r="D17" s="17">
        <f>'[2]А-4'!$F$14</f>
        <v>3</v>
      </c>
      <c r="E17" s="218">
        <f>'[4]Норматив и фактически 2009'!$F$15</f>
        <v>144</v>
      </c>
      <c r="F17" s="219">
        <f t="shared" si="10"/>
        <v>137.78515827711468</v>
      </c>
      <c r="G17" s="220">
        <f t="shared" si="2"/>
        <v>57.718202802283336</v>
      </c>
      <c r="H17" s="220">
        <f t="shared" si="3"/>
        <v>80.06695547483133</v>
      </c>
      <c r="I17" s="28">
        <f t="shared" si="11"/>
        <v>30</v>
      </c>
      <c r="J17" s="18">
        <f>'[2]А-4'!$G$14</f>
        <v>26.3</v>
      </c>
      <c r="K17" s="18">
        <f>'[2]А-4'!$H$14</f>
        <v>3.7</v>
      </c>
      <c r="L17" s="23">
        <f>'[2]А-4'!$R$14</f>
        <v>24</v>
      </c>
      <c r="M17" s="23">
        <f>'[2]А-4'!$AD$14</f>
        <v>0</v>
      </c>
      <c r="N17" s="22">
        <f t="shared" si="13"/>
        <v>9.125475285171103</v>
      </c>
      <c r="O17" s="22">
        <f t="shared" si="14"/>
        <v>0</v>
      </c>
      <c r="P17" s="28">
        <f t="shared" si="8"/>
        <v>3.2</v>
      </c>
      <c r="Q17" s="28">
        <f t="shared" si="8"/>
        <v>0</v>
      </c>
      <c r="R17" s="23">
        <f t="shared" si="4"/>
        <v>184</v>
      </c>
      <c r="S17" s="23">
        <f t="shared" si="4"/>
        <v>0</v>
      </c>
      <c r="T17" s="16">
        <f t="shared" si="5"/>
        <v>184</v>
      </c>
      <c r="U17" s="26">
        <f t="shared" si="15"/>
        <v>33</v>
      </c>
      <c r="V17" s="9">
        <v>7</v>
      </c>
      <c r="W17" s="26">
        <f t="shared" si="6"/>
        <v>7</v>
      </c>
      <c r="X17" s="53">
        <f t="shared" si="1"/>
        <v>1.3354123354123355</v>
      </c>
      <c r="AD17" s="19">
        <f>T14-AD14</f>
        <v>-399</v>
      </c>
    </row>
    <row r="18" spans="1:34" ht="15.75">
      <c r="A18" s="30">
        <f t="shared" si="12"/>
        <v>5</v>
      </c>
      <c r="B18" s="50" t="s">
        <v>100</v>
      </c>
      <c r="C18" s="49"/>
      <c r="D18" s="27">
        <f>'[2]А-4'!$F$16</f>
        <v>3</v>
      </c>
      <c r="E18" s="218">
        <f>'[4]Норматив и фактически 2009'!$F$18</f>
        <v>40</v>
      </c>
      <c r="F18" s="219">
        <f t="shared" si="10"/>
        <v>38.2736550769763</v>
      </c>
      <c r="G18" s="220">
        <f t="shared" si="2"/>
        <v>16.03283411174537</v>
      </c>
      <c r="H18" s="220">
        <f t="shared" si="3"/>
        <v>22.240820965230924</v>
      </c>
      <c r="I18" s="28">
        <f t="shared" si="11"/>
        <v>30.7</v>
      </c>
      <c r="J18" s="77">
        <f>'[2]А-4'!$G$16</f>
        <v>27</v>
      </c>
      <c r="K18" s="77">
        <f>'[2]А-4'!$H$16</f>
        <v>3.7</v>
      </c>
      <c r="L18" s="23">
        <f>'[2]А-4'!$R$16</f>
        <v>16</v>
      </c>
      <c r="M18" s="23">
        <f>'[2]А-4'!$AD$16</f>
        <v>14</v>
      </c>
      <c r="N18" s="22">
        <f t="shared" si="13"/>
        <v>5.925925925925926</v>
      </c>
      <c r="O18" s="22">
        <f t="shared" si="14"/>
        <v>37.838</v>
      </c>
      <c r="P18" s="28">
        <f t="shared" si="8"/>
        <v>2.1</v>
      </c>
      <c r="Q18" s="28">
        <f t="shared" si="8"/>
        <v>13.2</v>
      </c>
      <c r="R18" s="23">
        <f t="shared" si="4"/>
        <v>33</v>
      </c>
      <c r="S18" s="23">
        <f t="shared" si="4"/>
        <v>293</v>
      </c>
      <c r="T18" s="16">
        <f t="shared" si="5"/>
        <v>326</v>
      </c>
      <c r="U18" s="26">
        <f t="shared" si="15"/>
        <v>58</v>
      </c>
      <c r="V18" s="9">
        <v>12</v>
      </c>
      <c r="W18" s="26">
        <f t="shared" si="6"/>
        <v>12</v>
      </c>
      <c r="X18" s="53">
        <f t="shared" si="1"/>
        <v>8.517608243695202</v>
      </c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24" ht="15.75">
      <c r="A19" s="30">
        <f t="shared" si="12"/>
        <v>6</v>
      </c>
      <c r="B19" s="50" t="s">
        <v>101</v>
      </c>
      <c r="C19" s="49"/>
      <c r="D19" s="17">
        <f>'[2]А-4'!$F$17</f>
        <v>3</v>
      </c>
      <c r="E19" s="218">
        <f>'[4]Норматив и фактически 2009'!$F$19</f>
        <v>85</v>
      </c>
      <c r="F19" s="219">
        <f t="shared" si="10"/>
        <v>81.33151703857465</v>
      </c>
      <c r="G19" s="220">
        <f t="shared" si="2"/>
        <v>34.06977248745892</v>
      </c>
      <c r="H19" s="220">
        <f t="shared" si="3"/>
        <v>47.261744551115726</v>
      </c>
      <c r="I19" s="28">
        <f t="shared" si="11"/>
        <v>31.1</v>
      </c>
      <c r="J19" s="77">
        <f>'[2]А-4'!$G$17</f>
        <v>18.1</v>
      </c>
      <c r="K19" s="77">
        <f>'[2]А-4'!$H$17</f>
        <v>13</v>
      </c>
      <c r="L19" s="23">
        <f>'[2]А-4'!$R$17</f>
        <v>17</v>
      </c>
      <c r="M19" s="23">
        <f>'[2]А-4'!$AD$17</f>
        <v>11</v>
      </c>
      <c r="N19" s="22">
        <f t="shared" si="13"/>
        <v>9.392265193370164</v>
      </c>
      <c r="O19" s="22">
        <f t="shared" si="14"/>
        <v>8.462</v>
      </c>
      <c r="P19" s="28">
        <f t="shared" si="8"/>
        <v>3.3</v>
      </c>
      <c r="Q19" s="28">
        <f t="shared" si="8"/>
        <v>3</v>
      </c>
      <c r="R19" s="23">
        <f t="shared" si="4"/>
        <v>112</v>
      </c>
      <c r="S19" s="23">
        <f t="shared" si="4"/>
        <v>141</v>
      </c>
      <c r="T19" s="16">
        <f t="shared" si="5"/>
        <v>253</v>
      </c>
      <c r="U19" s="26">
        <f t="shared" si="15"/>
        <v>45</v>
      </c>
      <c r="V19" s="9">
        <v>17</v>
      </c>
      <c r="W19" s="26">
        <f t="shared" si="6"/>
        <v>17</v>
      </c>
      <c r="X19" s="53">
        <f t="shared" si="1"/>
        <v>3.1107252048428515</v>
      </c>
    </row>
    <row r="20" spans="1:24" ht="12.75">
      <c r="A20" s="30">
        <f t="shared" si="12"/>
        <v>7</v>
      </c>
      <c r="B20" s="50" t="s">
        <v>102</v>
      </c>
      <c r="C20" s="50"/>
      <c r="D20" s="17">
        <f>'[2]А-4'!$F$18</f>
        <v>3</v>
      </c>
      <c r="E20" s="218">
        <f>'[4]Норматив и фактически 2009'!$F$20</f>
        <v>75</v>
      </c>
      <c r="F20" s="219">
        <f t="shared" si="10"/>
        <v>71.76310326933056</v>
      </c>
      <c r="G20" s="220">
        <f t="shared" si="2"/>
        <v>30.06156395952257</v>
      </c>
      <c r="H20" s="220">
        <f t="shared" si="3"/>
        <v>41.701539309807984</v>
      </c>
      <c r="I20" s="28">
        <f t="shared" si="11"/>
        <v>30.599999999999998</v>
      </c>
      <c r="J20" s="77">
        <f>'[2]А-4'!$G$18</f>
        <v>19.799999999999997</v>
      </c>
      <c r="K20" s="77">
        <f>'[2]А-4'!$H$18</f>
        <v>10.8</v>
      </c>
      <c r="L20" s="23">
        <f>'[2]А-4'!$R$18</f>
        <v>16</v>
      </c>
      <c r="M20" s="23">
        <f>'[2]А-4'!$AD$18</f>
        <v>7</v>
      </c>
      <c r="N20" s="22">
        <f t="shared" si="13"/>
        <v>8.080808080808081</v>
      </c>
      <c r="O20" s="22">
        <f t="shared" si="14"/>
        <v>6.481</v>
      </c>
      <c r="P20" s="28">
        <f t="shared" si="8"/>
        <v>2.8</v>
      </c>
      <c r="Q20" s="28">
        <f t="shared" si="8"/>
        <v>2.3</v>
      </c>
      <c r="R20" s="23">
        <f t="shared" si="4"/>
        <v>84</v>
      </c>
      <c r="S20" s="23">
        <f t="shared" si="4"/>
        <v>95</v>
      </c>
      <c r="T20" s="16">
        <f t="shared" si="5"/>
        <v>179</v>
      </c>
      <c r="U20" s="26">
        <f t="shared" si="15"/>
        <v>32</v>
      </c>
      <c r="V20" s="9">
        <v>18</v>
      </c>
      <c r="W20" s="26">
        <f t="shared" si="6"/>
        <v>18</v>
      </c>
      <c r="X20" s="53">
        <f t="shared" si="1"/>
        <v>2.494317996926693</v>
      </c>
    </row>
    <row r="21" spans="1:24" s="2" customFormat="1" ht="12.75">
      <c r="A21" s="30">
        <f t="shared" si="12"/>
        <v>8</v>
      </c>
      <c r="B21" s="276" t="s">
        <v>93</v>
      </c>
      <c r="C21" s="277"/>
      <c r="D21" s="17">
        <f>'[2]А-4'!$F$20</f>
        <v>1</v>
      </c>
      <c r="E21" s="218">
        <f>'[4]Норматив и фактически 2009'!$F$22</f>
        <v>136</v>
      </c>
      <c r="F21" s="219">
        <f t="shared" si="10"/>
        <v>130.13042726171943</v>
      </c>
      <c r="G21" s="220">
        <f t="shared" si="2"/>
        <v>54.51163597993427</v>
      </c>
      <c r="H21" s="220">
        <f t="shared" si="3"/>
        <v>75.61879128178515</v>
      </c>
      <c r="I21" s="28">
        <f t="shared" si="11"/>
        <v>12.1</v>
      </c>
      <c r="J21" s="18">
        <f>'[2]А-4'!$G$20</f>
        <v>11</v>
      </c>
      <c r="K21" s="18">
        <f>'[2]А-4'!$H$20</f>
        <v>1.1</v>
      </c>
      <c r="L21" s="23">
        <f>'[2]А-4'!$R$20</f>
        <v>1</v>
      </c>
      <c r="M21" s="23">
        <f>'[2]А-4'!$AD$20</f>
        <v>0</v>
      </c>
      <c r="N21" s="22">
        <f t="shared" si="13"/>
        <v>0.9090909090909091</v>
      </c>
      <c r="O21" s="22">
        <f t="shared" si="14"/>
        <v>0</v>
      </c>
      <c r="P21" s="28">
        <f t="shared" si="8"/>
        <v>0.3</v>
      </c>
      <c r="Q21" s="28">
        <f t="shared" si="8"/>
        <v>0</v>
      </c>
      <c r="R21" s="23">
        <f t="shared" si="4"/>
        <v>16</v>
      </c>
      <c r="S21" s="23">
        <f t="shared" si="4"/>
        <v>0</v>
      </c>
      <c r="T21" s="16">
        <f t="shared" si="5"/>
        <v>16</v>
      </c>
      <c r="U21" s="26">
        <f t="shared" si="15"/>
        <v>0</v>
      </c>
      <c r="V21" s="9">
        <v>2</v>
      </c>
      <c r="W21" s="26">
        <f t="shared" si="6"/>
        <v>0</v>
      </c>
      <c r="X21" s="53">
        <f t="shared" si="1"/>
        <v>0.12295356540880836</v>
      </c>
    </row>
    <row r="22" spans="1:24" s="2" customFormat="1" ht="12.75">
      <c r="A22" s="30">
        <f t="shared" si="12"/>
        <v>9</v>
      </c>
      <c r="B22" s="51" t="s">
        <v>94</v>
      </c>
      <c r="C22" s="51"/>
      <c r="D22" s="17">
        <f>'[2]А-4'!$F$21</f>
        <v>3</v>
      </c>
      <c r="E22" s="218">
        <f>'[4]Норматив и фактически 2009'!$F$23</f>
        <v>113</v>
      </c>
      <c r="F22" s="219">
        <f t="shared" si="10"/>
        <v>108.12307559245805</v>
      </c>
      <c r="G22" s="220">
        <f t="shared" si="2"/>
        <v>45.292756365680674</v>
      </c>
      <c r="H22" s="220">
        <f t="shared" si="3"/>
        <v>62.83031922677737</v>
      </c>
      <c r="I22" s="28">
        <f t="shared" si="11"/>
        <v>36.800000000000004</v>
      </c>
      <c r="J22" s="18">
        <f>'[2]А-4'!$G$21</f>
        <v>31.900000000000002</v>
      </c>
      <c r="K22" s="18">
        <f>'[2]А-4'!$H$21</f>
        <v>4.9</v>
      </c>
      <c r="L22" s="23">
        <f>'[2]А-4'!$R$21</f>
        <v>3</v>
      </c>
      <c r="M22" s="23">
        <f>'[2]А-4'!$AD$21</f>
        <v>0</v>
      </c>
      <c r="N22" s="22">
        <f t="shared" si="13"/>
        <v>0.9404388714733541</v>
      </c>
      <c r="O22" s="22">
        <f t="shared" si="14"/>
        <v>0</v>
      </c>
      <c r="P22" s="28">
        <f t="shared" si="8"/>
        <v>0.3</v>
      </c>
      <c r="Q22" s="28">
        <f t="shared" si="8"/>
        <v>0</v>
      </c>
      <c r="R22" s="23">
        <f t="shared" si="4"/>
        <v>13</v>
      </c>
      <c r="S22" s="23">
        <f t="shared" si="4"/>
        <v>0</v>
      </c>
      <c r="T22" s="16">
        <f t="shared" si="5"/>
        <v>13</v>
      </c>
      <c r="U22" s="26">
        <f t="shared" si="15"/>
        <v>0</v>
      </c>
      <c r="V22" s="25">
        <v>3</v>
      </c>
      <c r="W22" s="26">
        <f t="shared" si="6"/>
        <v>0</v>
      </c>
      <c r="X22" s="53">
        <f t="shared" si="1"/>
        <v>0.1202333537847197</v>
      </c>
    </row>
    <row r="23" spans="1:24" ht="12.75">
      <c r="A23" s="30">
        <f t="shared" si="12"/>
        <v>10</v>
      </c>
      <c r="B23" s="51" t="s">
        <v>95</v>
      </c>
      <c r="C23" s="51"/>
      <c r="D23" s="17">
        <f>'[2]А-4'!$F$22</f>
        <v>3</v>
      </c>
      <c r="E23" s="218">
        <v>205</v>
      </c>
      <c r="F23" s="219">
        <f t="shared" si="10"/>
        <v>196.15248226950354</v>
      </c>
      <c r="G23" s="220">
        <f t="shared" si="2"/>
        <v>82.16827482269503</v>
      </c>
      <c r="H23" s="220">
        <f t="shared" si="3"/>
        <v>113.9842074468085</v>
      </c>
      <c r="I23" s="28">
        <f t="shared" si="11"/>
        <v>40.400000000000006</v>
      </c>
      <c r="J23" s="18">
        <f>'[2]А-4'!$G$22</f>
        <v>36.7</v>
      </c>
      <c r="K23" s="18">
        <f>'[2]А-4'!$H$22</f>
        <v>3.7</v>
      </c>
      <c r="L23" s="23">
        <f>'[2]А-4'!$R$22</f>
        <v>4</v>
      </c>
      <c r="M23" s="23">
        <f>'[2]А-4'!$AD$22</f>
        <v>0</v>
      </c>
      <c r="N23" s="22">
        <f t="shared" si="13"/>
        <v>1.08991825613079</v>
      </c>
      <c r="O23" s="22">
        <f t="shared" si="14"/>
        <v>0</v>
      </c>
      <c r="P23" s="28">
        <f t="shared" si="8"/>
        <v>0.4</v>
      </c>
      <c r="Q23" s="28">
        <f t="shared" si="8"/>
        <v>0</v>
      </c>
      <c r="R23" s="23">
        <f t="shared" si="4"/>
        <v>32</v>
      </c>
      <c r="S23" s="23">
        <f t="shared" si="4"/>
        <v>0</v>
      </c>
      <c r="T23" s="16">
        <f t="shared" si="5"/>
        <v>32</v>
      </c>
      <c r="U23" s="26">
        <f t="shared" si="15"/>
        <v>0</v>
      </c>
      <c r="V23" s="25">
        <v>1</v>
      </c>
      <c r="W23" s="26">
        <f t="shared" si="6"/>
        <v>0</v>
      </c>
      <c r="X23" s="53">
        <f t="shared" si="1"/>
        <v>0.16313838922534576</v>
      </c>
    </row>
    <row r="24" spans="1:24" ht="12" customHeight="1">
      <c r="A24" s="30">
        <f t="shared" si="12"/>
        <v>11</v>
      </c>
      <c r="B24" s="147" t="s">
        <v>42</v>
      </c>
      <c r="C24" s="148"/>
      <c r="D24" s="17">
        <f>'[2]А-4'!$F$23</f>
        <v>0</v>
      </c>
      <c r="E24" s="218">
        <f>'[4]Норматив и фактически 2009'!$F$24</f>
        <v>116</v>
      </c>
      <c r="F24" s="219">
        <f t="shared" si="10"/>
        <v>110.99359972323127</v>
      </c>
      <c r="G24" s="220">
        <f t="shared" si="2"/>
        <v>46.495218924061575</v>
      </c>
      <c r="H24" s="220">
        <f t="shared" si="3"/>
        <v>64.49838079916968</v>
      </c>
      <c r="I24" s="28">
        <f t="shared" si="11"/>
        <v>0</v>
      </c>
      <c r="J24" s="18">
        <f>'[2]А-4'!$G$23</f>
        <v>0</v>
      </c>
      <c r="K24" s="18">
        <f>'[2]А-4'!$H$23</f>
        <v>0</v>
      </c>
      <c r="L24" s="23">
        <f>'[2]А-4'!$R$23</f>
        <v>0</v>
      </c>
      <c r="M24" s="23">
        <f>'[2]А-4'!$AD$23</f>
        <v>0</v>
      </c>
      <c r="N24" s="22">
        <v>0</v>
      </c>
      <c r="O24" s="22">
        <v>0</v>
      </c>
      <c r="P24" s="28">
        <f t="shared" si="8"/>
        <v>0</v>
      </c>
      <c r="Q24" s="28">
        <f t="shared" si="8"/>
        <v>0</v>
      </c>
      <c r="R24" s="23">
        <f t="shared" si="4"/>
        <v>0</v>
      </c>
      <c r="S24" s="23">
        <f t="shared" si="4"/>
        <v>0</v>
      </c>
      <c r="T24" s="16">
        <f t="shared" si="5"/>
        <v>0</v>
      </c>
      <c r="U24" s="26">
        <f t="shared" si="15"/>
        <v>0</v>
      </c>
      <c r="V24" s="9"/>
      <c r="W24" s="26">
        <f t="shared" si="6"/>
        <v>0</v>
      </c>
      <c r="X24" s="53">
        <f t="shared" si="1"/>
        <v>0</v>
      </c>
    </row>
    <row r="25" spans="1:24" s="29" customFormat="1" ht="12.75">
      <c r="A25" s="30">
        <f t="shared" si="12"/>
        <v>12</v>
      </c>
      <c r="B25" s="11" t="s">
        <v>12</v>
      </c>
      <c r="C25" s="7"/>
      <c r="D25" s="18">
        <f>'[2]А-4'!$F$24</f>
        <v>5</v>
      </c>
      <c r="E25" s="28">
        <f>'[4]Норматив и фактически 2009'!$F$26</f>
        <v>201</v>
      </c>
      <c r="F25" s="219">
        <f t="shared" si="10"/>
        <v>192.3251167618059</v>
      </c>
      <c r="G25" s="220">
        <f t="shared" si="2"/>
        <v>80.5649914115205</v>
      </c>
      <c r="H25" s="220">
        <f t="shared" si="3"/>
        <v>111.7601253502854</v>
      </c>
      <c r="I25" s="28">
        <f t="shared" si="11"/>
        <v>54.45</v>
      </c>
      <c r="J25" s="18">
        <f>'[2]А-4'!$G$24</f>
        <v>52.85</v>
      </c>
      <c r="K25" s="18">
        <f>'[2]А-4'!$H$24</f>
        <v>1.6</v>
      </c>
      <c r="L25" s="23">
        <f>'[2]А-4'!$R$24</f>
        <v>10</v>
      </c>
      <c r="M25" s="23">
        <f>'[2]А-4'!$AD$24</f>
        <v>0</v>
      </c>
      <c r="N25" s="22">
        <f>L25*10/J25</f>
        <v>1.8921475875118259</v>
      </c>
      <c r="O25" s="22">
        <f>ROUND(M25/K25*10,3)</f>
        <v>0</v>
      </c>
      <c r="P25" s="28">
        <f t="shared" si="8"/>
        <v>0.7</v>
      </c>
      <c r="Q25" s="28">
        <f t="shared" si="8"/>
        <v>0</v>
      </c>
      <c r="R25" s="23">
        <f t="shared" si="4"/>
        <v>56</v>
      </c>
      <c r="S25" s="23">
        <f t="shared" si="4"/>
        <v>0</v>
      </c>
      <c r="T25" s="16">
        <f t="shared" si="5"/>
        <v>56</v>
      </c>
      <c r="U25" s="26">
        <f t="shared" si="15"/>
        <v>10</v>
      </c>
      <c r="V25" s="7">
        <v>18</v>
      </c>
      <c r="W25" s="26">
        <f t="shared" si="6"/>
        <v>10</v>
      </c>
      <c r="X25" s="53">
        <f t="shared" si="1"/>
        <v>0.29117361758503874</v>
      </c>
    </row>
    <row r="26" spans="1:24" ht="12.75">
      <c r="A26" s="30">
        <f t="shared" si="12"/>
        <v>13</v>
      </c>
      <c r="B26" s="12" t="s">
        <v>30</v>
      </c>
      <c r="C26" s="36"/>
      <c r="D26" s="18">
        <f>'[2]А-4'!$F$25</f>
        <v>3</v>
      </c>
      <c r="E26" s="218">
        <v>67</v>
      </c>
      <c r="F26" s="219">
        <f t="shared" si="10"/>
        <v>64.1083722539353</v>
      </c>
      <c r="G26" s="220">
        <f t="shared" si="2"/>
        <v>26.8549971371735</v>
      </c>
      <c r="H26" s="220">
        <f t="shared" si="3"/>
        <v>37.2533751167618</v>
      </c>
      <c r="I26" s="28">
        <f t="shared" si="11"/>
        <v>32.4</v>
      </c>
      <c r="J26" s="18">
        <f>'[2]А-4'!$G$25</f>
        <v>26.199999999999996</v>
      </c>
      <c r="K26" s="18">
        <f>'[2]А-4'!$H$25</f>
        <v>6.2</v>
      </c>
      <c r="L26" s="23">
        <f>'[2]А-4'!$R$25</f>
        <v>0</v>
      </c>
      <c r="M26" s="23">
        <f>'[2]А-4'!$AD$25</f>
        <v>0</v>
      </c>
      <c r="N26" s="22">
        <f>L26*10/J26</f>
        <v>0</v>
      </c>
      <c r="O26" s="22">
        <v>0</v>
      </c>
      <c r="P26" s="28">
        <f t="shared" si="8"/>
        <v>0</v>
      </c>
      <c r="Q26" s="28">
        <f t="shared" si="8"/>
        <v>0</v>
      </c>
      <c r="R26" s="23">
        <f t="shared" si="4"/>
        <v>0</v>
      </c>
      <c r="S26" s="23">
        <f t="shared" si="4"/>
        <v>0</v>
      </c>
      <c r="T26" s="16">
        <f t="shared" si="5"/>
        <v>0</v>
      </c>
      <c r="U26" s="26">
        <f t="shared" si="15"/>
        <v>0</v>
      </c>
      <c r="V26" s="9">
        <v>2</v>
      </c>
      <c r="W26" s="26">
        <f t="shared" si="6"/>
        <v>0</v>
      </c>
      <c r="X26" s="53">
        <f t="shared" si="1"/>
        <v>0</v>
      </c>
    </row>
    <row r="27" spans="1:24" ht="12.75">
      <c r="A27" s="30">
        <f t="shared" si="12"/>
        <v>14</v>
      </c>
      <c r="B27" s="282" t="s">
        <v>62</v>
      </c>
      <c r="C27" s="283"/>
      <c r="D27" s="17">
        <f>'[2]А-4'!$F$26</f>
        <v>1</v>
      </c>
      <c r="E27" s="218">
        <v>53</v>
      </c>
      <c r="F27" s="219">
        <f t="shared" si="10"/>
        <v>50.7125929769936</v>
      </c>
      <c r="G27" s="220">
        <f t="shared" si="2"/>
        <v>21.243505198062618</v>
      </c>
      <c r="H27" s="220">
        <f t="shared" si="3"/>
        <v>29.469087778930977</v>
      </c>
      <c r="I27" s="28">
        <f t="shared" si="11"/>
        <v>12.4</v>
      </c>
      <c r="J27" s="18">
        <f>'[2]А-4'!$G$26</f>
        <v>10.9</v>
      </c>
      <c r="K27" s="18">
        <f>'[2]А-4'!$H$26</f>
        <v>1.5</v>
      </c>
      <c r="L27" s="23">
        <f>'[2]А-4'!$R$26</f>
        <v>0</v>
      </c>
      <c r="M27" s="23">
        <f>'[2]А-4'!$AD$26</f>
        <v>0</v>
      </c>
      <c r="N27" s="22">
        <f>L27*10/J27</f>
        <v>0</v>
      </c>
      <c r="O27" s="22">
        <f>ROUND(M27/K27*10,3)</f>
        <v>0</v>
      </c>
      <c r="P27" s="28">
        <f t="shared" si="8"/>
        <v>0</v>
      </c>
      <c r="Q27" s="28">
        <f t="shared" si="8"/>
        <v>0</v>
      </c>
      <c r="R27" s="23">
        <f t="shared" si="4"/>
        <v>0</v>
      </c>
      <c r="S27" s="23">
        <f t="shared" si="4"/>
        <v>0</v>
      </c>
      <c r="T27" s="16">
        <f t="shared" si="5"/>
        <v>0</v>
      </c>
      <c r="U27" s="26">
        <f t="shared" si="15"/>
        <v>0</v>
      </c>
      <c r="V27" s="9">
        <v>4</v>
      </c>
      <c r="W27" s="26">
        <f t="shared" si="6"/>
        <v>0</v>
      </c>
      <c r="X27" s="53">
        <f t="shared" si="1"/>
        <v>0</v>
      </c>
    </row>
    <row r="28" spans="1:24" ht="12.75">
      <c r="A28" s="30">
        <f t="shared" si="12"/>
        <v>15</v>
      </c>
      <c r="B28" s="284" t="s">
        <v>63</v>
      </c>
      <c r="C28" s="285"/>
      <c r="D28" s="17">
        <f>'[2]А-4'!$F$28</f>
        <v>2</v>
      </c>
      <c r="E28" s="218">
        <f>'[4]Норматив и фактически 2009'!$F$30</f>
        <v>101</v>
      </c>
      <c r="F28" s="219">
        <f t="shared" si="10"/>
        <v>96.64097906936516</v>
      </c>
      <c r="G28" s="220">
        <f t="shared" si="2"/>
        <v>40.48290613215706</v>
      </c>
      <c r="H28" s="220">
        <f t="shared" si="3"/>
        <v>56.15807293720809</v>
      </c>
      <c r="I28" s="28">
        <f t="shared" si="11"/>
        <v>22.700000000000003</v>
      </c>
      <c r="J28" s="18">
        <f>'[2]А-4'!$G$28</f>
        <v>18.6</v>
      </c>
      <c r="K28" s="18">
        <f>'[2]А-4'!$H$28</f>
        <v>4.1</v>
      </c>
      <c r="L28" s="23">
        <f>'[2]А-4'!$R$28</f>
        <v>3</v>
      </c>
      <c r="M28" s="23">
        <f>'[2]А-4'!$AD$28</f>
        <v>0</v>
      </c>
      <c r="N28" s="22">
        <f>L28*10/J28</f>
        <v>1.6129032258064515</v>
      </c>
      <c r="O28" s="22">
        <f>ROUND(M28/K28*10,3)</f>
        <v>0</v>
      </c>
      <c r="P28" s="28">
        <f t="shared" si="8"/>
        <v>0.6</v>
      </c>
      <c r="Q28" s="28">
        <f t="shared" si="8"/>
        <v>0</v>
      </c>
      <c r="R28" s="23">
        <f t="shared" si="4"/>
        <v>24</v>
      </c>
      <c r="S28" s="23">
        <f t="shared" si="4"/>
        <v>0</v>
      </c>
      <c r="T28" s="16">
        <f t="shared" si="5"/>
        <v>24</v>
      </c>
      <c r="U28" s="26">
        <f t="shared" si="15"/>
        <v>0</v>
      </c>
      <c r="V28" s="9">
        <v>6</v>
      </c>
      <c r="W28" s="26">
        <f t="shared" si="6"/>
        <v>0</v>
      </c>
      <c r="X28" s="53">
        <f t="shared" si="1"/>
        <v>0.24834185488511792</v>
      </c>
    </row>
    <row r="29" spans="1:24" ht="12.75">
      <c r="A29" s="30">
        <f t="shared" si="12"/>
        <v>16</v>
      </c>
      <c r="B29" s="52" t="s">
        <v>71</v>
      </c>
      <c r="C29" s="52"/>
      <c r="D29" s="17">
        <f>'[2]А-4'!$F$27</f>
        <v>3</v>
      </c>
      <c r="E29" s="218">
        <v>36</v>
      </c>
      <c r="F29" s="219">
        <f t="shared" si="10"/>
        <v>34.44628956927867</v>
      </c>
      <c r="G29" s="220">
        <f t="shared" si="2"/>
        <v>14.429550700570834</v>
      </c>
      <c r="H29" s="220">
        <f t="shared" si="3"/>
        <v>20.016738868707833</v>
      </c>
      <c r="I29" s="28">
        <f t="shared" si="11"/>
        <v>35.199999999999996</v>
      </c>
      <c r="J29" s="18">
        <f>'[2]А-4'!$G$27</f>
        <v>31.299999999999997</v>
      </c>
      <c r="K29" s="18">
        <f>'[2]А-4'!$H$27</f>
        <v>3.9</v>
      </c>
      <c r="L29" s="23">
        <f>'[2]А-4'!$R$27</f>
        <v>2</v>
      </c>
      <c r="M29" s="23">
        <f>'[2]А-4'!$AD$27</f>
        <v>0</v>
      </c>
      <c r="N29" s="22">
        <f>L29*10/J29</f>
        <v>0.6389776357827477</v>
      </c>
      <c r="O29" s="22">
        <f>ROUND(M29/K29*10,3)</f>
        <v>0</v>
      </c>
      <c r="P29" s="28">
        <f t="shared" si="8"/>
        <v>0.2</v>
      </c>
      <c r="Q29" s="28">
        <f t="shared" si="8"/>
        <v>0</v>
      </c>
      <c r="R29" s="23">
        <f t="shared" si="4"/>
        <v>2</v>
      </c>
      <c r="S29" s="23">
        <f t="shared" si="4"/>
        <v>0</v>
      </c>
      <c r="T29" s="16">
        <f t="shared" si="5"/>
        <v>2</v>
      </c>
      <c r="U29" s="26">
        <f t="shared" si="15"/>
        <v>0</v>
      </c>
      <c r="V29" s="9"/>
      <c r="W29" s="26">
        <f>U29</f>
        <v>0</v>
      </c>
      <c r="X29" s="53">
        <f t="shared" si="1"/>
        <v>0.05806140588749285</v>
      </c>
    </row>
    <row r="30" spans="1:24" ht="12.75">
      <c r="A30" s="30">
        <f t="shared" si="12"/>
        <v>17</v>
      </c>
      <c r="B30" s="147" t="s">
        <v>13</v>
      </c>
      <c r="C30" s="148"/>
      <c r="D30" s="18">
        <f>'[2]А-4'!$F$33</f>
        <v>0</v>
      </c>
      <c r="E30" s="218">
        <f>'[4]Норматив и фактически 2009'!$F$35</f>
        <v>161</v>
      </c>
      <c r="F30" s="219">
        <f t="shared" si="10"/>
        <v>154.0514616848296</v>
      </c>
      <c r="G30" s="220">
        <f t="shared" si="2"/>
        <v>64.53215729977512</v>
      </c>
      <c r="H30" s="220">
        <f t="shared" si="3"/>
        <v>89.51930438505447</v>
      </c>
      <c r="I30" s="28">
        <f t="shared" si="11"/>
        <v>0</v>
      </c>
      <c r="J30" s="18">
        <f>'[2]А-4'!$G$33</f>
        <v>0</v>
      </c>
      <c r="K30" s="18">
        <f>'[2]А-4'!$H$33</f>
        <v>0</v>
      </c>
      <c r="L30" s="23">
        <f>'[2]А-4'!$R$33</f>
        <v>0</v>
      </c>
      <c r="M30" s="23">
        <f>'[2]А-4'!$AD$33</f>
        <v>0</v>
      </c>
      <c r="N30" s="22">
        <v>0</v>
      </c>
      <c r="O30" s="22">
        <v>0</v>
      </c>
      <c r="P30" s="28">
        <f t="shared" si="8"/>
        <v>0</v>
      </c>
      <c r="Q30" s="28">
        <f t="shared" si="8"/>
        <v>0</v>
      </c>
      <c r="R30" s="23">
        <f t="shared" si="4"/>
        <v>0</v>
      </c>
      <c r="S30" s="23">
        <f t="shared" si="4"/>
        <v>0</v>
      </c>
      <c r="T30" s="16">
        <f t="shared" si="5"/>
        <v>0</v>
      </c>
      <c r="U30" s="26">
        <f t="shared" si="15"/>
        <v>0</v>
      </c>
      <c r="V30" s="9"/>
      <c r="W30" s="26">
        <f aca="true" t="shared" si="16" ref="W30:W36">IF(V30&lt;=U30,V30,U30)</f>
        <v>0</v>
      </c>
      <c r="X30" s="53">
        <f t="shared" si="1"/>
        <v>0</v>
      </c>
    </row>
    <row r="31" spans="1:24" ht="12.75">
      <c r="A31" s="30">
        <f t="shared" si="12"/>
        <v>18</v>
      </c>
      <c r="B31" s="147" t="s">
        <v>14</v>
      </c>
      <c r="C31" s="148"/>
      <c r="D31" s="17">
        <f>'[2]А-4'!$F$34</f>
        <v>0</v>
      </c>
      <c r="E31" s="218">
        <v>681</v>
      </c>
      <c r="F31" s="219">
        <f t="shared" si="10"/>
        <v>651.6089776855215</v>
      </c>
      <c r="G31" s="220">
        <f t="shared" si="2"/>
        <v>272.95900075246493</v>
      </c>
      <c r="H31" s="220">
        <f t="shared" si="3"/>
        <v>378.6499769330565</v>
      </c>
      <c r="I31" s="28">
        <f t="shared" si="11"/>
        <v>0</v>
      </c>
      <c r="J31" s="18">
        <f>'[2]А-4'!$G$34</f>
        <v>0</v>
      </c>
      <c r="K31" s="18">
        <f>'[2]А-4'!$H$34</f>
        <v>0</v>
      </c>
      <c r="L31" s="23">
        <f>'[2]А-4'!$R$34</f>
        <v>0</v>
      </c>
      <c r="M31" s="23">
        <f>'[2]А-4'!$AD$34</f>
        <v>0</v>
      </c>
      <c r="N31" s="22">
        <v>0</v>
      </c>
      <c r="O31" s="22">
        <v>0</v>
      </c>
      <c r="P31" s="28">
        <f t="shared" si="8"/>
        <v>0</v>
      </c>
      <c r="Q31" s="28">
        <f t="shared" si="8"/>
        <v>0</v>
      </c>
      <c r="R31" s="23">
        <f t="shared" si="4"/>
        <v>0</v>
      </c>
      <c r="S31" s="23">
        <f t="shared" si="4"/>
        <v>0</v>
      </c>
      <c r="T31" s="16">
        <f t="shared" si="5"/>
        <v>0</v>
      </c>
      <c r="U31" s="26">
        <f t="shared" si="15"/>
        <v>0</v>
      </c>
      <c r="V31" s="9"/>
      <c r="W31" s="26">
        <f t="shared" si="16"/>
        <v>0</v>
      </c>
      <c r="X31" s="53">
        <f t="shared" si="1"/>
        <v>0</v>
      </c>
    </row>
    <row r="32" spans="1:24" ht="12.75">
      <c r="A32" s="30">
        <f t="shared" si="12"/>
        <v>19</v>
      </c>
      <c r="B32" s="243" t="s">
        <v>16</v>
      </c>
      <c r="C32" s="244"/>
      <c r="D32" s="17">
        <f>'[2]А-4'!$F$48</f>
        <v>3</v>
      </c>
      <c r="E32" s="218">
        <v>45</v>
      </c>
      <c r="F32" s="219">
        <f t="shared" si="10"/>
        <v>43.05786196159834</v>
      </c>
      <c r="G32" s="220">
        <f t="shared" si="2"/>
        <v>18.036938375713547</v>
      </c>
      <c r="H32" s="220">
        <f t="shared" si="3"/>
        <v>25.020923585884795</v>
      </c>
      <c r="I32" s="28">
        <f t="shared" si="11"/>
        <v>33.2</v>
      </c>
      <c r="J32" s="18">
        <f>'[2]А-4'!$G$48</f>
        <v>0</v>
      </c>
      <c r="K32" s="18">
        <f>'[2]А-4'!$H$48</f>
        <v>33.2</v>
      </c>
      <c r="L32" s="23">
        <f>'[2]А-4'!$R$48</f>
        <v>0</v>
      </c>
      <c r="M32" s="23">
        <f>'[2]А-4'!$AD$48</f>
        <v>0</v>
      </c>
      <c r="N32" s="22">
        <v>0</v>
      </c>
      <c r="O32" s="22">
        <f>ROUND(M32/K32*10,3)</f>
        <v>0</v>
      </c>
      <c r="P32" s="28">
        <f t="shared" si="8"/>
        <v>0</v>
      </c>
      <c r="Q32" s="28">
        <f t="shared" si="8"/>
        <v>0</v>
      </c>
      <c r="R32" s="23">
        <f t="shared" si="4"/>
        <v>0</v>
      </c>
      <c r="S32" s="23">
        <f t="shared" si="4"/>
        <v>0</v>
      </c>
      <c r="T32" s="16">
        <f t="shared" si="5"/>
        <v>0</v>
      </c>
      <c r="U32" s="26">
        <f t="shared" si="15"/>
        <v>0</v>
      </c>
      <c r="V32" s="36"/>
      <c r="W32" s="26">
        <f t="shared" si="16"/>
        <v>0</v>
      </c>
      <c r="X32" s="53">
        <f t="shared" si="1"/>
        <v>0</v>
      </c>
    </row>
    <row r="33" spans="1:24" ht="12.75">
      <c r="A33" s="30">
        <f t="shared" si="12"/>
        <v>20</v>
      </c>
      <c r="B33" s="35" t="s">
        <v>75</v>
      </c>
      <c r="C33" s="36"/>
      <c r="D33" s="18">
        <f>'[2]А-4'!$F$43</f>
        <v>3</v>
      </c>
      <c r="E33" s="28">
        <v>120</v>
      </c>
      <c r="F33" s="219">
        <f t="shared" si="10"/>
        <v>114.8209652309289</v>
      </c>
      <c r="G33" s="220">
        <f t="shared" si="2"/>
        <v>48.09850233523612</v>
      </c>
      <c r="H33" s="220">
        <f t="shared" si="3"/>
        <v>66.72246289569279</v>
      </c>
      <c r="I33" s="28">
        <f t="shared" si="11"/>
        <v>30.46</v>
      </c>
      <c r="J33" s="18">
        <f>'[2]А-4'!$G$43</f>
        <v>17.79</v>
      </c>
      <c r="K33" s="18">
        <f>'[2]А-4'!$H$43</f>
        <v>12.67</v>
      </c>
      <c r="L33" s="23">
        <f>'[2]А-4'!$R$43</f>
        <v>0</v>
      </c>
      <c r="M33" s="23">
        <f>'[2]А-4'!$AD$43</f>
        <v>0</v>
      </c>
      <c r="N33" s="22">
        <f aca="true" t="shared" si="17" ref="N33:N40">L33*10/J33</f>
        <v>0</v>
      </c>
      <c r="O33" s="22">
        <f>ROUND(M33/K33*10,3)</f>
        <v>0</v>
      </c>
      <c r="P33" s="28">
        <f t="shared" si="8"/>
        <v>0</v>
      </c>
      <c r="Q33" s="28">
        <f t="shared" si="8"/>
        <v>0</v>
      </c>
      <c r="R33" s="23">
        <f t="shared" si="4"/>
        <v>0</v>
      </c>
      <c r="S33" s="23">
        <f t="shared" si="4"/>
        <v>0</v>
      </c>
      <c r="T33" s="16">
        <f t="shared" si="5"/>
        <v>0</v>
      </c>
      <c r="U33" s="26">
        <f t="shared" si="15"/>
        <v>0</v>
      </c>
      <c r="V33" s="7"/>
      <c r="W33" s="26">
        <f>U33</f>
        <v>0</v>
      </c>
      <c r="X33" s="53">
        <f t="shared" si="1"/>
        <v>0</v>
      </c>
    </row>
    <row r="34" spans="1:24" ht="12.75">
      <c r="A34" s="30">
        <f t="shared" si="12"/>
        <v>21</v>
      </c>
      <c r="B34" s="35" t="s">
        <v>64</v>
      </c>
      <c r="C34" s="36"/>
      <c r="D34" s="17">
        <f>'[2]А-4'!$F$45</f>
        <v>3</v>
      </c>
      <c r="E34" s="218">
        <f>'[4]Норматив и фактически 2009'!$F$40</f>
        <v>125</v>
      </c>
      <c r="F34" s="219">
        <f t="shared" si="10"/>
        <v>119.60517211555094</v>
      </c>
      <c r="G34" s="220">
        <f t="shared" si="2"/>
        <v>50.102606599204286</v>
      </c>
      <c r="H34" s="220">
        <f t="shared" si="3"/>
        <v>69.50256551634665</v>
      </c>
      <c r="I34" s="28">
        <f t="shared" si="11"/>
        <v>30.400000000000002</v>
      </c>
      <c r="J34" s="18">
        <f>'[2]А-4'!$G$45</f>
        <v>25.1</v>
      </c>
      <c r="K34" s="18">
        <f>'[2]А-4'!$H$45</f>
        <v>5.3</v>
      </c>
      <c r="L34" s="23">
        <f>'[2]А-4'!$R$45</f>
        <v>5</v>
      </c>
      <c r="M34" s="23">
        <f>'[2]А-4'!$AD$45</f>
        <v>0</v>
      </c>
      <c r="N34" s="22">
        <f t="shared" si="17"/>
        <v>1.99203187250996</v>
      </c>
      <c r="O34" s="22">
        <f>ROUND(M34/K34*10,3)</f>
        <v>0</v>
      </c>
      <c r="P34" s="28">
        <f t="shared" si="8"/>
        <v>0.7</v>
      </c>
      <c r="Q34" s="28">
        <f t="shared" si="8"/>
        <v>0</v>
      </c>
      <c r="R34" s="23">
        <f t="shared" si="4"/>
        <v>35</v>
      </c>
      <c r="S34" s="23">
        <f t="shared" si="4"/>
        <v>0</v>
      </c>
      <c r="T34" s="16">
        <f t="shared" si="5"/>
        <v>35</v>
      </c>
      <c r="U34" s="26">
        <f t="shared" si="15"/>
        <v>6</v>
      </c>
      <c r="V34" s="9"/>
      <c r="W34" s="26">
        <f>U34</f>
        <v>6</v>
      </c>
      <c r="X34" s="53">
        <f t="shared" si="1"/>
        <v>0.29262948567296393</v>
      </c>
    </row>
    <row r="35" spans="1:24" ht="12.75">
      <c r="A35" s="30">
        <f t="shared" si="12"/>
        <v>22</v>
      </c>
      <c r="B35" s="147" t="s">
        <v>29</v>
      </c>
      <c r="C35" s="149"/>
      <c r="D35" s="17">
        <f>'[2]А-4'!$F$29</f>
        <v>0</v>
      </c>
      <c r="E35" s="218">
        <v>24</v>
      </c>
      <c r="F35" s="219">
        <f t="shared" si="10"/>
        <v>22.96419304618578</v>
      </c>
      <c r="G35" s="220">
        <f t="shared" si="2"/>
        <v>9.619700467047224</v>
      </c>
      <c r="H35" s="220">
        <f t="shared" si="3"/>
        <v>13.344492579138556</v>
      </c>
      <c r="I35" s="28">
        <f t="shared" si="11"/>
        <v>0</v>
      </c>
      <c r="J35" s="18">
        <f>'[2]А-4'!$G$29</f>
        <v>0</v>
      </c>
      <c r="K35" s="18">
        <f>'[2]А-4'!$H$29</f>
        <v>0</v>
      </c>
      <c r="L35" s="23">
        <f>'[2]А-4'!$R$29</f>
        <v>0</v>
      </c>
      <c r="M35" s="23">
        <f>'[2]А-4'!$AD$27</f>
        <v>0</v>
      </c>
      <c r="N35" s="22">
        <v>0</v>
      </c>
      <c r="O35" s="22">
        <v>0</v>
      </c>
      <c r="P35" s="28">
        <f t="shared" si="8"/>
        <v>0</v>
      </c>
      <c r="Q35" s="28">
        <f t="shared" si="8"/>
        <v>0</v>
      </c>
      <c r="R35" s="23">
        <f t="shared" si="4"/>
        <v>0</v>
      </c>
      <c r="S35" s="23">
        <f t="shared" si="4"/>
        <v>0</v>
      </c>
      <c r="T35" s="16">
        <f t="shared" si="5"/>
        <v>0</v>
      </c>
      <c r="U35" s="26">
        <f t="shared" si="15"/>
        <v>0</v>
      </c>
      <c r="V35" s="9"/>
      <c r="W35" s="26">
        <f t="shared" si="16"/>
        <v>0</v>
      </c>
      <c r="X35" s="53">
        <f t="shared" si="1"/>
        <v>0</v>
      </c>
    </row>
    <row r="36" spans="1:24" s="29" customFormat="1" ht="14.25" customHeight="1">
      <c r="A36" s="30">
        <f t="shared" si="12"/>
        <v>23</v>
      </c>
      <c r="B36" s="35" t="s">
        <v>15</v>
      </c>
      <c r="C36" s="36"/>
      <c r="D36" s="18">
        <f>'[2]А-4'!$F$37</f>
        <v>4</v>
      </c>
      <c r="E36" s="28">
        <f>'[4]Норматив и фактически 2009'!$F$41</f>
        <v>240</v>
      </c>
      <c r="F36" s="219">
        <f t="shared" si="10"/>
        <v>229.6419304618578</v>
      </c>
      <c r="G36" s="220">
        <f t="shared" si="2"/>
        <v>96.19700467047224</v>
      </c>
      <c r="H36" s="220">
        <f t="shared" si="3"/>
        <v>133.44492579138557</v>
      </c>
      <c r="I36" s="28">
        <f t="shared" si="11"/>
        <v>39.8</v>
      </c>
      <c r="J36" s="18">
        <f>'[2]А-4'!$G$37</f>
        <v>29.3</v>
      </c>
      <c r="K36" s="18">
        <f>'[2]А-4'!$H$37</f>
        <v>10.5</v>
      </c>
      <c r="L36" s="23">
        <f>'[2]А-4'!$R$37</f>
        <v>4</v>
      </c>
      <c r="M36" s="23">
        <f>'[2]А-4'!$AD$37</f>
        <v>0</v>
      </c>
      <c r="N36" s="22">
        <f t="shared" si="17"/>
        <v>1.36518771331058</v>
      </c>
      <c r="O36" s="22">
        <f>ROUND(M36/K36*10,3)</f>
        <v>0</v>
      </c>
      <c r="P36" s="28">
        <f t="shared" si="8"/>
        <v>0.5</v>
      </c>
      <c r="Q36" s="28">
        <f t="shared" si="8"/>
        <v>0</v>
      </c>
      <c r="R36" s="23">
        <f t="shared" si="4"/>
        <v>48</v>
      </c>
      <c r="S36" s="23">
        <f t="shared" si="4"/>
        <v>0</v>
      </c>
      <c r="T36" s="16">
        <f t="shared" si="5"/>
        <v>48</v>
      </c>
      <c r="U36" s="26">
        <f t="shared" si="15"/>
        <v>8</v>
      </c>
      <c r="V36" s="7">
        <v>27</v>
      </c>
      <c r="W36" s="26">
        <f t="shared" si="16"/>
        <v>8</v>
      </c>
      <c r="X36" s="53">
        <f t="shared" si="1"/>
        <v>0.20902106119497424</v>
      </c>
    </row>
    <row r="37" spans="1:24" ht="12.75" customHeight="1">
      <c r="A37" s="30">
        <f t="shared" si="12"/>
        <v>24</v>
      </c>
      <c r="B37" s="35" t="s">
        <v>73</v>
      </c>
      <c r="C37" s="36"/>
      <c r="D37" s="18">
        <f>'[2]А-4'!$F$35</f>
        <v>3</v>
      </c>
      <c r="E37" s="28">
        <v>67</v>
      </c>
      <c r="F37" s="219">
        <f t="shared" si="10"/>
        <v>64.1083722539353</v>
      </c>
      <c r="G37" s="220">
        <f t="shared" si="2"/>
        <v>26.8549971371735</v>
      </c>
      <c r="H37" s="220">
        <f t="shared" si="3"/>
        <v>37.2533751167618</v>
      </c>
      <c r="I37" s="28">
        <f t="shared" si="11"/>
        <v>26.700000000000003</v>
      </c>
      <c r="J37" s="18">
        <f>'[2]А-4'!$G$35</f>
        <v>21.8</v>
      </c>
      <c r="K37" s="18">
        <f>'[2]А-4'!$H$35</f>
        <v>4.9</v>
      </c>
      <c r="L37" s="23">
        <f>'[2]А-4'!$R$35</f>
        <v>0</v>
      </c>
      <c r="M37" s="23">
        <f>'[2]А-4'!$AD$35</f>
        <v>0</v>
      </c>
      <c r="N37" s="22">
        <f t="shared" si="17"/>
        <v>0</v>
      </c>
      <c r="O37" s="22">
        <f>ROUND(M37/K37*10,3)</f>
        <v>0</v>
      </c>
      <c r="P37" s="28">
        <f t="shared" si="8"/>
        <v>0</v>
      </c>
      <c r="Q37" s="28">
        <f t="shared" si="8"/>
        <v>0</v>
      </c>
      <c r="R37" s="23">
        <f t="shared" si="4"/>
        <v>0</v>
      </c>
      <c r="S37" s="23">
        <f t="shared" si="4"/>
        <v>0</v>
      </c>
      <c r="T37" s="16">
        <f t="shared" si="5"/>
        <v>0</v>
      </c>
      <c r="U37" s="26">
        <f t="shared" si="15"/>
        <v>0</v>
      </c>
      <c r="V37" s="9"/>
      <c r="W37" s="26">
        <f>U37</f>
        <v>0</v>
      </c>
      <c r="X37" s="53">
        <f t="shared" si="1"/>
        <v>0</v>
      </c>
    </row>
    <row r="38" spans="1:24" ht="12.75">
      <c r="A38" s="30">
        <f t="shared" si="12"/>
        <v>25</v>
      </c>
      <c r="B38" s="288" t="s">
        <v>17</v>
      </c>
      <c r="C38" s="289"/>
      <c r="D38" s="17">
        <f>'[2]А-4'!$F$49</f>
        <v>3</v>
      </c>
      <c r="E38" s="226">
        <v>72</v>
      </c>
      <c r="F38" s="219">
        <f t="shared" si="10"/>
        <v>68.89257913855734</v>
      </c>
      <c r="G38" s="220">
        <f t="shared" si="2"/>
        <v>28.859101401141668</v>
      </c>
      <c r="H38" s="220">
        <f t="shared" si="3"/>
        <v>40.033477737415666</v>
      </c>
      <c r="I38" s="28">
        <f t="shared" si="11"/>
        <v>36</v>
      </c>
      <c r="J38" s="18">
        <f>'[2]А-4'!$G$49</f>
        <v>22.4</v>
      </c>
      <c r="K38" s="18">
        <f>'[2]А-4'!$H$49</f>
        <v>13.600000000000001</v>
      </c>
      <c r="L38" s="23">
        <f>'[2]А-4'!$R$49</f>
        <v>9</v>
      </c>
      <c r="M38" s="23">
        <f>'[2]А-4'!$AD$49</f>
        <v>0</v>
      </c>
      <c r="N38" s="22">
        <f t="shared" si="17"/>
        <v>4.017857142857143</v>
      </c>
      <c r="O38" s="22">
        <f>ROUND(M38/K38*10,3)</f>
        <v>0</v>
      </c>
      <c r="P38" s="28">
        <f t="shared" si="8"/>
        <v>1.4</v>
      </c>
      <c r="Q38" s="28">
        <f t="shared" si="8"/>
        <v>0</v>
      </c>
      <c r="R38" s="23">
        <f t="shared" si="4"/>
        <v>40</v>
      </c>
      <c r="S38" s="23">
        <f t="shared" si="4"/>
        <v>0</v>
      </c>
      <c r="T38" s="16">
        <f t="shared" si="5"/>
        <v>40</v>
      </c>
      <c r="U38" s="26">
        <v>0</v>
      </c>
      <c r="V38" s="9"/>
      <c r="W38" s="26">
        <f aca="true" t="shared" si="18" ref="W38:W49">IF(V38&lt;=U38,V38,U38)</f>
        <v>0</v>
      </c>
      <c r="X38" s="53">
        <f t="shared" si="1"/>
        <v>0.5806140588749285</v>
      </c>
    </row>
    <row r="39" spans="1:24" s="29" customFormat="1" ht="12.75">
      <c r="A39" s="30">
        <f t="shared" si="12"/>
        <v>26</v>
      </c>
      <c r="B39" s="38" t="s">
        <v>31</v>
      </c>
      <c r="C39" s="39"/>
      <c r="D39" s="18">
        <f>'[2]А-4'!$F$41</f>
        <v>3</v>
      </c>
      <c r="E39" s="28">
        <v>48</v>
      </c>
      <c r="F39" s="219">
        <f t="shared" si="10"/>
        <v>45.92838609237156</v>
      </c>
      <c r="G39" s="220">
        <f t="shared" si="2"/>
        <v>19.239400934094448</v>
      </c>
      <c r="H39" s="220">
        <f t="shared" si="3"/>
        <v>26.688985158277113</v>
      </c>
      <c r="I39" s="28">
        <f t="shared" si="11"/>
        <v>30.3</v>
      </c>
      <c r="J39" s="18">
        <f>'[2]А-4'!$G$41</f>
        <v>26.7</v>
      </c>
      <c r="K39" s="18">
        <f>'[2]А-4'!$H$41</f>
        <v>3.6</v>
      </c>
      <c r="L39" s="23">
        <f>'[2]А-4'!$R$41</f>
        <v>15</v>
      </c>
      <c r="M39" s="23">
        <f>'[2]А-4'!$AD$41</f>
        <v>0</v>
      </c>
      <c r="N39" s="22">
        <f t="shared" si="17"/>
        <v>5.617977528089888</v>
      </c>
      <c r="O39" s="22">
        <f>ROUND(M39/K39*10,3)</f>
        <v>0</v>
      </c>
      <c r="P39" s="28">
        <f t="shared" si="8"/>
        <v>2</v>
      </c>
      <c r="Q39" s="28">
        <f t="shared" si="8"/>
        <v>0</v>
      </c>
      <c r="R39" s="23">
        <f t="shared" si="4"/>
        <v>38</v>
      </c>
      <c r="S39" s="23">
        <f t="shared" si="4"/>
        <v>0</v>
      </c>
      <c r="T39" s="16">
        <f t="shared" si="5"/>
        <v>38</v>
      </c>
      <c r="U39" s="26">
        <f t="shared" si="15"/>
        <v>6</v>
      </c>
      <c r="V39" s="7">
        <v>6</v>
      </c>
      <c r="W39" s="26">
        <f t="shared" si="18"/>
        <v>6</v>
      </c>
      <c r="X39" s="53">
        <f t="shared" si="1"/>
        <v>0.827375033896773</v>
      </c>
    </row>
    <row r="40" spans="1:24" ht="17.25" customHeight="1">
      <c r="A40" s="30">
        <f t="shared" si="12"/>
        <v>27</v>
      </c>
      <c r="B40" s="35" t="s">
        <v>59</v>
      </c>
      <c r="C40" s="36"/>
      <c r="D40" s="18">
        <f>'[2]А-4'!$F$42</f>
        <v>3</v>
      </c>
      <c r="E40" s="218">
        <v>140</v>
      </c>
      <c r="F40" s="219">
        <f t="shared" si="10"/>
        <v>133.95779276941704</v>
      </c>
      <c r="G40" s="220">
        <f t="shared" si="2"/>
        <v>56.1149193911088</v>
      </c>
      <c r="H40" s="220">
        <f t="shared" si="3"/>
        <v>77.84287337830824</v>
      </c>
      <c r="I40" s="28">
        <f t="shared" si="11"/>
        <v>31.789999999999996</v>
      </c>
      <c r="J40" s="18">
        <f>'[2]А-4'!$G$42</f>
        <v>15.489999999999998</v>
      </c>
      <c r="K40" s="18">
        <f>'[2]А-4'!$H$42</f>
        <v>16.299999999999997</v>
      </c>
      <c r="L40" s="23">
        <f>'[2]А-4'!$R$42</f>
        <v>6</v>
      </c>
      <c r="M40" s="23">
        <f>'[2]А-4'!$AD$42</f>
        <v>0</v>
      </c>
      <c r="N40" s="22">
        <f t="shared" si="17"/>
        <v>3.873466752743706</v>
      </c>
      <c r="O40" s="22">
        <f>ROUND(M40/K40*10,3)</f>
        <v>0</v>
      </c>
      <c r="P40" s="28">
        <f t="shared" si="8"/>
        <v>1.4</v>
      </c>
      <c r="Q40" s="28">
        <f t="shared" si="8"/>
        <v>0</v>
      </c>
      <c r="R40" s="23">
        <f t="shared" si="4"/>
        <v>78</v>
      </c>
      <c r="S40" s="23">
        <f t="shared" si="4"/>
        <v>0</v>
      </c>
      <c r="T40" s="16">
        <f t="shared" si="5"/>
        <v>78</v>
      </c>
      <c r="U40" s="26">
        <f t="shared" si="15"/>
        <v>14</v>
      </c>
      <c r="V40" s="9"/>
      <c r="W40" s="26">
        <f>U40</f>
        <v>14</v>
      </c>
      <c r="X40" s="53">
        <f t="shared" si="1"/>
        <v>0.5822729561859997</v>
      </c>
    </row>
    <row r="41" spans="1:24" ht="17.25" customHeight="1">
      <c r="A41" s="30">
        <f t="shared" si="12"/>
        <v>28</v>
      </c>
      <c r="B41" s="286" t="s">
        <v>74</v>
      </c>
      <c r="C41" s="287"/>
      <c r="D41" s="18">
        <f>'[2]А-4'!$F$36</f>
        <v>0</v>
      </c>
      <c r="E41" s="227">
        <v>55.21</v>
      </c>
      <c r="F41" s="219">
        <f t="shared" si="10"/>
        <v>52.82721241999654</v>
      </c>
      <c r="G41" s="220">
        <f t="shared" si="2"/>
        <v>22.12931928273655</v>
      </c>
      <c r="H41" s="220">
        <f t="shared" si="3"/>
        <v>30.69789313725999</v>
      </c>
      <c r="I41" s="28">
        <f t="shared" si="11"/>
        <v>0</v>
      </c>
      <c r="J41" s="18">
        <f>'[2]А-4'!$G$36</f>
        <v>0</v>
      </c>
      <c r="K41" s="18">
        <f>'[2]А-4'!$H$36</f>
        <v>0</v>
      </c>
      <c r="L41" s="23">
        <f>'[2]А-4'!$R$36</f>
        <v>0</v>
      </c>
      <c r="M41" s="23">
        <f>'[2]А-4'!$AD$36</f>
        <v>0</v>
      </c>
      <c r="N41" s="22">
        <v>0</v>
      </c>
      <c r="O41" s="22">
        <v>0</v>
      </c>
      <c r="P41" s="28">
        <f t="shared" si="8"/>
        <v>0</v>
      </c>
      <c r="Q41" s="28">
        <f t="shared" si="8"/>
        <v>0</v>
      </c>
      <c r="R41" s="23">
        <f t="shared" si="4"/>
        <v>0</v>
      </c>
      <c r="S41" s="23">
        <f t="shared" si="4"/>
        <v>0</v>
      </c>
      <c r="T41" s="16">
        <f t="shared" si="5"/>
        <v>0</v>
      </c>
      <c r="U41" s="26">
        <f t="shared" si="15"/>
        <v>0</v>
      </c>
      <c r="V41" s="9"/>
      <c r="W41" s="26">
        <f t="shared" si="18"/>
        <v>0</v>
      </c>
      <c r="X41" s="53">
        <f t="shared" si="1"/>
        <v>0</v>
      </c>
    </row>
    <row r="42" spans="1:24" ht="12.75">
      <c r="A42" s="30">
        <f t="shared" si="12"/>
        <v>29</v>
      </c>
      <c r="B42" s="35" t="s">
        <v>114</v>
      </c>
      <c r="C42" s="36"/>
      <c r="D42" s="18">
        <f>'[2]А-4'!$F$39</f>
        <v>3</v>
      </c>
      <c r="E42" s="218">
        <v>118</v>
      </c>
      <c r="F42" s="219">
        <f t="shared" si="10"/>
        <v>112.90728247708009</v>
      </c>
      <c r="G42" s="220">
        <f t="shared" si="2"/>
        <v>47.29686062964885</v>
      </c>
      <c r="H42" s="220">
        <f t="shared" si="3"/>
        <v>65.61042184743124</v>
      </c>
      <c r="I42" s="28">
        <f t="shared" si="11"/>
        <v>31.5</v>
      </c>
      <c r="J42" s="18">
        <f>'[2]А-4'!$G$39</f>
        <v>31.5</v>
      </c>
      <c r="K42" s="18">
        <f>'[2]А-4'!$H$39</f>
        <v>0</v>
      </c>
      <c r="L42" s="23">
        <f>'[2]А-4'!$R$39</f>
        <v>21</v>
      </c>
      <c r="M42" s="23">
        <f>'[2]А-4'!$AD$39</f>
        <v>0</v>
      </c>
      <c r="N42" s="22">
        <f aca="true" t="shared" si="19" ref="N42:N47">L42*10/J42</f>
        <v>6.666666666666667</v>
      </c>
      <c r="O42" s="22">
        <v>0</v>
      </c>
      <c r="P42" s="28">
        <f t="shared" si="8"/>
        <v>2.3</v>
      </c>
      <c r="Q42" s="28">
        <f t="shared" si="8"/>
        <v>0</v>
      </c>
      <c r="R42" s="23">
        <f t="shared" si="4"/>
        <v>108</v>
      </c>
      <c r="S42" s="23">
        <f t="shared" si="4"/>
        <v>0</v>
      </c>
      <c r="T42" s="16">
        <f t="shared" si="5"/>
        <v>108</v>
      </c>
      <c r="U42" s="26">
        <f t="shared" si="15"/>
        <v>19</v>
      </c>
      <c r="V42" s="9">
        <v>4</v>
      </c>
      <c r="W42" s="26">
        <f t="shared" si="18"/>
        <v>4</v>
      </c>
      <c r="X42" s="53">
        <f t="shared" si="1"/>
        <v>0.9565370597058144</v>
      </c>
    </row>
    <row r="43" spans="1:24" ht="12.75">
      <c r="A43" s="30">
        <f t="shared" si="12"/>
        <v>30</v>
      </c>
      <c r="B43" s="40" t="s">
        <v>113</v>
      </c>
      <c r="C43" s="36"/>
      <c r="D43" s="18">
        <f>'[2]А-4'!$F$38</f>
        <v>1</v>
      </c>
      <c r="E43" s="218">
        <f>'[5]Норматив и фактически 2011'!$F$58</f>
        <v>282</v>
      </c>
      <c r="F43" s="219">
        <f t="shared" si="10"/>
        <v>269.8292682926829</v>
      </c>
      <c r="G43" s="220">
        <f t="shared" si="2"/>
        <v>113.03148048780487</v>
      </c>
      <c r="H43" s="220">
        <f t="shared" si="3"/>
        <v>156.79778780487803</v>
      </c>
      <c r="I43" s="28">
        <f t="shared" si="11"/>
        <v>8</v>
      </c>
      <c r="J43" s="18">
        <f>'[2]А-4'!$G$38</f>
        <v>8</v>
      </c>
      <c r="K43" s="18">
        <f>'[2]А-4'!$H$38</f>
        <v>0</v>
      </c>
      <c r="L43" s="23">
        <f>'[2]А-4'!$R$38</f>
        <v>8</v>
      </c>
      <c r="M43" s="23">
        <f>'[2]А-4'!$AD$38</f>
        <v>0</v>
      </c>
      <c r="N43" s="22">
        <f t="shared" si="19"/>
        <v>10</v>
      </c>
      <c r="O43" s="22">
        <v>0</v>
      </c>
      <c r="P43" s="28">
        <f t="shared" si="8"/>
        <v>3.5</v>
      </c>
      <c r="Q43" s="28">
        <f t="shared" si="8"/>
        <v>0</v>
      </c>
      <c r="R43" s="23">
        <f t="shared" si="4"/>
        <v>395</v>
      </c>
      <c r="S43" s="23">
        <f t="shared" si="4"/>
        <v>0</v>
      </c>
      <c r="T43" s="16">
        <f t="shared" si="5"/>
        <v>395</v>
      </c>
      <c r="U43" s="26">
        <f t="shared" si="15"/>
        <v>71</v>
      </c>
      <c r="V43" s="9">
        <v>6</v>
      </c>
      <c r="W43" s="26">
        <f t="shared" si="18"/>
        <v>6</v>
      </c>
      <c r="X43" s="53">
        <f t="shared" si="1"/>
        <v>1.4638886378016813</v>
      </c>
    </row>
    <row r="44" spans="1:24" s="29" customFormat="1" ht="15" customHeight="1">
      <c r="A44" s="30">
        <f t="shared" si="12"/>
        <v>31</v>
      </c>
      <c r="B44" s="35" t="s">
        <v>32</v>
      </c>
      <c r="C44" s="36"/>
      <c r="D44" s="18">
        <f>'[2]А-4'!$F$40</f>
        <v>6</v>
      </c>
      <c r="E44" s="28">
        <f>'[5]Норматив и фактически 2011'!$F$32</f>
        <v>103</v>
      </c>
      <c r="F44" s="219">
        <f t="shared" si="10"/>
        <v>98.55466182321398</v>
      </c>
      <c r="G44" s="220">
        <f t="shared" si="2"/>
        <v>41.284547837744334</v>
      </c>
      <c r="H44" s="220">
        <f t="shared" si="3"/>
        <v>57.270113985469635</v>
      </c>
      <c r="I44" s="28">
        <f t="shared" si="11"/>
        <v>37.099999999999994</v>
      </c>
      <c r="J44" s="18">
        <f>'[2]А-4'!$G$40</f>
        <v>31.58</v>
      </c>
      <c r="K44" s="18">
        <f>'[2]А-4'!$H$40</f>
        <v>5.52</v>
      </c>
      <c r="L44" s="23">
        <f>'[2]А-4'!$R$40</f>
        <v>13</v>
      </c>
      <c r="M44" s="23">
        <f>'[2]А-4'!$AD$40</f>
        <v>0</v>
      </c>
      <c r="N44" s="22">
        <f t="shared" si="19"/>
        <v>4.116529449018366</v>
      </c>
      <c r="O44" s="22">
        <f>ROUND(M44/K44*10,3)</f>
        <v>0</v>
      </c>
      <c r="P44" s="28">
        <f t="shared" si="8"/>
        <v>1.4</v>
      </c>
      <c r="Q44" s="28">
        <f t="shared" si="8"/>
        <v>0</v>
      </c>
      <c r="R44" s="23">
        <f t="shared" si="4"/>
        <v>57</v>
      </c>
      <c r="S44" s="23">
        <f t="shared" si="4"/>
        <v>0</v>
      </c>
      <c r="T44" s="16">
        <f t="shared" si="5"/>
        <v>57</v>
      </c>
      <c r="U44" s="26">
        <f t="shared" si="15"/>
        <v>10</v>
      </c>
      <c r="V44" s="7">
        <v>5</v>
      </c>
      <c r="W44" s="26">
        <f t="shared" si="18"/>
        <v>5</v>
      </c>
      <c r="X44" s="53">
        <f t="shared" si="1"/>
        <v>0.5783592469958025</v>
      </c>
    </row>
    <row r="45" spans="1:24" s="29" customFormat="1" ht="15.75" customHeight="1">
      <c r="A45" s="30">
        <f t="shared" si="12"/>
        <v>32</v>
      </c>
      <c r="B45" s="35" t="s">
        <v>65</v>
      </c>
      <c r="C45" s="36"/>
      <c r="D45" s="18">
        <f>'[2]А-4'!$F$46</f>
        <v>2</v>
      </c>
      <c r="E45" s="28">
        <v>263</v>
      </c>
      <c r="F45" s="219">
        <f t="shared" si="10"/>
        <v>251.64928213111918</v>
      </c>
      <c r="G45" s="220">
        <f t="shared" si="2"/>
        <v>105.41588428472582</v>
      </c>
      <c r="H45" s="220">
        <f t="shared" si="3"/>
        <v>146.23339784639333</v>
      </c>
      <c r="I45" s="28">
        <f t="shared" si="11"/>
        <v>25.1</v>
      </c>
      <c r="J45" s="18">
        <f>'[2]А-4'!$G$45</f>
        <v>25.1</v>
      </c>
      <c r="K45" s="18">
        <f>'[2]А-4'!$HG$45</f>
        <v>0</v>
      </c>
      <c r="L45" s="23">
        <f>'[2]А-4'!$R$45</f>
        <v>5</v>
      </c>
      <c r="M45" s="23">
        <f>'[2]А-4'!$AD$45</f>
        <v>0</v>
      </c>
      <c r="N45" s="22">
        <f t="shared" si="19"/>
        <v>1.99203187250996</v>
      </c>
      <c r="O45" s="22">
        <v>0</v>
      </c>
      <c r="P45" s="28">
        <f t="shared" si="8"/>
        <v>0.7</v>
      </c>
      <c r="Q45" s="28">
        <f t="shared" si="8"/>
        <v>0</v>
      </c>
      <c r="R45" s="23">
        <f t="shared" si="4"/>
        <v>73</v>
      </c>
      <c r="S45" s="23">
        <f t="shared" si="4"/>
        <v>0</v>
      </c>
      <c r="T45" s="16">
        <f t="shared" si="5"/>
        <v>73</v>
      </c>
      <c r="U45" s="26">
        <f t="shared" si="15"/>
        <v>13</v>
      </c>
      <c r="V45" s="7"/>
      <c r="W45" s="26">
        <f>U45</f>
        <v>13</v>
      </c>
      <c r="X45" s="53">
        <f t="shared" si="1"/>
        <v>0.29008626363561063</v>
      </c>
    </row>
    <row r="46" spans="1:24" s="29" customFormat="1" ht="12.75">
      <c r="A46" s="30">
        <f t="shared" si="12"/>
        <v>33</v>
      </c>
      <c r="B46" s="35" t="s">
        <v>72</v>
      </c>
      <c r="C46" s="36"/>
      <c r="D46" s="18">
        <f>'[2]А-4'!$F$31</f>
        <v>2</v>
      </c>
      <c r="E46" s="28">
        <v>206</v>
      </c>
      <c r="F46" s="219">
        <f t="shared" si="10"/>
        <v>197.10932364642795</v>
      </c>
      <c r="G46" s="220">
        <f t="shared" si="2"/>
        <v>82.56909567548867</v>
      </c>
      <c r="H46" s="220">
        <f t="shared" si="3"/>
        <v>114.54022797093927</v>
      </c>
      <c r="I46" s="28">
        <f t="shared" si="11"/>
        <v>17.28</v>
      </c>
      <c r="J46" s="18">
        <f>'[2]А-4'!$G$31</f>
        <v>17.28</v>
      </c>
      <c r="K46" s="18">
        <f>'[2]А-4'!$H$31</f>
        <v>0</v>
      </c>
      <c r="L46" s="23">
        <f>'[2]А-4'!$R$31</f>
        <v>0</v>
      </c>
      <c r="M46" s="23">
        <f>'[2]А-4'!$AD$31</f>
        <v>0</v>
      </c>
      <c r="N46" s="22">
        <f t="shared" si="19"/>
        <v>0</v>
      </c>
      <c r="O46" s="22">
        <v>0</v>
      </c>
      <c r="P46" s="28">
        <f t="shared" si="8"/>
        <v>0</v>
      </c>
      <c r="Q46" s="28">
        <f t="shared" si="8"/>
        <v>0</v>
      </c>
      <c r="R46" s="23">
        <f t="shared" si="4"/>
        <v>0</v>
      </c>
      <c r="S46" s="23">
        <f t="shared" si="4"/>
        <v>0</v>
      </c>
      <c r="T46" s="16">
        <f t="shared" si="5"/>
        <v>0</v>
      </c>
      <c r="U46" s="26">
        <f t="shared" si="15"/>
        <v>0</v>
      </c>
      <c r="V46" s="7"/>
      <c r="W46" s="26">
        <f>U46</f>
        <v>0</v>
      </c>
      <c r="X46" s="53">
        <f t="shared" si="1"/>
        <v>0</v>
      </c>
    </row>
    <row r="47" spans="1:24" s="29" customFormat="1" ht="12.75">
      <c r="A47" s="30">
        <f t="shared" si="12"/>
        <v>34</v>
      </c>
      <c r="B47" s="35" t="s">
        <v>58</v>
      </c>
      <c r="C47" s="36"/>
      <c r="D47" s="18">
        <f>'[2]А-4'!$F$44</f>
        <v>3</v>
      </c>
      <c r="E47" s="28">
        <v>169</v>
      </c>
      <c r="F47" s="219">
        <f t="shared" si="10"/>
        <v>161.70619270022488</v>
      </c>
      <c r="G47" s="220">
        <f t="shared" si="2"/>
        <v>67.7387241221242</v>
      </c>
      <c r="H47" s="220">
        <f t="shared" si="3"/>
        <v>93.96746857810066</v>
      </c>
      <c r="I47" s="28">
        <f t="shared" si="11"/>
        <v>31.2</v>
      </c>
      <c r="J47" s="18">
        <f>'[2]А-4'!$G$44</f>
        <v>16.9</v>
      </c>
      <c r="K47" s="18">
        <f>'[2]А-4'!$H$44</f>
        <v>14.3</v>
      </c>
      <c r="L47" s="23">
        <f>'[2]А-4'!$R$44</f>
        <v>2</v>
      </c>
      <c r="M47" s="23">
        <f>'[2]А-4'!$AD$44</f>
        <v>0</v>
      </c>
      <c r="N47" s="22">
        <f t="shared" si="19"/>
        <v>1.183431952662722</v>
      </c>
      <c r="O47" s="22">
        <f>ROUND(M47/K47*10,3)</f>
        <v>0</v>
      </c>
      <c r="P47" s="28">
        <f t="shared" si="8"/>
        <v>0.4</v>
      </c>
      <c r="Q47" s="28">
        <f t="shared" si="8"/>
        <v>0</v>
      </c>
      <c r="R47" s="23">
        <f t="shared" si="4"/>
        <v>27</v>
      </c>
      <c r="S47" s="23">
        <f t="shared" si="4"/>
        <v>0</v>
      </c>
      <c r="T47" s="16">
        <f t="shared" si="5"/>
        <v>27</v>
      </c>
      <c r="U47" s="26">
        <f t="shared" si="15"/>
        <v>0</v>
      </c>
      <c r="V47" s="7"/>
      <c r="W47" s="26">
        <f>U47</f>
        <v>0</v>
      </c>
      <c r="X47" s="53">
        <f t="shared" si="1"/>
        <v>0.16696948675338177</v>
      </c>
    </row>
    <row r="48" spans="1:24" s="29" customFormat="1" ht="12.75">
      <c r="A48" s="30">
        <f t="shared" si="12"/>
        <v>35</v>
      </c>
      <c r="B48" s="35" t="s">
        <v>76</v>
      </c>
      <c r="C48" s="36"/>
      <c r="D48" s="18">
        <f>'[2]А-4'!$F$50</f>
        <v>1</v>
      </c>
      <c r="E48" s="28">
        <v>11.6</v>
      </c>
      <c r="F48" s="219">
        <f t="shared" si="10"/>
        <v>11.099359972323127</v>
      </c>
      <c r="G48" s="220">
        <f t="shared" si="2"/>
        <v>4.649521892406158</v>
      </c>
      <c r="H48" s="220">
        <f t="shared" si="3"/>
        <v>6.449838079916969</v>
      </c>
      <c r="I48" s="28">
        <f t="shared" si="11"/>
        <v>9.9</v>
      </c>
      <c r="J48" s="18">
        <f>'[2]А-4'!$G$50</f>
        <v>0</v>
      </c>
      <c r="K48" s="18">
        <f>'[2]А-4'!$H$50</f>
        <v>9.9</v>
      </c>
      <c r="L48" s="23">
        <f>'[2]А-4'!$R$50</f>
        <v>0</v>
      </c>
      <c r="M48" s="23">
        <f>'[2]А-4'!$AD$50</f>
        <v>0</v>
      </c>
      <c r="N48" s="22">
        <v>0</v>
      </c>
      <c r="O48" s="22">
        <f>ROUND(M48/K48*10,3)</f>
        <v>0</v>
      </c>
      <c r="P48" s="28">
        <f t="shared" si="8"/>
        <v>0</v>
      </c>
      <c r="Q48" s="28">
        <f t="shared" si="8"/>
        <v>0</v>
      </c>
      <c r="R48" s="23">
        <f t="shared" si="4"/>
        <v>0</v>
      </c>
      <c r="S48" s="23">
        <f t="shared" si="4"/>
        <v>0</v>
      </c>
      <c r="T48" s="16">
        <f t="shared" si="5"/>
        <v>0</v>
      </c>
      <c r="U48" s="26">
        <f t="shared" si="15"/>
        <v>0</v>
      </c>
      <c r="V48" s="7"/>
      <c r="W48" s="26">
        <f t="shared" si="18"/>
        <v>0</v>
      </c>
      <c r="X48" s="53">
        <f t="shared" si="1"/>
        <v>0</v>
      </c>
    </row>
    <row r="49" spans="1:24" ht="12.75" customHeight="1">
      <c r="A49" s="30">
        <f t="shared" si="12"/>
        <v>36</v>
      </c>
      <c r="B49" s="263" t="s">
        <v>39</v>
      </c>
      <c r="C49" s="264"/>
      <c r="D49" s="18">
        <f>'[2]А-4'!$F$47</f>
        <v>3</v>
      </c>
      <c r="E49" s="218">
        <v>252.3</v>
      </c>
      <c r="F49" s="219">
        <f t="shared" si="10"/>
        <v>241.41107939802802</v>
      </c>
      <c r="G49" s="220">
        <f t="shared" si="2"/>
        <v>101.12710115983394</v>
      </c>
      <c r="H49" s="220">
        <f t="shared" si="3"/>
        <v>140.28397823819407</v>
      </c>
      <c r="I49" s="28">
        <f t="shared" si="11"/>
        <v>32.65</v>
      </c>
      <c r="J49" s="18">
        <f>'[2]А-4'!$G$47</f>
        <v>2.3</v>
      </c>
      <c r="K49" s="18">
        <f>'[2]А-4'!$H$47</f>
        <v>30.35</v>
      </c>
      <c r="L49" s="23">
        <f>'[2]А-4'!$R$47</f>
        <v>0</v>
      </c>
      <c r="M49" s="23">
        <f>'[2]А-4'!$AD$47</f>
        <v>0</v>
      </c>
      <c r="N49" s="22">
        <f>L49*10/J49</f>
        <v>0</v>
      </c>
      <c r="O49" s="22">
        <f>ROUND(M49/K49*10,3)</f>
        <v>0</v>
      </c>
      <c r="P49" s="28">
        <f t="shared" si="8"/>
        <v>0</v>
      </c>
      <c r="Q49" s="28">
        <f t="shared" si="8"/>
        <v>0</v>
      </c>
      <c r="R49" s="23">
        <f t="shared" si="4"/>
        <v>0</v>
      </c>
      <c r="S49" s="23">
        <f t="shared" si="4"/>
        <v>0</v>
      </c>
      <c r="T49" s="16">
        <f t="shared" si="5"/>
        <v>0</v>
      </c>
      <c r="U49" s="26">
        <f t="shared" si="15"/>
        <v>0</v>
      </c>
      <c r="V49" s="9"/>
      <c r="W49" s="26">
        <f t="shared" si="18"/>
        <v>0</v>
      </c>
      <c r="X49" s="53">
        <f t="shared" si="1"/>
        <v>0</v>
      </c>
    </row>
    <row r="50" spans="1:30" ht="27.75" customHeight="1">
      <c r="A50" s="150"/>
      <c r="B50" s="255" t="s">
        <v>105</v>
      </c>
      <c r="C50" s="256"/>
      <c r="D50" s="129">
        <f aca="true" t="shared" si="20" ref="D50:M50">SUM(D51:D60)</f>
        <v>90</v>
      </c>
      <c r="E50" s="125">
        <f t="shared" si="20"/>
        <v>6041</v>
      </c>
      <c r="F50" s="125">
        <f t="shared" si="20"/>
        <v>3894.001575999994</v>
      </c>
      <c r="G50" s="125">
        <f t="shared" si="20"/>
        <v>3219.949903194395</v>
      </c>
      <c r="H50" s="125">
        <f t="shared" si="20"/>
        <v>674.0516728055991</v>
      </c>
      <c r="I50" s="125">
        <f t="shared" si="20"/>
        <v>1031.8</v>
      </c>
      <c r="J50" s="129">
        <f t="shared" si="20"/>
        <v>964.0999999999999</v>
      </c>
      <c r="K50" s="125">
        <f t="shared" si="20"/>
        <v>67.7</v>
      </c>
      <c r="L50" s="129">
        <f t="shared" si="20"/>
        <v>307</v>
      </c>
      <c r="M50" s="129">
        <f t="shared" si="20"/>
        <v>15</v>
      </c>
      <c r="N50" s="130">
        <f>ROUND(L50/J50*10,2)</f>
        <v>3.18</v>
      </c>
      <c r="O50" s="130">
        <f>ROUND(M50/K50*10,3)</f>
        <v>2.216</v>
      </c>
      <c r="P50" s="125">
        <f t="shared" si="8"/>
        <v>1.1</v>
      </c>
      <c r="Q50" s="125">
        <f t="shared" si="8"/>
        <v>0.8</v>
      </c>
      <c r="R50" s="129">
        <f aca="true" t="shared" si="21" ref="R50:W50">SUM(R51:R60)</f>
        <v>3504</v>
      </c>
      <c r="S50" s="129">
        <f t="shared" si="21"/>
        <v>246</v>
      </c>
      <c r="T50" s="129">
        <f t="shared" si="21"/>
        <v>3750</v>
      </c>
      <c r="U50" s="129">
        <f t="shared" si="21"/>
        <v>672</v>
      </c>
      <c r="V50" s="129">
        <f t="shared" si="21"/>
        <v>72</v>
      </c>
      <c r="W50" s="129">
        <f t="shared" si="21"/>
        <v>357</v>
      </c>
      <c r="X50" s="53">
        <f t="shared" si="1"/>
        <v>0.963019641058308</v>
      </c>
      <c r="Y50">
        <v>0.644595526568448</v>
      </c>
      <c r="AB50">
        <v>2411</v>
      </c>
      <c r="AD50" s="19">
        <f>T50-AB50</f>
        <v>1339</v>
      </c>
    </row>
    <row r="51" spans="1:24" ht="12.75">
      <c r="A51" s="30">
        <f>A49+1</f>
        <v>37</v>
      </c>
      <c r="B51" s="131" t="s">
        <v>42</v>
      </c>
      <c r="C51" s="132"/>
      <c r="D51" s="17">
        <v>0</v>
      </c>
      <c r="E51" s="218">
        <f>'[5]Норматив и фактически 2011'!$F$62</f>
        <v>45</v>
      </c>
      <c r="F51" s="219">
        <f aca="true" t="shared" si="22" ref="F51:F60">E51*$Y$50</f>
        <v>29.00679869558016</v>
      </c>
      <c r="G51" s="220">
        <f aca="true" t="shared" si="23" ref="G51:G60">F51*0.8269</f>
        <v>23.98572184137523</v>
      </c>
      <c r="H51" s="220">
        <f aca="true" t="shared" si="24" ref="H51:H60">F51*0.1731</f>
        <v>5.021076854204925</v>
      </c>
      <c r="I51" s="28">
        <f aca="true" t="shared" si="25" ref="I51:I60">J51+K51</f>
        <v>0</v>
      </c>
      <c r="J51" s="18">
        <f>'[2]А-4'!G59</f>
        <v>0</v>
      </c>
      <c r="K51" s="28">
        <v>0</v>
      </c>
      <c r="L51" s="23">
        <f>'[2]А-4'!$R$59</f>
        <v>0</v>
      </c>
      <c r="M51" s="23">
        <f>'[2]А-4'!$AD$59</f>
        <v>0</v>
      </c>
      <c r="N51" s="22">
        <v>0</v>
      </c>
      <c r="O51" s="22">
        <v>0</v>
      </c>
      <c r="P51" s="28"/>
      <c r="Q51" s="22">
        <f>ROUND(O51*$M$9,2)</f>
        <v>0</v>
      </c>
      <c r="R51" s="23">
        <f aca="true" t="shared" si="26" ref="R51:S60">ROUNDDOWN((P51*G51),0)</f>
        <v>0</v>
      </c>
      <c r="S51" s="23">
        <f t="shared" si="26"/>
        <v>0</v>
      </c>
      <c r="T51" s="16">
        <f aca="true" t="shared" si="27" ref="T51:T60">R51+S51</f>
        <v>0</v>
      </c>
      <c r="U51" s="26">
        <f t="shared" si="15"/>
        <v>0</v>
      </c>
      <c r="V51" s="9"/>
      <c r="W51" s="26">
        <f aca="true" t="shared" si="28" ref="W51:W59">IF(V51&lt;=U51,V51,U51)</f>
        <v>0</v>
      </c>
      <c r="X51" s="53">
        <f t="shared" si="1"/>
        <v>0</v>
      </c>
    </row>
    <row r="52" spans="1:28" ht="12.75">
      <c r="A52" s="30">
        <f aca="true" t="shared" si="29" ref="A52:A60">A51+1</f>
        <v>38</v>
      </c>
      <c r="B52" s="8" t="s">
        <v>18</v>
      </c>
      <c r="C52" s="9"/>
      <c r="D52" s="17">
        <f>'[2]А-4'!$F$60</f>
        <v>5</v>
      </c>
      <c r="E52" s="218">
        <f>'[4]Норматив и фактически 2009'!$F$59</f>
        <v>310</v>
      </c>
      <c r="F52" s="219">
        <f t="shared" si="22"/>
        <v>199.82461323621888</v>
      </c>
      <c r="G52" s="220">
        <f t="shared" si="23"/>
        <v>165.2349726850294</v>
      </c>
      <c r="H52" s="220">
        <f t="shared" si="24"/>
        <v>34.58964055118949</v>
      </c>
      <c r="I52" s="28">
        <f t="shared" si="25"/>
        <v>56.3</v>
      </c>
      <c r="J52" s="18">
        <f>'[2]А-4'!G60</f>
        <v>56.3</v>
      </c>
      <c r="K52" s="28">
        <f>'[2]А-4'!$H$61</f>
        <v>0</v>
      </c>
      <c r="L52" s="23">
        <f>'[2]А-4'!$R$60</f>
        <v>12</v>
      </c>
      <c r="M52" s="23">
        <f>'[2]А-4'!$AD$60</f>
        <v>0</v>
      </c>
      <c r="N52" s="22">
        <f aca="true" t="shared" si="30" ref="N52:N60">L52*10/J52</f>
        <v>2.1314387211367674</v>
      </c>
      <c r="O52" s="22">
        <v>0</v>
      </c>
      <c r="P52" s="28">
        <f aca="true" t="shared" si="31" ref="P52:Q67">ROUND(N52*$M$9,1)</f>
        <v>0.7</v>
      </c>
      <c r="Q52" s="28">
        <v>0</v>
      </c>
      <c r="R52" s="23">
        <f t="shared" si="26"/>
        <v>115</v>
      </c>
      <c r="S52" s="23">
        <f t="shared" si="26"/>
        <v>0</v>
      </c>
      <c r="T52" s="16">
        <f t="shared" si="27"/>
        <v>115</v>
      </c>
      <c r="U52" s="26">
        <f t="shared" si="15"/>
        <v>20</v>
      </c>
      <c r="V52" s="9">
        <v>5</v>
      </c>
      <c r="W52" s="26">
        <f t="shared" si="28"/>
        <v>5</v>
      </c>
      <c r="X52" s="53">
        <f t="shared" si="1"/>
        <v>0.5755046795164064</v>
      </c>
      <c r="AB52" s="54"/>
    </row>
    <row r="53" spans="1:24" ht="12.75">
      <c r="A53" s="30">
        <f t="shared" si="29"/>
        <v>39</v>
      </c>
      <c r="B53" s="37" t="s">
        <v>83</v>
      </c>
      <c r="C53" s="37"/>
      <c r="D53" s="17">
        <f>'[2]А-4'!$F$62</f>
        <v>2</v>
      </c>
      <c r="E53" s="218">
        <f>'[4]Норматив и фактически 2009'!$F$61</f>
        <v>246</v>
      </c>
      <c r="F53" s="219">
        <f t="shared" si="22"/>
        <v>158.5704995358382</v>
      </c>
      <c r="G53" s="220">
        <f t="shared" si="23"/>
        <v>131.1219460661846</v>
      </c>
      <c r="H53" s="220">
        <f t="shared" si="24"/>
        <v>27.448553469653593</v>
      </c>
      <c r="I53" s="28">
        <f t="shared" si="25"/>
        <v>28.6</v>
      </c>
      <c r="J53" s="18">
        <f>'[2]А-4'!G62</f>
        <v>25.700000000000003</v>
      </c>
      <c r="K53" s="28">
        <f>'[2]А-4'!$H$62</f>
        <v>2.9</v>
      </c>
      <c r="L53" s="23">
        <f>'[2]А-4'!$R$62</f>
        <v>0</v>
      </c>
      <c r="M53" s="23">
        <f>'[2]А-4'!$AD$62</f>
        <v>0</v>
      </c>
      <c r="N53" s="22">
        <f t="shared" si="30"/>
        <v>0</v>
      </c>
      <c r="O53" s="22">
        <f aca="true" t="shared" si="32" ref="O53:O60">ROUND(M53/K53*10,3)</f>
        <v>0</v>
      </c>
      <c r="P53" s="28">
        <f t="shared" si="31"/>
        <v>0</v>
      </c>
      <c r="Q53" s="28">
        <f>ROUND(O53*$M$9,1)</f>
        <v>0</v>
      </c>
      <c r="R53" s="23">
        <f t="shared" si="26"/>
        <v>0</v>
      </c>
      <c r="S53" s="23">
        <f t="shared" si="26"/>
        <v>0</v>
      </c>
      <c r="T53" s="16">
        <f t="shared" si="27"/>
        <v>0</v>
      </c>
      <c r="U53" s="26">
        <f t="shared" si="15"/>
        <v>0</v>
      </c>
      <c r="V53" s="9">
        <v>2</v>
      </c>
      <c r="W53" s="26">
        <f t="shared" si="28"/>
        <v>0</v>
      </c>
      <c r="X53" s="53">
        <f t="shared" si="1"/>
        <v>0</v>
      </c>
    </row>
    <row r="54" spans="1:24" ht="12.75">
      <c r="A54" s="30">
        <f t="shared" si="29"/>
        <v>40</v>
      </c>
      <c r="B54" s="37" t="s">
        <v>84</v>
      </c>
      <c r="C54" s="37"/>
      <c r="D54" s="17">
        <f>'[2]А-4'!$F$63</f>
        <v>20</v>
      </c>
      <c r="E54" s="218">
        <f>'[4]Норматив и фактически 2009'!$F$62</f>
        <v>1221</v>
      </c>
      <c r="F54" s="219">
        <f t="shared" si="22"/>
        <v>787.051137940075</v>
      </c>
      <c r="G54" s="220">
        <f t="shared" si="23"/>
        <v>650.812585962648</v>
      </c>
      <c r="H54" s="220">
        <f t="shared" si="24"/>
        <v>136.238551977427</v>
      </c>
      <c r="I54" s="28">
        <f t="shared" si="25"/>
        <v>238.89999999999998</v>
      </c>
      <c r="J54" s="18">
        <f>'[2]А-4'!G63</f>
        <v>213.2</v>
      </c>
      <c r="K54" s="28">
        <f>'[2]А-4'!$H$63</f>
        <v>25.7</v>
      </c>
      <c r="L54" s="23">
        <f>'[2]А-4'!$R$63</f>
        <v>52</v>
      </c>
      <c r="M54" s="23">
        <f>'[2]А-4'!$AD$63</f>
        <v>8</v>
      </c>
      <c r="N54" s="22">
        <f t="shared" si="30"/>
        <v>2.4390243902439024</v>
      </c>
      <c r="O54" s="22">
        <f t="shared" si="32"/>
        <v>3.113</v>
      </c>
      <c r="P54" s="28">
        <f t="shared" si="31"/>
        <v>0.9</v>
      </c>
      <c r="Q54" s="28">
        <v>0.66</v>
      </c>
      <c r="R54" s="23">
        <f t="shared" si="26"/>
        <v>585</v>
      </c>
      <c r="S54" s="23">
        <f t="shared" si="26"/>
        <v>89</v>
      </c>
      <c r="T54" s="16">
        <f t="shared" si="27"/>
        <v>674</v>
      </c>
      <c r="U54" s="26">
        <f t="shared" si="15"/>
        <v>121</v>
      </c>
      <c r="V54" s="9">
        <v>14</v>
      </c>
      <c r="W54" s="26">
        <f t="shared" si="28"/>
        <v>14</v>
      </c>
      <c r="X54" s="53">
        <f t="shared" si="1"/>
        <v>0.8563611276441829</v>
      </c>
    </row>
    <row r="55" spans="1:24" s="29" customFormat="1" ht="12.75">
      <c r="A55" s="30">
        <f t="shared" si="29"/>
        <v>41</v>
      </c>
      <c r="B55" s="43" t="s">
        <v>34</v>
      </c>
      <c r="C55" s="43"/>
      <c r="D55" s="18">
        <f>'[2]А-4'!$F$64</f>
        <v>5</v>
      </c>
      <c r="E55" s="28">
        <f>'[4]Норматив и фактически 2009'!$F$64</f>
        <v>662</v>
      </c>
      <c r="F55" s="219">
        <f t="shared" si="22"/>
        <v>426.72223858831256</v>
      </c>
      <c r="G55" s="220">
        <f t="shared" si="23"/>
        <v>352.85661908867564</v>
      </c>
      <c r="H55" s="220">
        <f t="shared" si="24"/>
        <v>73.8656194996369</v>
      </c>
      <c r="I55" s="28">
        <f t="shared" si="25"/>
        <v>64.2</v>
      </c>
      <c r="J55" s="18">
        <f>'[2]А-4'!G64</f>
        <v>57.2</v>
      </c>
      <c r="K55" s="28">
        <f>'[2]А-4'!$H$64</f>
        <v>7</v>
      </c>
      <c r="L55" s="23">
        <f>'[2]А-4'!$R$64</f>
        <v>25</v>
      </c>
      <c r="M55" s="23">
        <f>'[2]А-4'!$AD$64</f>
        <v>0</v>
      </c>
      <c r="N55" s="22">
        <f t="shared" si="30"/>
        <v>4.370629370629371</v>
      </c>
      <c r="O55" s="22">
        <f t="shared" si="32"/>
        <v>0</v>
      </c>
      <c r="P55" s="28">
        <f t="shared" si="31"/>
        <v>1.5</v>
      </c>
      <c r="Q55" s="28">
        <v>0.646</v>
      </c>
      <c r="R55" s="23">
        <f t="shared" si="26"/>
        <v>529</v>
      </c>
      <c r="S55" s="23">
        <f t="shared" si="26"/>
        <v>47</v>
      </c>
      <c r="T55" s="16">
        <f t="shared" si="27"/>
        <v>576</v>
      </c>
      <c r="U55" s="26">
        <f t="shared" si="15"/>
        <v>103</v>
      </c>
      <c r="V55" s="7">
        <v>15</v>
      </c>
      <c r="W55" s="26">
        <f t="shared" si="28"/>
        <v>15</v>
      </c>
      <c r="X55" s="53">
        <f t="shared" si="1"/>
        <v>1.3498241898653556</v>
      </c>
    </row>
    <row r="56" spans="1:24" ht="12.75">
      <c r="A56" s="30">
        <f t="shared" si="29"/>
        <v>42</v>
      </c>
      <c r="B56" s="12" t="s">
        <v>115</v>
      </c>
      <c r="C56" s="12"/>
      <c r="D56" s="17">
        <f>'[2]А-4'!$F$65</f>
        <v>3</v>
      </c>
      <c r="E56" s="218">
        <f>'[5]Норматив и фактически 2011'!$F$67</f>
        <v>336</v>
      </c>
      <c r="F56" s="219">
        <f t="shared" si="22"/>
        <v>216.5840969269985</v>
      </c>
      <c r="G56" s="220">
        <f t="shared" si="23"/>
        <v>179.09338974893507</v>
      </c>
      <c r="H56" s="220">
        <f t="shared" si="24"/>
        <v>37.490707178063445</v>
      </c>
      <c r="I56" s="28">
        <f t="shared" si="25"/>
        <v>35.300000000000004</v>
      </c>
      <c r="J56" s="18">
        <f>'[2]А-4'!G65</f>
        <v>31.1</v>
      </c>
      <c r="K56" s="28">
        <f>'[2]А-4'!$H$65</f>
        <v>4.2</v>
      </c>
      <c r="L56" s="23">
        <f>'[2]А-4'!$R$65</f>
        <v>11</v>
      </c>
      <c r="M56" s="23">
        <f>'[2]А-4'!$AD$65</f>
        <v>0</v>
      </c>
      <c r="N56" s="22">
        <f t="shared" si="30"/>
        <v>3.5369774919614145</v>
      </c>
      <c r="O56" s="22">
        <f t="shared" si="32"/>
        <v>0</v>
      </c>
      <c r="P56" s="28">
        <f t="shared" si="31"/>
        <v>1.2</v>
      </c>
      <c r="Q56" s="28">
        <v>2.05</v>
      </c>
      <c r="R56" s="23">
        <f t="shared" si="26"/>
        <v>214</v>
      </c>
      <c r="S56" s="23">
        <f t="shared" si="26"/>
        <v>76</v>
      </c>
      <c r="T56" s="16">
        <f t="shared" si="27"/>
        <v>290</v>
      </c>
      <c r="U56" s="26">
        <f t="shared" si="15"/>
        <v>52</v>
      </c>
      <c r="V56" s="9">
        <v>9</v>
      </c>
      <c r="W56" s="26">
        <f t="shared" si="28"/>
        <v>9</v>
      </c>
      <c r="X56" s="53">
        <f t="shared" si="1"/>
        <v>1.3389718087092375</v>
      </c>
    </row>
    <row r="57" spans="1:24" ht="12.75">
      <c r="A57" s="30">
        <f t="shared" si="29"/>
        <v>43</v>
      </c>
      <c r="B57" s="11" t="s">
        <v>51</v>
      </c>
      <c r="C57" s="7"/>
      <c r="D57" s="18">
        <f>'[2]А-4'!$F$66</f>
        <v>3</v>
      </c>
      <c r="E57" s="28">
        <v>202</v>
      </c>
      <c r="F57" s="219">
        <f t="shared" si="22"/>
        <v>130.2082963668265</v>
      </c>
      <c r="G57" s="220">
        <f t="shared" si="23"/>
        <v>107.66924026572882</v>
      </c>
      <c r="H57" s="220">
        <f t="shared" si="24"/>
        <v>22.539056101097664</v>
      </c>
      <c r="I57" s="28">
        <f t="shared" si="25"/>
        <v>40.5</v>
      </c>
      <c r="J57" s="18">
        <f>'[2]А-4'!G66</f>
        <v>28</v>
      </c>
      <c r="K57" s="28">
        <f>'[2]А-4'!$H$66</f>
        <v>12.5</v>
      </c>
      <c r="L57" s="23">
        <f>'[2]А-4'!$R$66</f>
        <v>11</v>
      </c>
      <c r="M57" s="23">
        <f>'[2]А-4'!$AD$66</f>
        <v>7</v>
      </c>
      <c r="N57" s="22">
        <f t="shared" si="30"/>
        <v>3.9285714285714284</v>
      </c>
      <c r="O57" s="22">
        <f t="shared" si="32"/>
        <v>5.6</v>
      </c>
      <c r="P57" s="28">
        <f t="shared" si="31"/>
        <v>1.4</v>
      </c>
      <c r="Q57" s="28">
        <v>1.55</v>
      </c>
      <c r="R57" s="23">
        <f t="shared" si="26"/>
        <v>150</v>
      </c>
      <c r="S57" s="23">
        <f t="shared" si="26"/>
        <v>34</v>
      </c>
      <c r="T57" s="16">
        <f t="shared" si="27"/>
        <v>184</v>
      </c>
      <c r="U57" s="26">
        <f t="shared" si="15"/>
        <v>33</v>
      </c>
      <c r="V57" s="7">
        <v>17</v>
      </c>
      <c r="W57" s="26">
        <f t="shared" si="28"/>
        <v>17</v>
      </c>
      <c r="X57" s="53">
        <f t="shared" si="1"/>
        <v>1.4131204011888</v>
      </c>
    </row>
    <row r="58" spans="1:24" s="29" customFormat="1" ht="14.25" customHeight="1">
      <c r="A58" s="30">
        <f t="shared" si="29"/>
        <v>44</v>
      </c>
      <c r="B58" s="48" t="s">
        <v>77</v>
      </c>
      <c r="C58"/>
      <c r="D58" s="17">
        <f>'[2]А-4'!$F$67</f>
        <v>7</v>
      </c>
      <c r="E58" s="227">
        <v>303.961</v>
      </c>
      <c r="F58" s="219">
        <f t="shared" si="22"/>
        <v>195.93190085127202</v>
      </c>
      <c r="G58" s="220">
        <f t="shared" si="23"/>
        <v>162.01608881391684</v>
      </c>
      <c r="H58" s="220">
        <f t="shared" si="24"/>
        <v>33.91581203735519</v>
      </c>
      <c r="I58" s="28">
        <f t="shared" si="25"/>
        <v>79.49999999999999</v>
      </c>
      <c r="J58" s="18">
        <f>'[2]А-4'!G67</f>
        <v>76.49999999999999</v>
      </c>
      <c r="K58" s="28">
        <f>'[2]А-4'!$H$67</f>
        <v>3</v>
      </c>
      <c r="L58" s="23">
        <f>'[2]А-4'!$R$67</f>
        <v>34</v>
      </c>
      <c r="M58" s="23">
        <f>'[2]А-4'!$AD$67</f>
        <v>0</v>
      </c>
      <c r="N58" s="22">
        <f t="shared" si="30"/>
        <v>4.4444444444444455</v>
      </c>
      <c r="O58" s="22">
        <f t="shared" si="32"/>
        <v>0</v>
      </c>
      <c r="P58" s="28">
        <f t="shared" si="31"/>
        <v>1.6</v>
      </c>
      <c r="Q58" s="28">
        <f>ROUND(O58*$M$9,1)</f>
        <v>0</v>
      </c>
      <c r="R58" s="23">
        <f t="shared" si="26"/>
        <v>259</v>
      </c>
      <c r="S58" s="23">
        <f t="shared" si="26"/>
        <v>0</v>
      </c>
      <c r="T58" s="16">
        <f t="shared" si="27"/>
        <v>259</v>
      </c>
      <c r="U58" s="26">
        <f t="shared" si="15"/>
        <v>46</v>
      </c>
      <c r="V58" s="9"/>
      <c r="W58" s="26">
        <f t="shared" si="28"/>
        <v>0</v>
      </c>
      <c r="X58" s="53">
        <f t="shared" si="1"/>
        <v>1.3218878542734178</v>
      </c>
    </row>
    <row r="59" spans="1:24" ht="12.75">
      <c r="A59" s="30">
        <f t="shared" si="29"/>
        <v>45</v>
      </c>
      <c r="B59" s="32" t="s">
        <v>78</v>
      </c>
      <c r="C59" s="33"/>
      <c r="D59" s="17">
        <f>'[2]А-4'!$F$68</f>
        <v>7</v>
      </c>
      <c r="E59" s="227">
        <v>500.25</v>
      </c>
      <c r="F59" s="219">
        <f t="shared" si="22"/>
        <v>322.4589121658661</v>
      </c>
      <c r="G59" s="220">
        <f t="shared" si="23"/>
        <v>266.6412744699547</v>
      </c>
      <c r="H59" s="220">
        <f t="shared" si="24"/>
        <v>55.81763769591142</v>
      </c>
      <c r="I59" s="28">
        <f t="shared" si="25"/>
        <v>69.5</v>
      </c>
      <c r="J59" s="18">
        <f>'[2]А-4'!G68</f>
        <v>63.3</v>
      </c>
      <c r="K59" s="28">
        <f>'[2]А-4'!$H$68</f>
        <v>6.2</v>
      </c>
      <c r="L59" s="23">
        <f>'[2]А-4'!$R$68</f>
        <v>0</v>
      </c>
      <c r="M59" s="23">
        <f>'[2]А-4'!$AD$68</f>
        <v>0</v>
      </c>
      <c r="N59" s="22">
        <f t="shared" si="30"/>
        <v>0</v>
      </c>
      <c r="O59" s="22">
        <f t="shared" si="32"/>
        <v>0</v>
      </c>
      <c r="P59" s="28">
        <f t="shared" si="31"/>
        <v>0</v>
      </c>
      <c r="Q59" s="28">
        <f>ROUND(O59*$M$9,1)</f>
        <v>0</v>
      </c>
      <c r="R59" s="23">
        <f t="shared" si="26"/>
        <v>0</v>
      </c>
      <c r="S59" s="23">
        <f t="shared" si="26"/>
        <v>0</v>
      </c>
      <c r="T59" s="16">
        <f t="shared" si="27"/>
        <v>0</v>
      </c>
      <c r="U59" s="26">
        <f t="shared" si="15"/>
        <v>0</v>
      </c>
      <c r="V59" s="9">
        <v>10</v>
      </c>
      <c r="W59" s="26">
        <f t="shared" si="28"/>
        <v>0</v>
      </c>
      <c r="X59" s="53">
        <f t="shared" si="1"/>
        <v>0</v>
      </c>
    </row>
    <row r="60" spans="1:24" ht="12.75">
      <c r="A60" s="30">
        <f t="shared" si="29"/>
        <v>46</v>
      </c>
      <c r="B60" s="35" t="s">
        <v>33</v>
      </c>
      <c r="C60" s="40"/>
      <c r="D60" s="17">
        <f>'[2]А-4'!$F$69</f>
        <v>38</v>
      </c>
      <c r="E60" s="218">
        <v>2214.789</v>
      </c>
      <c r="F60" s="219">
        <f t="shared" si="22"/>
        <v>1427.6430816930065</v>
      </c>
      <c r="G60" s="220">
        <f t="shared" si="23"/>
        <v>1180.518064251947</v>
      </c>
      <c r="H60" s="220">
        <f t="shared" si="24"/>
        <v>247.12501744105944</v>
      </c>
      <c r="I60" s="28">
        <f t="shared" si="25"/>
        <v>419</v>
      </c>
      <c r="J60" s="18">
        <f>'[2]А-4'!G69</f>
        <v>412.8</v>
      </c>
      <c r="K60" s="28">
        <f>'[2]А-4'!$H$69</f>
        <v>6.2</v>
      </c>
      <c r="L60" s="23">
        <f>'[2]А-4'!$R$69</f>
        <v>162</v>
      </c>
      <c r="M60" s="23">
        <f>'[2]А-4'!$AD$69</f>
        <v>0</v>
      </c>
      <c r="N60" s="22">
        <f t="shared" si="30"/>
        <v>3.9244186046511627</v>
      </c>
      <c r="O60" s="22">
        <f t="shared" si="32"/>
        <v>0</v>
      </c>
      <c r="P60" s="28">
        <f t="shared" si="31"/>
        <v>1.4</v>
      </c>
      <c r="Q60" s="28">
        <f>ROUND(O60*$M$9,1)</f>
        <v>0</v>
      </c>
      <c r="R60" s="23">
        <f t="shared" si="26"/>
        <v>1652</v>
      </c>
      <c r="S60" s="23">
        <f t="shared" si="26"/>
        <v>0</v>
      </c>
      <c r="T60" s="16">
        <f t="shared" si="27"/>
        <v>1652</v>
      </c>
      <c r="U60" s="26">
        <f t="shared" si="15"/>
        <v>297</v>
      </c>
      <c r="V60" s="9"/>
      <c r="W60" s="26">
        <f>U60</f>
        <v>297</v>
      </c>
      <c r="X60" s="53">
        <f t="shared" si="1"/>
        <v>1.1571519668914265</v>
      </c>
    </row>
    <row r="61" spans="1:30" ht="31.5" customHeight="1">
      <c r="A61" s="150"/>
      <c r="B61" s="255" t="s">
        <v>106</v>
      </c>
      <c r="C61" s="256"/>
      <c r="D61" s="129">
        <f aca="true" t="shared" si="33" ref="D61:M61">SUM(D62:D78)</f>
        <v>53</v>
      </c>
      <c r="E61" s="136">
        <f t="shared" si="33"/>
        <v>9064.199999999999</v>
      </c>
      <c r="F61" s="136">
        <f t="shared" si="33"/>
        <v>7001.000000000001</v>
      </c>
      <c r="G61" s="136">
        <f t="shared" si="33"/>
        <v>4491.841600000001</v>
      </c>
      <c r="H61" s="136">
        <f t="shared" si="33"/>
        <v>2509.1584000000007</v>
      </c>
      <c r="I61" s="136">
        <f t="shared" si="33"/>
        <v>550.2</v>
      </c>
      <c r="J61" s="136">
        <f t="shared" si="33"/>
        <v>337.8</v>
      </c>
      <c r="K61" s="136">
        <f t="shared" si="33"/>
        <v>212.4</v>
      </c>
      <c r="L61" s="137">
        <f t="shared" si="33"/>
        <v>84</v>
      </c>
      <c r="M61" s="137">
        <f t="shared" si="33"/>
        <v>77</v>
      </c>
      <c r="N61" s="130">
        <f>ROUND(L61/J61*10,2)</f>
        <v>2.49</v>
      </c>
      <c r="O61" s="137">
        <f>SUM(O62:O78)</f>
        <v>32.028999999999996</v>
      </c>
      <c r="P61" s="125">
        <f t="shared" si="31"/>
        <v>0.9</v>
      </c>
      <c r="Q61" s="137">
        <f aca="true" t="shared" si="34" ref="Q61:W61">SUM(Q62:Q78)</f>
        <v>11.2</v>
      </c>
      <c r="R61" s="136">
        <f t="shared" si="34"/>
        <v>2432</v>
      </c>
      <c r="S61" s="137">
        <f t="shared" si="34"/>
        <v>751</v>
      </c>
      <c r="T61" s="137">
        <f t="shared" si="34"/>
        <v>3183</v>
      </c>
      <c r="U61" s="137">
        <f t="shared" si="34"/>
        <v>565</v>
      </c>
      <c r="V61" s="137">
        <f t="shared" si="34"/>
        <v>99</v>
      </c>
      <c r="W61" s="137">
        <f t="shared" si="34"/>
        <v>316</v>
      </c>
      <c r="X61" s="53">
        <f t="shared" si="1"/>
        <v>0.45464933580917005</v>
      </c>
      <c r="Y61" s="55">
        <f>7001/E61</f>
        <v>0.772379250237197</v>
      </c>
      <c r="AB61">
        <v>9221</v>
      </c>
      <c r="AD61" s="19">
        <f>AB61-T61</f>
        <v>6038</v>
      </c>
    </row>
    <row r="62" spans="1:24" ht="12.75">
      <c r="A62" s="30">
        <f>A60+1</f>
        <v>47</v>
      </c>
      <c r="B62" s="15" t="s">
        <v>119</v>
      </c>
      <c r="C62" s="9"/>
      <c r="D62" s="17">
        <f>'[2]А-4'!$F$81</f>
        <v>1</v>
      </c>
      <c r="E62" s="218">
        <f>'[4]Норматив и фактически 2009'!$F$71</f>
        <v>225</v>
      </c>
      <c r="F62" s="219">
        <f aca="true" t="shared" si="35" ref="F62:F78">E62*$Y$61</f>
        <v>173.78533130336933</v>
      </c>
      <c r="G62" s="220">
        <f aca="true" t="shared" si="36" ref="G62:G78">F62*0.6416</f>
        <v>111.50066856424175</v>
      </c>
      <c r="H62" s="220">
        <f aca="true" t="shared" si="37" ref="H62:H78">F62*0.3584</f>
        <v>62.28466273912757</v>
      </c>
      <c r="I62" s="28">
        <f aca="true" t="shared" si="38" ref="I62:I78">J62+K62</f>
        <v>10</v>
      </c>
      <c r="J62" s="18">
        <f>'[2]А-4'!G81</f>
        <v>10</v>
      </c>
      <c r="K62" s="28">
        <f>'[2]А-4'!$H$81</f>
        <v>0</v>
      </c>
      <c r="L62" s="23">
        <f>'[2]А-4'!$R$81</f>
        <v>0</v>
      </c>
      <c r="M62" s="23">
        <f>'[2]А-4'!$AD$81</f>
        <v>0</v>
      </c>
      <c r="N62" s="22">
        <f>L62*10/J62</f>
        <v>0</v>
      </c>
      <c r="O62" s="22">
        <v>0</v>
      </c>
      <c r="P62" s="28">
        <f t="shared" si="31"/>
        <v>0</v>
      </c>
      <c r="Q62" s="28">
        <v>0</v>
      </c>
      <c r="R62" s="23">
        <f aca="true" t="shared" si="39" ref="R62:S78">ROUNDDOWN((P62*G62),0)</f>
        <v>0</v>
      </c>
      <c r="S62" s="23">
        <f t="shared" si="39"/>
        <v>0</v>
      </c>
      <c r="T62" s="16">
        <f aca="true" t="shared" si="40" ref="T62:T78">R62+S62</f>
        <v>0</v>
      </c>
      <c r="U62" s="26">
        <f t="shared" si="15"/>
        <v>0</v>
      </c>
      <c r="V62" s="9">
        <v>8</v>
      </c>
      <c r="W62" s="26">
        <f aca="true" t="shared" si="41" ref="W62:W78">IF(V62&lt;=U62,V62,U62)</f>
        <v>0</v>
      </c>
      <c r="X62" s="53">
        <f t="shared" si="1"/>
        <v>0</v>
      </c>
    </row>
    <row r="63" spans="1:30" ht="12.75">
      <c r="A63" s="30">
        <f aca="true" t="shared" si="42" ref="A63:A78">A62+1</f>
        <v>48</v>
      </c>
      <c r="B63" s="15" t="s">
        <v>120</v>
      </c>
      <c r="C63" s="9"/>
      <c r="D63" s="17">
        <f>'[2]А-4'!$F$82</f>
        <v>5</v>
      </c>
      <c r="E63" s="218">
        <f>'[4]Норматив и фактически 2009'!$F$72</f>
        <v>520</v>
      </c>
      <c r="F63" s="219">
        <f t="shared" si="35"/>
        <v>401.6372101233424</v>
      </c>
      <c r="G63" s="220">
        <f t="shared" si="36"/>
        <v>257.6904340151365</v>
      </c>
      <c r="H63" s="220">
        <f t="shared" si="37"/>
        <v>143.9467761082059</v>
      </c>
      <c r="I63" s="28">
        <f t="shared" si="38"/>
        <v>50</v>
      </c>
      <c r="J63" s="18">
        <f>'[2]А-4'!G82</f>
        <v>50</v>
      </c>
      <c r="K63" s="28">
        <f>'[2]А-4'!$H$82</f>
        <v>0</v>
      </c>
      <c r="L63" s="23">
        <f>'[2]А-4'!$R$82</f>
        <v>2</v>
      </c>
      <c r="M63" s="23">
        <f>'[2]А-4'!$AD$82</f>
        <v>0</v>
      </c>
      <c r="N63" s="22">
        <f>L63*10/J63</f>
        <v>0.4</v>
      </c>
      <c r="O63" s="22">
        <v>0</v>
      </c>
      <c r="P63" s="28">
        <f t="shared" si="31"/>
        <v>0.1</v>
      </c>
      <c r="Q63" s="28">
        <v>0</v>
      </c>
      <c r="R63" s="23">
        <f t="shared" si="39"/>
        <v>25</v>
      </c>
      <c r="S63" s="23">
        <f t="shared" si="39"/>
        <v>0</v>
      </c>
      <c r="T63" s="16">
        <f t="shared" si="40"/>
        <v>25</v>
      </c>
      <c r="U63" s="26">
        <f t="shared" si="15"/>
        <v>0</v>
      </c>
      <c r="V63" s="9">
        <v>17</v>
      </c>
      <c r="W63" s="26">
        <f t="shared" si="41"/>
        <v>0</v>
      </c>
      <c r="X63" s="53">
        <f t="shared" si="1"/>
        <v>0.06224522870359179</v>
      </c>
      <c r="AD63" s="56">
        <f>9064.2-R61</f>
        <v>6632.200000000001</v>
      </c>
    </row>
    <row r="64" spans="1:24" ht="12.75">
      <c r="A64" s="30">
        <f t="shared" si="42"/>
        <v>49</v>
      </c>
      <c r="B64" s="15" t="s">
        <v>121</v>
      </c>
      <c r="C64" s="9"/>
      <c r="D64" s="17">
        <f>'[2]А-4'!$F$83</f>
        <v>22</v>
      </c>
      <c r="E64" s="218">
        <f>'[4]Норматив и фактически 2009'!$F$73</f>
        <v>2256</v>
      </c>
      <c r="F64" s="219">
        <f t="shared" si="35"/>
        <v>1742.4875885351164</v>
      </c>
      <c r="G64" s="220">
        <f t="shared" si="36"/>
        <v>1117.9800368041306</v>
      </c>
      <c r="H64" s="220">
        <f t="shared" si="37"/>
        <v>624.5075517309857</v>
      </c>
      <c r="I64" s="28">
        <f t="shared" si="38"/>
        <v>220</v>
      </c>
      <c r="J64" s="18">
        <f>'[2]А-4'!G83</f>
        <v>171</v>
      </c>
      <c r="K64" s="28">
        <f>'[2]А-4'!$H$83</f>
        <v>49</v>
      </c>
      <c r="L64" s="23">
        <f>'[2]А-4'!$R$83</f>
        <v>11</v>
      </c>
      <c r="M64" s="23">
        <f>'[2]А-4'!$AD$83</f>
        <v>0</v>
      </c>
      <c r="N64" s="22">
        <f>L64*10/J64</f>
        <v>0.6432748538011696</v>
      </c>
      <c r="O64" s="22">
        <f>ROUND(M64/K64*10,3)</f>
        <v>0</v>
      </c>
      <c r="P64" s="28">
        <f t="shared" si="31"/>
        <v>0.2</v>
      </c>
      <c r="Q64" s="28">
        <f t="shared" si="31"/>
        <v>0</v>
      </c>
      <c r="R64" s="23">
        <f t="shared" si="39"/>
        <v>223</v>
      </c>
      <c r="S64" s="23">
        <f t="shared" si="39"/>
        <v>0</v>
      </c>
      <c r="T64" s="16">
        <f t="shared" si="40"/>
        <v>223</v>
      </c>
      <c r="U64" s="26">
        <f t="shared" si="15"/>
        <v>40</v>
      </c>
      <c r="V64" s="9">
        <v>60</v>
      </c>
      <c r="W64" s="26">
        <f t="shared" si="41"/>
        <v>40</v>
      </c>
      <c r="X64" s="53">
        <f t="shared" si="1"/>
        <v>0.12797795603667558</v>
      </c>
    </row>
    <row r="65" spans="1:25" s="31" customFormat="1" ht="12.75">
      <c r="A65" s="30">
        <f t="shared" si="42"/>
        <v>50</v>
      </c>
      <c r="B65" s="15" t="s">
        <v>122</v>
      </c>
      <c r="C65" s="9"/>
      <c r="D65" s="17">
        <f>'[2]А-4'!$F$84</f>
        <v>4</v>
      </c>
      <c r="E65" s="218">
        <f>'[4]Норматив и фактически 2009'!$F$74</f>
        <v>256</v>
      </c>
      <c r="F65" s="219">
        <f t="shared" si="35"/>
        <v>197.72908806072243</v>
      </c>
      <c r="G65" s="220">
        <f t="shared" si="36"/>
        <v>126.8629828997595</v>
      </c>
      <c r="H65" s="220">
        <f t="shared" si="37"/>
        <v>70.86610516096292</v>
      </c>
      <c r="I65" s="28">
        <f t="shared" si="38"/>
        <v>40</v>
      </c>
      <c r="J65" s="18">
        <f>'[2]А-4'!G84</f>
        <v>18</v>
      </c>
      <c r="K65" s="28">
        <f>'[2]А-4'!$H$84</f>
        <v>22</v>
      </c>
      <c r="L65" s="23">
        <f>'[2]А-4'!$R$84</f>
        <v>0</v>
      </c>
      <c r="M65" s="23">
        <f>'[2]А-4'!$AD$84</f>
        <v>5</v>
      </c>
      <c r="N65" s="22">
        <f>L65*10/J65</f>
        <v>0</v>
      </c>
      <c r="O65" s="22">
        <f>ROUND(M65/K65*10,3)</f>
        <v>2.273</v>
      </c>
      <c r="P65" s="28">
        <f t="shared" si="31"/>
        <v>0</v>
      </c>
      <c r="Q65" s="28">
        <f t="shared" si="31"/>
        <v>0.8</v>
      </c>
      <c r="R65" s="23">
        <f t="shared" si="39"/>
        <v>0</v>
      </c>
      <c r="S65" s="23">
        <f t="shared" si="39"/>
        <v>56</v>
      </c>
      <c r="T65" s="16">
        <f t="shared" si="40"/>
        <v>56</v>
      </c>
      <c r="U65" s="26">
        <f t="shared" si="15"/>
        <v>10</v>
      </c>
      <c r="V65" s="9">
        <v>10</v>
      </c>
      <c r="W65" s="26">
        <f t="shared" si="41"/>
        <v>10</v>
      </c>
      <c r="X65" s="53">
        <f t="shared" si="1"/>
        <v>0.2832157906013426</v>
      </c>
      <c r="Y65" s="87"/>
    </row>
    <row r="66" spans="1:36" ht="12.75">
      <c r="A66" s="30">
        <f t="shared" si="42"/>
        <v>51</v>
      </c>
      <c r="B66" s="147" t="s">
        <v>19</v>
      </c>
      <c r="C66" s="148"/>
      <c r="D66" s="17">
        <f>'[2]А-4'!$F$85</f>
        <v>0</v>
      </c>
      <c r="E66" s="218">
        <f>'[4]Норматив и фактически 2009'!$F$75</f>
        <v>1728</v>
      </c>
      <c r="F66" s="219">
        <f t="shared" si="35"/>
        <v>1334.6713444098764</v>
      </c>
      <c r="G66" s="220">
        <f t="shared" si="36"/>
        <v>856.3251345733767</v>
      </c>
      <c r="H66" s="220">
        <f t="shared" si="37"/>
        <v>478.34620983649967</v>
      </c>
      <c r="I66" s="28">
        <f t="shared" si="38"/>
        <v>0</v>
      </c>
      <c r="J66" s="18">
        <f>'[2]А-4'!G85</f>
        <v>0</v>
      </c>
      <c r="K66" s="28">
        <f>'[2]А-4'!$H$85</f>
        <v>0</v>
      </c>
      <c r="L66" s="23">
        <f>'[2]А-4'!$R$85</f>
        <v>0</v>
      </c>
      <c r="M66" s="23">
        <f>'[2]А-4'!$AD$85</f>
        <v>0</v>
      </c>
      <c r="N66" s="22">
        <v>0</v>
      </c>
      <c r="O66" s="22">
        <v>0</v>
      </c>
      <c r="P66" s="28">
        <f t="shared" si="31"/>
        <v>0</v>
      </c>
      <c r="Q66" s="28">
        <f t="shared" si="31"/>
        <v>0</v>
      </c>
      <c r="R66" s="23">
        <f t="shared" si="39"/>
        <v>0</v>
      </c>
      <c r="S66" s="23">
        <f t="shared" si="39"/>
        <v>0</v>
      </c>
      <c r="T66" s="16">
        <f t="shared" si="40"/>
        <v>0</v>
      </c>
      <c r="U66" s="26">
        <f t="shared" si="15"/>
        <v>0</v>
      </c>
      <c r="V66" s="9"/>
      <c r="W66" s="26">
        <f t="shared" si="41"/>
        <v>0</v>
      </c>
      <c r="X66" s="53">
        <f t="shared" si="1"/>
        <v>0</v>
      </c>
      <c r="AJ66" s="57"/>
    </row>
    <row r="67" spans="1:24" ht="12.75">
      <c r="A67" s="30">
        <f t="shared" si="42"/>
        <v>52</v>
      </c>
      <c r="B67" s="8" t="s">
        <v>79</v>
      </c>
      <c r="C67" s="9"/>
      <c r="D67" s="17">
        <f>'[2]А-4'!$F$86</f>
        <v>3</v>
      </c>
      <c r="E67" s="218">
        <v>178</v>
      </c>
      <c r="F67" s="219">
        <f t="shared" si="35"/>
        <v>137.48350654222108</v>
      </c>
      <c r="G67" s="220">
        <f t="shared" si="36"/>
        <v>88.20941779748904</v>
      </c>
      <c r="H67" s="220">
        <f t="shared" si="37"/>
        <v>49.27408874473203</v>
      </c>
      <c r="I67" s="28">
        <f t="shared" si="38"/>
        <v>31.8</v>
      </c>
      <c r="J67" s="18">
        <f>'[2]А-4'!G86</f>
        <v>10.2</v>
      </c>
      <c r="K67" s="28">
        <f>'[2]А-4'!$H$86</f>
        <v>21.6</v>
      </c>
      <c r="L67" s="23">
        <f>'[2]А-4'!$R$86</f>
        <v>11</v>
      </c>
      <c r="M67" s="23">
        <f>'[2]А-4'!$AD$86</f>
        <v>11</v>
      </c>
      <c r="N67" s="22">
        <f>L67*10/J67</f>
        <v>10.784313725490197</v>
      </c>
      <c r="O67" s="22">
        <f>ROUND(M67/K67*10,3)</f>
        <v>5.093</v>
      </c>
      <c r="P67" s="28">
        <f>ROUND(N67*$M$9,1)</f>
        <v>3.8</v>
      </c>
      <c r="Q67" s="28">
        <f t="shared" si="31"/>
        <v>1.8</v>
      </c>
      <c r="R67" s="23">
        <f t="shared" si="39"/>
        <v>335</v>
      </c>
      <c r="S67" s="23">
        <f t="shared" si="39"/>
        <v>88</v>
      </c>
      <c r="T67" s="16">
        <f t="shared" si="40"/>
        <v>423</v>
      </c>
      <c r="U67" s="26">
        <f t="shared" si="15"/>
        <v>76</v>
      </c>
      <c r="V67" s="9"/>
      <c r="W67" s="26">
        <f>U67</f>
        <v>76</v>
      </c>
      <c r="X67" s="53">
        <f t="shared" si="1"/>
        <v>3.0767326978970893</v>
      </c>
    </row>
    <row r="68" spans="1:24" ht="12.75">
      <c r="A68" s="30">
        <f t="shared" si="42"/>
        <v>53</v>
      </c>
      <c r="B68" s="147" t="s">
        <v>20</v>
      </c>
      <c r="C68" s="148"/>
      <c r="D68" s="17">
        <f>'[2]А-4'!$F$87</f>
        <v>0</v>
      </c>
      <c r="E68" s="218">
        <f>'[4]Норматив и фактически 2009'!$F$78</f>
        <v>202</v>
      </c>
      <c r="F68" s="219">
        <f t="shared" si="35"/>
        <v>156.02060854791378</v>
      </c>
      <c r="G68" s="220">
        <f t="shared" si="36"/>
        <v>100.10282244434147</v>
      </c>
      <c r="H68" s="220">
        <f t="shared" si="37"/>
        <v>55.9177861035723</v>
      </c>
      <c r="I68" s="28">
        <f t="shared" si="38"/>
        <v>0</v>
      </c>
      <c r="J68" s="18">
        <f>'[2]А-4'!G87</f>
        <v>0</v>
      </c>
      <c r="K68" s="28">
        <f>'[2]А-4'!$H$87</f>
        <v>0</v>
      </c>
      <c r="L68" s="23">
        <f>'[2]А-4'!$R$87</f>
        <v>0</v>
      </c>
      <c r="M68" s="23">
        <f>'[2]А-4'!$AD$87</f>
        <v>0</v>
      </c>
      <c r="N68" s="22">
        <v>0</v>
      </c>
      <c r="O68" s="22">
        <v>0</v>
      </c>
      <c r="P68" s="28">
        <f>ROUND(N68*$M$9,1)</f>
        <v>0</v>
      </c>
      <c r="Q68" s="28">
        <f aca="true" t="shared" si="43" ref="Q68:Q92">ROUND(O68*$M$9,1)</f>
        <v>0</v>
      </c>
      <c r="R68" s="23">
        <f t="shared" si="39"/>
        <v>0</v>
      </c>
      <c r="S68" s="23">
        <f t="shared" si="39"/>
        <v>0</v>
      </c>
      <c r="T68" s="16">
        <f t="shared" si="40"/>
        <v>0</v>
      </c>
      <c r="U68" s="26">
        <f t="shared" si="15"/>
        <v>0</v>
      </c>
      <c r="V68" s="9"/>
      <c r="W68" s="26">
        <f t="shared" si="41"/>
        <v>0</v>
      </c>
      <c r="X68" s="53">
        <f t="shared" si="1"/>
        <v>0</v>
      </c>
    </row>
    <row r="69" spans="1:28" ht="12.75">
      <c r="A69" s="30">
        <f t="shared" si="42"/>
        <v>54</v>
      </c>
      <c r="B69" s="147" t="s">
        <v>36</v>
      </c>
      <c r="C69" s="148"/>
      <c r="D69" s="17">
        <f>'[2]А-4'!$F$88</f>
        <v>0</v>
      </c>
      <c r="E69" s="218">
        <v>208</v>
      </c>
      <c r="F69" s="219">
        <f t="shared" si="35"/>
        <v>160.65488404933697</v>
      </c>
      <c r="G69" s="220">
        <f t="shared" si="36"/>
        <v>103.0761736060546</v>
      </c>
      <c r="H69" s="220">
        <f t="shared" si="37"/>
        <v>57.57871044328237</v>
      </c>
      <c r="I69" s="28">
        <f t="shared" si="38"/>
        <v>0</v>
      </c>
      <c r="J69" s="18">
        <f>'[2]А-4'!G88</f>
        <v>0</v>
      </c>
      <c r="K69" s="28">
        <f>'[2]А-4'!$H$88</f>
        <v>0</v>
      </c>
      <c r="L69" s="23">
        <f>'[2]А-4'!$R$88</f>
        <v>0</v>
      </c>
      <c r="M69" s="23">
        <f>'[2]А-4'!$AD$88</f>
        <v>0</v>
      </c>
      <c r="N69" s="22">
        <v>0</v>
      </c>
      <c r="O69" s="22">
        <v>0</v>
      </c>
      <c r="P69" s="28">
        <f>ROUND(N69*$M$9,1)</f>
        <v>0</v>
      </c>
      <c r="Q69" s="28">
        <f t="shared" si="43"/>
        <v>0</v>
      </c>
      <c r="R69" s="23">
        <f t="shared" si="39"/>
        <v>0</v>
      </c>
      <c r="S69" s="23">
        <f t="shared" si="39"/>
        <v>0</v>
      </c>
      <c r="T69" s="16">
        <f t="shared" si="40"/>
        <v>0</v>
      </c>
      <c r="U69" s="26">
        <f t="shared" si="15"/>
        <v>0</v>
      </c>
      <c r="V69" s="9"/>
      <c r="W69" s="26">
        <f t="shared" si="41"/>
        <v>0</v>
      </c>
      <c r="X69" s="53">
        <f t="shared" si="1"/>
        <v>0</v>
      </c>
      <c r="AB69">
        <f>9064.2-8805</f>
        <v>259.2000000000007</v>
      </c>
    </row>
    <row r="70" spans="1:28" ht="12.75">
      <c r="A70" s="30">
        <f t="shared" si="42"/>
        <v>55</v>
      </c>
      <c r="B70" s="147" t="s">
        <v>80</v>
      </c>
      <c r="C70" s="147"/>
      <c r="D70" s="17">
        <f>'[2]А-4'!$F$89</f>
        <v>0</v>
      </c>
      <c r="E70" s="218">
        <v>605.2</v>
      </c>
      <c r="F70" s="219">
        <f t="shared" si="35"/>
        <v>467.44392224355164</v>
      </c>
      <c r="G70" s="220">
        <f t="shared" si="36"/>
        <v>299.9120205114627</v>
      </c>
      <c r="H70" s="220">
        <f t="shared" si="37"/>
        <v>167.5319017320889</v>
      </c>
      <c r="I70" s="28">
        <f t="shared" si="38"/>
        <v>0</v>
      </c>
      <c r="J70" s="18">
        <f>'[2]А-4'!G89</f>
        <v>0</v>
      </c>
      <c r="K70" s="28">
        <f>'[2]А-4'!$H$89</f>
        <v>0</v>
      </c>
      <c r="L70" s="23">
        <f>'[2]А-4'!$R$89</f>
        <v>0</v>
      </c>
      <c r="M70" s="23">
        <f>'[2]А-4'!$AD$89</f>
        <v>0</v>
      </c>
      <c r="N70" s="22">
        <v>0</v>
      </c>
      <c r="O70" s="22">
        <v>0</v>
      </c>
      <c r="P70" s="28">
        <f>ROUND(N70*$M$9,1)</f>
        <v>0</v>
      </c>
      <c r="Q70" s="28">
        <f t="shared" si="43"/>
        <v>0</v>
      </c>
      <c r="R70" s="23">
        <f t="shared" si="39"/>
        <v>0</v>
      </c>
      <c r="S70" s="23">
        <f t="shared" si="39"/>
        <v>0</v>
      </c>
      <c r="T70" s="16">
        <f t="shared" si="40"/>
        <v>0</v>
      </c>
      <c r="U70" s="26">
        <f t="shared" si="15"/>
        <v>0</v>
      </c>
      <c r="V70" s="9"/>
      <c r="W70" s="26">
        <f>U70</f>
        <v>0</v>
      </c>
      <c r="X70" s="53">
        <f t="shared" si="1"/>
        <v>0</v>
      </c>
      <c r="AB70">
        <f>178+AB69</f>
        <v>437.2000000000007</v>
      </c>
    </row>
    <row r="71" spans="1:24" ht="12.75">
      <c r="A71" s="30">
        <f t="shared" si="42"/>
        <v>56</v>
      </c>
      <c r="B71" s="8" t="s">
        <v>81</v>
      </c>
      <c r="C71" s="8"/>
      <c r="D71" s="17">
        <f>'[2]А-4'!$F$90</f>
        <v>2</v>
      </c>
      <c r="E71" s="218">
        <f>'[4]Норматив и фактически 2009'!$F$81</f>
        <v>110</v>
      </c>
      <c r="F71" s="219">
        <f t="shared" si="35"/>
        <v>84.96171752609168</v>
      </c>
      <c r="G71" s="220">
        <f t="shared" si="36"/>
        <v>54.511437964740416</v>
      </c>
      <c r="H71" s="220">
        <f t="shared" si="37"/>
        <v>30.450279561351255</v>
      </c>
      <c r="I71" s="28">
        <f t="shared" si="38"/>
        <v>21.7</v>
      </c>
      <c r="J71" s="18">
        <f>'[2]А-4'!G90</f>
        <v>0</v>
      </c>
      <c r="K71" s="28">
        <f>'[2]А-4'!$H$90</f>
        <v>21.7</v>
      </c>
      <c r="L71" s="23">
        <f>'[2]А-4'!$R$90</f>
        <v>0</v>
      </c>
      <c r="M71" s="23">
        <f>'[2]А-4'!$AD$90</f>
        <v>18</v>
      </c>
      <c r="N71" s="22">
        <v>0</v>
      </c>
      <c r="O71" s="22">
        <f>ROUND(M71/K71*10,3)</f>
        <v>8.295</v>
      </c>
      <c r="P71" s="28">
        <f>ROUND(N71*$M$9,1)</f>
        <v>0</v>
      </c>
      <c r="Q71" s="28">
        <f t="shared" si="43"/>
        <v>2.9</v>
      </c>
      <c r="R71" s="23">
        <f t="shared" si="39"/>
        <v>0</v>
      </c>
      <c r="S71" s="23">
        <f t="shared" si="39"/>
        <v>88</v>
      </c>
      <c r="T71" s="16">
        <f t="shared" si="40"/>
        <v>88</v>
      </c>
      <c r="U71" s="26">
        <f t="shared" si="15"/>
        <v>15</v>
      </c>
      <c r="V71" s="15"/>
      <c r="W71" s="26">
        <f>U71</f>
        <v>15</v>
      </c>
      <c r="X71" s="53">
        <f t="shared" si="1"/>
        <v>1.0357606056277673</v>
      </c>
    </row>
    <row r="72" spans="1:24" ht="12.75">
      <c r="A72" s="30">
        <f t="shared" si="42"/>
        <v>57</v>
      </c>
      <c r="B72" s="35" t="s">
        <v>123</v>
      </c>
      <c r="C72" s="37"/>
      <c r="D72" s="17">
        <f>'[2]А-4'!$F$92</f>
        <v>5</v>
      </c>
      <c r="E72" s="218">
        <v>582.175</v>
      </c>
      <c r="F72" s="219">
        <f t="shared" si="35"/>
        <v>449.6598900068401</v>
      </c>
      <c r="G72" s="220">
        <f t="shared" si="36"/>
        <v>288.5017854283886</v>
      </c>
      <c r="H72" s="220">
        <f t="shared" si="37"/>
        <v>161.15810457845149</v>
      </c>
      <c r="I72" s="28">
        <f t="shared" si="38"/>
        <v>56</v>
      </c>
      <c r="J72" s="18">
        <f>'[2]А-4'!G92</f>
        <v>29.2</v>
      </c>
      <c r="K72" s="28">
        <f>'[2]А-4'!$H$92</f>
        <v>26.8</v>
      </c>
      <c r="L72" s="23">
        <f>'[2]А-4'!$R$92</f>
        <v>18</v>
      </c>
      <c r="M72" s="23">
        <f>'[2]А-4'!$AD$91</f>
        <v>0</v>
      </c>
      <c r="N72" s="22">
        <f>L72*10/J72</f>
        <v>6.164383561643835</v>
      </c>
      <c r="O72" s="22">
        <f>ROUND(M72/K72*10,3)</f>
        <v>0</v>
      </c>
      <c r="P72" s="28">
        <f aca="true" t="shared" si="44" ref="P72:Q118">ROUND(N72*$M$9,1)</f>
        <v>2.2</v>
      </c>
      <c r="Q72" s="28">
        <f t="shared" si="43"/>
        <v>0</v>
      </c>
      <c r="R72" s="23">
        <f t="shared" si="39"/>
        <v>634</v>
      </c>
      <c r="S72" s="23">
        <f t="shared" si="39"/>
        <v>0</v>
      </c>
      <c r="T72" s="16">
        <f t="shared" si="40"/>
        <v>634</v>
      </c>
      <c r="U72" s="26">
        <f t="shared" si="15"/>
        <v>114</v>
      </c>
      <c r="V72" s="9"/>
      <c r="W72" s="26">
        <f>U72</f>
        <v>114</v>
      </c>
      <c r="X72" s="53">
        <f t="shared" si="1"/>
        <v>1.409954532503123</v>
      </c>
    </row>
    <row r="73" spans="1:24" ht="12.75">
      <c r="A73" s="30">
        <f t="shared" si="42"/>
        <v>58</v>
      </c>
      <c r="B73" s="138" t="s">
        <v>50</v>
      </c>
      <c r="C73" s="139"/>
      <c r="D73" s="17">
        <f>'[2]А-4'!$F$93</f>
        <v>0</v>
      </c>
      <c r="E73" s="218">
        <v>685</v>
      </c>
      <c r="F73" s="219">
        <f t="shared" si="35"/>
        <v>529.07978641248</v>
      </c>
      <c r="G73" s="220">
        <f t="shared" si="36"/>
        <v>339.45759096224714</v>
      </c>
      <c r="H73" s="220">
        <f t="shared" si="37"/>
        <v>189.62219545023282</v>
      </c>
      <c r="I73" s="28">
        <f t="shared" si="38"/>
        <v>0</v>
      </c>
      <c r="J73" s="18">
        <f>'[2]А-4'!G93</f>
        <v>0</v>
      </c>
      <c r="K73" s="28">
        <f>'[2]А-4'!$H$93</f>
        <v>0</v>
      </c>
      <c r="L73" s="23">
        <f>'[2]А-4'!$R$93</f>
        <v>0</v>
      </c>
      <c r="M73" s="23">
        <f>'[2]А-4'!$AD$93</f>
        <v>0</v>
      </c>
      <c r="N73" s="22">
        <v>0</v>
      </c>
      <c r="O73" s="22">
        <v>0</v>
      </c>
      <c r="P73" s="28">
        <f t="shared" si="44"/>
        <v>0</v>
      </c>
      <c r="Q73" s="28">
        <f t="shared" si="43"/>
        <v>0</v>
      </c>
      <c r="R73" s="23">
        <f t="shared" si="39"/>
        <v>0</v>
      </c>
      <c r="S73" s="23">
        <f t="shared" si="39"/>
        <v>0</v>
      </c>
      <c r="T73" s="16">
        <f t="shared" si="40"/>
        <v>0</v>
      </c>
      <c r="U73" s="26">
        <f t="shared" si="15"/>
        <v>0</v>
      </c>
      <c r="V73" s="9"/>
      <c r="W73" s="26">
        <v>0</v>
      </c>
      <c r="X73" s="53">
        <f t="shared" si="1"/>
        <v>0</v>
      </c>
    </row>
    <row r="74" spans="1:24" ht="12.75">
      <c r="A74" s="30">
        <f t="shared" si="42"/>
        <v>59</v>
      </c>
      <c r="B74" s="35" t="s">
        <v>43</v>
      </c>
      <c r="C74" s="36"/>
      <c r="D74" s="17">
        <f>'[2]А-4'!$F$94</f>
        <v>3</v>
      </c>
      <c r="E74" s="218">
        <v>168</v>
      </c>
      <c r="F74" s="219">
        <f t="shared" si="35"/>
        <v>129.7597140398491</v>
      </c>
      <c r="G74" s="220">
        <f t="shared" si="36"/>
        <v>83.25383252796716</v>
      </c>
      <c r="H74" s="220">
        <f t="shared" si="37"/>
        <v>46.50588151188191</v>
      </c>
      <c r="I74" s="28">
        <f t="shared" si="38"/>
        <v>32.5</v>
      </c>
      <c r="J74" s="18">
        <f>'[2]А-4'!G94</f>
        <v>10.5</v>
      </c>
      <c r="K74" s="28">
        <f>'[2]А-4'!$H$94</f>
        <v>22</v>
      </c>
      <c r="L74" s="23">
        <f>'[2]А-4'!$R$94</f>
        <v>7</v>
      </c>
      <c r="M74" s="23">
        <f>'[2]А-4'!$AD$94</f>
        <v>12</v>
      </c>
      <c r="N74" s="22">
        <f>L74*10/J74</f>
        <v>6.666666666666667</v>
      </c>
      <c r="O74" s="22">
        <f>ROUND(M74/K74*10,3)</f>
        <v>5.455</v>
      </c>
      <c r="P74" s="28">
        <f t="shared" si="44"/>
        <v>2.3</v>
      </c>
      <c r="Q74" s="28">
        <f t="shared" si="43"/>
        <v>1.9</v>
      </c>
      <c r="R74" s="23">
        <f t="shared" si="39"/>
        <v>191</v>
      </c>
      <c r="S74" s="23">
        <f t="shared" si="39"/>
        <v>88</v>
      </c>
      <c r="T74" s="16">
        <f t="shared" si="40"/>
        <v>279</v>
      </c>
      <c r="U74" s="26">
        <f t="shared" si="15"/>
        <v>50</v>
      </c>
      <c r="V74" s="9"/>
      <c r="W74" s="26">
        <f>U74</f>
        <v>50</v>
      </c>
      <c r="X74" s="53">
        <f t="shared" si="1"/>
        <v>2.150128042932642</v>
      </c>
    </row>
    <row r="75" spans="1:24" ht="12.75">
      <c r="A75" s="30">
        <f t="shared" si="42"/>
        <v>60</v>
      </c>
      <c r="B75" s="41" t="s">
        <v>66</v>
      </c>
      <c r="C75" s="42"/>
      <c r="D75" s="17">
        <f>'[2]А-4'!$F$95</f>
        <v>1</v>
      </c>
      <c r="E75" s="218">
        <f>'[4]Норматив и фактически 2009'!$F$87</f>
        <v>160</v>
      </c>
      <c r="F75" s="219">
        <f t="shared" si="35"/>
        <v>123.58068003795152</v>
      </c>
      <c r="G75" s="220">
        <f t="shared" si="36"/>
        <v>79.28936431234969</v>
      </c>
      <c r="H75" s="220">
        <f t="shared" si="37"/>
        <v>44.29131572560183</v>
      </c>
      <c r="I75" s="28">
        <f t="shared" si="38"/>
        <v>10.3</v>
      </c>
      <c r="J75" s="18">
        <f>'[2]А-4'!G95</f>
        <v>0</v>
      </c>
      <c r="K75" s="28">
        <f>'[2]А-4'!$H$95</f>
        <v>10.3</v>
      </c>
      <c r="L75" s="23">
        <f>'[2]А-4'!$R$95</f>
        <v>0</v>
      </c>
      <c r="M75" s="23">
        <f>'[2]А-4'!$AD$95</f>
        <v>3</v>
      </c>
      <c r="N75" s="22">
        <v>0</v>
      </c>
      <c r="O75" s="22">
        <f>ROUND(M75/K75*10,3)</f>
        <v>2.913</v>
      </c>
      <c r="P75" s="28">
        <f t="shared" si="44"/>
        <v>0</v>
      </c>
      <c r="Q75" s="28">
        <f t="shared" si="43"/>
        <v>1</v>
      </c>
      <c r="R75" s="23">
        <f t="shared" si="39"/>
        <v>0</v>
      </c>
      <c r="S75" s="23">
        <f t="shared" si="39"/>
        <v>44</v>
      </c>
      <c r="T75" s="16">
        <f t="shared" si="40"/>
        <v>44</v>
      </c>
      <c r="U75" s="26">
        <f t="shared" si="15"/>
        <v>7</v>
      </c>
      <c r="V75" s="9"/>
      <c r="W75" s="26">
        <f>U75</f>
        <v>7</v>
      </c>
      <c r="X75" s="53">
        <f t="shared" si="1"/>
        <v>0.356042708184545</v>
      </c>
    </row>
    <row r="76" spans="1:24" ht="12.75">
      <c r="A76" s="30">
        <f t="shared" si="42"/>
        <v>61</v>
      </c>
      <c r="B76" s="147" t="s">
        <v>21</v>
      </c>
      <c r="C76" s="151"/>
      <c r="D76" s="17">
        <f>'[2]А-4'!$F$96</f>
        <v>0</v>
      </c>
      <c r="E76" s="218">
        <v>526.4</v>
      </c>
      <c r="F76" s="219">
        <f t="shared" si="35"/>
        <v>406.5804373248605</v>
      </c>
      <c r="G76" s="220">
        <f t="shared" si="36"/>
        <v>260.8620085876305</v>
      </c>
      <c r="H76" s="220">
        <f t="shared" si="37"/>
        <v>145.71842873723</v>
      </c>
      <c r="I76" s="28">
        <f t="shared" si="38"/>
        <v>0</v>
      </c>
      <c r="J76" s="18">
        <f>'[2]А-4'!G96</f>
        <v>0</v>
      </c>
      <c r="K76" s="28">
        <f>'[2]А-4'!$H$96</f>
        <v>0</v>
      </c>
      <c r="L76" s="23">
        <f>'[2]А-4'!$R$96</f>
        <v>0</v>
      </c>
      <c r="M76" s="23">
        <f>'[2]А-4'!$AD$96</f>
        <v>0</v>
      </c>
      <c r="N76" s="22">
        <v>0</v>
      </c>
      <c r="O76" s="22">
        <v>0</v>
      </c>
      <c r="P76" s="28">
        <f t="shared" si="44"/>
        <v>0</v>
      </c>
      <c r="Q76" s="28">
        <f t="shared" si="43"/>
        <v>0</v>
      </c>
      <c r="R76" s="23">
        <f t="shared" si="39"/>
        <v>0</v>
      </c>
      <c r="S76" s="23">
        <f t="shared" si="39"/>
        <v>0</v>
      </c>
      <c r="T76" s="16">
        <f t="shared" si="40"/>
        <v>0</v>
      </c>
      <c r="U76" s="26">
        <f t="shared" si="15"/>
        <v>0</v>
      </c>
      <c r="V76" s="9"/>
      <c r="W76" s="26">
        <f t="shared" si="41"/>
        <v>0</v>
      </c>
      <c r="X76" s="53">
        <f aca="true" t="shared" si="45" ref="X76:X118">T76/F76</f>
        <v>0</v>
      </c>
    </row>
    <row r="77" spans="1:24" ht="12.75">
      <c r="A77" s="30">
        <f t="shared" si="42"/>
        <v>62</v>
      </c>
      <c r="B77" s="35" t="s">
        <v>35</v>
      </c>
      <c r="C77" s="36"/>
      <c r="D77" s="17">
        <f>'[2]А-4'!$F$97</f>
        <v>1</v>
      </c>
      <c r="E77" s="218">
        <v>154</v>
      </c>
      <c r="F77" s="219">
        <f t="shared" si="35"/>
        <v>118.94640453652833</v>
      </c>
      <c r="G77" s="220">
        <f t="shared" si="36"/>
        <v>76.31601315063658</v>
      </c>
      <c r="H77" s="220">
        <f t="shared" si="37"/>
        <v>42.630391385891755</v>
      </c>
      <c r="I77" s="28">
        <f t="shared" si="38"/>
        <v>11.8</v>
      </c>
      <c r="J77" s="18">
        <f>'[2]А-4'!G97</f>
        <v>7.8</v>
      </c>
      <c r="K77" s="28">
        <f>'[2]А-4'!$H$97</f>
        <v>4</v>
      </c>
      <c r="L77" s="23">
        <f>'[2]А-4'!$R$97</f>
        <v>9</v>
      </c>
      <c r="M77" s="23">
        <f>'[2]А-4'!$AD$97</f>
        <v>0</v>
      </c>
      <c r="N77" s="22">
        <f>L77*10/J77</f>
        <v>11.538461538461538</v>
      </c>
      <c r="O77" s="22">
        <f>ROUND(M77/K77*10,3)</f>
        <v>0</v>
      </c>
      <c r="P77" s="28">
        <f t="shared" si="44"/>
        <v>4</v>
      </c>
      <c r="Q77" s="28">
        <f t="shared" si="43"/>
        <v>0</v>
      </c>
      <c r="R77" s="23">
        <f t="shared" si="39"/>
        <v>305</v>
      </c>
      <c r="S77" s="23">
        <f t="shared" si="39"/>
        <v>0</v>
      </c>
      <c r="T77" s="16">
        <f t="shared" si="40"/>
        <v>305</v>
      </c>
      <c r="U77" s="26">
        <f t="shared" si="15"/>
        <v>54</v>
      </c>
      <c r="V77" s="9">
        <v>4</v>
      </c>
      <c r="W77" s="26">
        <f t="shared" si="41"/>
        <v>4</v>
      </c>
      <c r="X77" s="53">
        <f t="shared" si="45"/>
        <v>2.5641800707505604</v>
      </c>
    </row>
    <row r="78" spans="1:24" ht="15" customHeight="1">
      <c r="A78" s="30">
        <f t="shared" si="42"/>
        <v>63</v>
      </c>
      <c r="B78" s="46" t="s">
        <v>82</v>
      </c>
      <c r="C78" s="47"/>
      <c r="D78" s="17">
        <f>'[2]А-4'!$F$98</f>
        <v>6</v>
      </c>
      <c r="E78" s="218">
        <v>500.425</v>
      </c>
      <c r="F78" s="219">
        <f t="shared" si="35"/>
        <v>386.51788629994934</v>
      </c>
      <c r="G78" s="220">
        <f t="shared" si="36"/>
        <v>247.98987585004747</v>
      </c>
      <c r="H78" s="220">
        <f t="shared" si="37"/>
        <v>138.52801044990184</v>
      </c>
      <c r="I78" s="28">
        <f t="shared" si="38"/>
        <v>66.1</v>
      </c>
      <c r="J78" s="18">
        <f>'[2]А-4'!G98</f>
        <v>31.099999999999998</v>
      </c>
      <c r="K78" s="28">
        <f>'[2]А-4'!$H$98</f>
        <v>35</v>
      </c>
      <c r="L78" s="23">
        <f>'[2]А-4'!$R$98</f>
        <v>26</v>
      </c>
      <c r="M78" s="23">
        <f>'[2]А-4'!$AD$98</f>
        <v>28</v>
      </c>
      <c r="N78" s="22">
        <f>L78*10/J78</f>
        <v>8.360128617363344</v>
      </c>
      <c r="O78" s="22">
        <f>ROUND(M78/K78*10,3)</f>
        <v>8</v>
      </c>
      <c r="P78" s="28">
        <f t="shared" si="44"/>
        <v>2.9</v>
      </c>
      <c r="Q78" s="28">
        <f t="shared" si="43"/>
        <v>2.8</v>
      </c>
      <c r="R78" s="23">
        <f t="shared" si="39"/>
        <v>719</v>
      </c>
      <c r="S78" s="23">
        <f t="shared" si="39"/>
        <v>387</v>
      </c>
      <c r="T78" s="16">
        <f t="shared" si="40"/>
        <v>1106</v>
      </c>
      <c r="U78" s="26">
        <f t="shared" si="15"/>
        <v>199</v>
      </c>
      <c r="V78" s="9"/>
      <c r="W78" s="26">
        <f t="shared" si="41"/>
        <v>0</v>
      </c>
      <c r="X78" s="53">
        <f t="shared" si="45"/>
        <v>2.8614458455920233</v>
      </c>
    </row>
    <row r="79" spans="1:30" ht="30.75" customHeight="1">
      <c r="A79" s="249" t="s">
        <v>107</v>
      </c>
      <c r="B79" s="250"/>
      <c r="C79" s="251"/>
      <c r="D79" s="129">
        <f>SUM(D80:D92)</f>
        <v>69</v>
      </c>
      <c r="E79" s="125">
        <f>SUM(E80:E92)</f>
        <v>10201.95</v>
      </c>
      <c r="F79" s="125">
        <f aca="true" t="shared" si="46" ref="F79:M79">SUM(F80:F92)</f>
        <v>6324.96900117624</v>
      </c>
      <c r="G79" s="125">
        <f t="shared" si="46"/>
        <v>2154.2844418006275</v>
      </c>
      <c r="H79" s="125">
        <f t="shared" si="46"/>
        <v>4170.6845593756125</v>
      </c>
      <c r="I79" s="125">
        <f t="shared" si="46"/>
        <v>883.1999999999999</v>
      </c>
      <c r="J79" s="125">
        <f t="shared" si="46"/>
        <v>676.4300000000001</v>
      </c>
      <c r="K79" s="125">
        <f t="shared" si="46"/>
        <v>206.76999999999998</v>
      </c>
      <c r="L79" s="129">
        <f t="shared" si="46"/>
        <v>81</v>
      </c>
      <c r="M79" s="129">
        <f t="shared" si="46"/>
        <v>70</v>
      </c>
      <c r="N79" s="130">
        <f>ROUND(L79/J79*10,2)</f>
        <v>1.2</v>
      </c>
      <c r="O79" s="130">
        <f>ROUND(M79/K79*10,3)</f>
        <v>3.385</v>
      </c>
      <c r="P79" s="125">
        <f t="shared" si="44"/>
        <v>0.4</v>
      </c>
      <c r="Q79" s="125">
        <f t="shared" si="43"/>
        <v>1.2</v>
      </c>
      <c r="R79" s="129">
        <f aca="true" t="shared" si="47" ref="R79:W79">SUM(R80:R92)</f>
        <v>393</v>
      </c>
      <c r="S79" s="129">
        <f t="shared" si="47"/>
        <v>2405</v>
      </c>
      <c r="T79" s="129">
        <f t="shared" si="47"/>
        <v>2798</v>
      </c>
      <c r="U79" s="129">
        <f t="shared" si="47"/>
        <v>501</v>
      </c>
      <c r="V79" s="129">
        <f t="shared" si="47"/>
        <v>105</v>
      </c>
      <c r="W79" s="129">
        <f t="shared" si="47"/>
        <v>51</v>
      </c>
      <c r="X79" s="53">
        <f t="shared" si="45"/>
        <v>0.44237370957544014</v>
      </c>
      <c r="Y79" s="58">
        <f>6325/10202</f>
        <v>0.619976475200941</v>
      </c>
      <c r="AB79">
        <v>3408</v>
      </c>
      <c r="AD79" s="19">
        <f>AB79-T79</f>
        <v>610</v>
      </c>
    </row>
    <row r="80" spans="1:24" ht="12.75">
      <c r="A80" s="30">
        <f>A78+1</f>
        <v>64</v>
      </c>
      <c r="B80" s="147" t="s">
        <v>37</v>
      </c>
      <c r="C80" s="148"/>
      <c r="D80" s="17">
        <f>'[2]А-4'!$F$113</f>
        <v>0</v>
      </c>
      <c r="E80" s="218">
        <f>'[5]Норматив и фактически 2011'!$F$100</f>
        <v>215</v>
      </c>
      <c r="F80" s="219">
        <f aca="true" t="shared" si="48" ref="F80:F92">E80*$Y$79</f>
        <v>133.2949421682023</v>
      </c>
      <c r="G80" s="220">
        <f aca="true" t="shared" si="49" ref="G80:G92">F80*0.3406</f>
        <v>45.400257302489706</v>
      </c>
      <c r="H80" s="220">
        <f aca="true" t="shared" si="50" ref="H80:H92">F80*0.6594</f>
        <v>87.8946848657126</v>
      </c>
      <c r="I80" s="28">
        <f aca="true" t="shared" si="51" ref="I80:I92">J80+K80</f>
        <v>0</v>
      </c>
      <c r="J80" s="18">
        <f>'[2]А-4'!G113</f>
        <v>0</v>
      </c>
      <c r="K80" s="28">
        <f>'[2]А-4'!$H$113</f>
        <v>0</v>
      </c>
      <c r="L80" s="23">
        <f>'[2]А-4'!$R$113</f>
        <v>0</v>
      </c>
      <c r="M80" s="23">
        <f>'[2]А-4'!$AD$113</f>
        <v>0</v>
      </c>
      <c r="N80" s="22">
        <v>0</v>
      </c>
      <c r="O80" s="22">
        <v>0</v>
      </c>
      <c r="P80" s="28">
        <f t="shared" si="44"/>
        <v>0</v>
      </c>
      <c r="Q80" s="28">
        <f t="shared" si="43"/>
        <v>0</v>
      </c>
      <c r="R80" s="23">
        <f aca="true" t="shared" si="52" ref="R80:S92">ROUNDDOWN((P80*G80),0)</f>
        <v>0</v>
      </c>
      <c r="S80" s="23">
        <f t="shared" si="52"/>
        <v>0</v>
      </c>
      <c r="T80" s="16">
        <f aca="true" t="shared" si="53" ref="T80:T92">R80+S80</f>
        <v>0</v>
      </c>
      <c r="U80" s="26">
        <f t="shared" si="15"/>
        <v>0</v>
      </c>
      <c r="V80" s="9"/>
      <c r="W80" s="26">
        <f aca="true" t="shared" si="54" ref="W80:W88">IF(V80&lt;=U80,V80,U80)</f>
        <v>0</v>
      </c>
      <c r="X80" s="53">
        <f t="shared" si="45"/>
        <v>0</v>
      </c>
    </row>
    <row r="81" spans="1:24" ht="12.75">
      <c r="A81" s="30">
        <f>A80+1</f>
        <v>65</v>
      </c>
      <c r="B81" s="265" t="s">
        <v>88</v>
      </c>
      <c r="C81" s="266"/>
      <c r="D81" s="17">
        <f>'[2]А-4'!$F$114</f>
        <v>10</v>
      </c>
      <c r="E81" s="218">
        <v>917.285</v>
      </c>
      <c r="F81" s="219">
        <f t="shared" si="48"/>
        <v>568.6951210546952</v>
      </c>
      <c r="G81" s="220">
        <f t="shared" si="49"/>
        <v>193.69755823122918</v>
      </c>
      <c r="H81" s="220">
        <f t="shared" si="50"/>
        <v>374.99756282346596</v>
      </c>
      <c r="I81" s="28">
        <f t="shared" si="51"/>
        <v>100</v>
      </c>
      <c r="J81" s="18">
        <f>'[2]А-4'!G114</f>
        <v>75.5</v>
      </c>
      <c r="K81" s="28">
        <f>'[2]А-4'!$H$114</f>
        <v>24.5</v>
      </c>
      <c r="L81" s="23">
        <f>'[2]А-4'!$R$114</f>
        <v>16</v>
      </c>
      <c r="M81" s="23">
        <f>'[2]А-4'!$AD$114</f>
        <v>29</v>
      </c>
      <c r="N81" s="22">
        <f>L81*10/J81</f>
        <v>2.119205298013245</v>
      </c>
      <c r="O81" s="22">
        <f>ROUND(M81/K81*10,3)</f>
        <v>11.837</v>
      </c>
      <c r="P81" s="28">
        <f t="shared" si="44"/>
        <v>0.7</v>
      </c>
      <c r="Q81" s="28">
        <f t="shared" si="43"/>
        <v>4.1</v>
      </c>
      <c r="R81" s="23">
        <f t="shared" si="52"/>
        <v>135</v>
      </c>
      <c r="S81" s="23">
        <f t="shared" si="52"/>
        <v>1537</v>
      </c>
      <c r="T81" s="16">
        <f t="shared" si="53"/>
        <v>1672</v>
      </c>
      <c r="U81" s="26">
        <f t="shared" si="15"/>
        <v>300</v>
      </c>
      <c r="V81" s="9">
        <v>36</v>
      </c>
      <c r="W81" s="26">
        <f t="shared" si="54"/>
        <v>36</v>
      </c>
      <c r="X81" s="53">
        <f t="shared" si="45"/>
        <v>2.940063907879373</v>
      </c>
    </row>
    <row r="82" spans="1:24" ht="12.75">
      <c r="A82" s="30">
        <f aca="true" t="shared" si="55" ref="A82:A92">A81+1</f>
        <v>66</v>
      </c>
      <c r="B82" s="10" t="s">
        <v>86</v>
      </c>
      <c r="C82" s="10"/>
      <c r="D82" s="17">
        <f>'[2]А-4'!$F$115</f>
        <v>4</v>
      </c>
      <c r="E82" s="218">
        <f>'[4]Норматив и фактически 2009'!$F$96</f>
        <v>307</v>
      </c>
      <c r="F82" s="219">
        <f t="shared" si="48"/>
        <v>190.3327778866889</v>
      </c>
      <c r="G82" s="220">
        <f t="shared" si="49"/>
        <v>64.82734414820624</v>
      </c>
      <c r="H82" s="220">
        <f t="shared" si="50"/>
        <v>125.50543373848265</v>
      </c>
      <c r="I82" s="28">
        <f t="shared" si="51"/>
        <v>47.699999999999996</v>
      </c>
      <c r="J82" s="18">
        <f>'[2]А-4'!G115</f>
        <v>44.599999999999994</v>
      </c>
      <c r="K82" s="28">
        <f>'[2]А-4'!$H$115</f>
        <v>3.0999999999999996</v>
      </c>
      <c r="L82" s="23">
        <f>'[2]А-4'!$R$115</f>
        <v>8</v>
      </c>
      <c r="M82" s="23">
        <f>'[2]А-4'!$AD$115</f>
        <v>0</v>
      </c>
      <c r="N82" s="22">
        <f>L82*10/J82</f>
        <v>1.7937219730941707</v>
      </c>
      <c r="O82" s="22">
        <f>ROUND(M82/K82*10,3)</f>
        <v>0</v>
      </c>
      <c r="P82" s="28">
        <f t="shared" si="44"/>
        <v>0.6</v>
      </c>
      <c r="Q82" s="28">
        <f t="shared" si="43"/>
        <v>0</v>
      </c>
      <c r="R82" s="23">
        <f t="shared" si="52"/>
        <v>38</v>
      </c>
      <c r="S82" s="23">
        <f t="shared" si="52"/>
        <v>0</v>
      </c>
      <c r="T82" s="16">
        <f t="shared" si="53"/>
        <v>38</v>
      </c>
      <c r="U82" s="26">
        <f aca="true" t="shared" si="56" ref="U82:U117">ROUNDDOWN(IF(T82&lt;$O$7,"0",T82*18/100),0)</f>
        <v>6</v>
      </c>
      <c r="V82" s="9">
        <v>6</v>
      </c>
      <c r="W82" s="26">
        <f t="shared" si="54"/>
        <v>6</v>
      </c>
      <c r="X82" s="53">
        <f t="shared" si="45"/>
        <v>0.19965031993923085</v>
      </c>
    </row>
    <row r="83" spans="1:24" ht="12.75">
      <c r="A83" s="30">
        <f t="shared" si="55"/>
        <v>67</v>
      </c>
      <c r="B83" s="10" t="s">
        <v>85</v>
      </c>
      <c r="C83" s="10"/>
      <c r="D83" s="17">
        <f>'[2]А-4'!$F$116</f>
        <v>2</v>
      </c>
      <c r="E83" s="218">
        <f>'[4]Норматив и фактически 2009'!$F$97</f>
        <v>177</v>
      </c>
      <c r="F83" s="219">
        <f t="shared" si="48"/>
        <v>109.73583611056655</v>
      </c>
      <c r="G83" s="220">
        <f t="shared" si="49"/>
        <v>37.37602577925897</v>
      </c>
      <c r="H83" s="220">
        <f t="shared" si="50"/>
        <v>72.35981033130759</v>
      </c>
      <c r="I83" s="28">
        <f t="shared" si="51"/>
        <v>25.599999999999998</v>
      </c>
      <c r="J83" s="18">
        <f>'[2]А-4'!G116</f>
        <v>23.9</v>
      </c>
      <c r="K83" s="28">
        <f>'[2]А-4'!$H$116</f>
        <v>1.7</v>
      </c>
      <c r="L83" s="23">
        <f>'[2]А-4'!$R$116</f>
        <v>0</v>
      </c>
      <c r="M83" s="23">
        <f>'[2]А-4'!$AD$116</f>
        <v>0</v>
      </c>
      <c r="N83" s="22">
        <f>L83*10/J83</f>
        <v>0</v>
      </c>
      <c r="O83" s="22">
        <f>ROUND(M83/K83*10,3)</f>
        <v>0</v>
      </c>
      <c r="P83" s="28">
        <f t="shared" si="44"/>
        <v>0</v>
      </c>
      <c r="Q83" s="28">
        <f t="shared" si="43"/>
        <v>0</v>
      </c>
      <c r="R83" s="23">
        <f t="shared" si="52"/>
        <v>0</v>
      </c>
      <c r="S83" s="23">
        <f t="shared" si="52"/>
        <v>0</v>
      </c>
      <c r="T83" s="16">
        <f t="shared" si="53"/>
        <v>0</v>
      </c>
      <c r="U83" s="26">
        <f t="shared" si="56"/>
        <v>0</v>
      </c>
      <c r="V83" s="9">
        <v>2</v>
      </c>
      <c r="W83" s="26">
        <f t="shared" si="54"/>
        <v>0</v>
      </c>
      <c r="X83" s="53">
        <f t="shared" si="45"/>
        <v>0</v>
      </c>
    </row>
    <row r="84" spans="1:24" ht="16.5" customHeight="1">
      <c r="A84" s="30">
        <f t="shared" si="55"/>
        <v>68</v>
      </c>
      <c r="B84" s="12" t="s">
        <v>60</v>
      </c>
      <c r="C84" s="9"/>
      <c r="D84" s="17">
        <f>'[2]А-4'!$F$117</f>
        <v>7</v>
      </c>
      <c r="E84" s="218">
        <v>345</v>
      </c>
      <c r="F84" s="219">
        <f t="shared" si="48"/>
        <v>213.89188394432466</v>
      </c>
      <c r="G84" s="220">
        <f t="shared" si="49"/>
        <v>72.85157567143698</v>
      </c>
      <c r="H84" s="220">
        <f t="shared" si="50"/>
        <v>141.04030827288767</v>
      </c>
      <c r="I84" s="28">
        <f t="shared" si="51"/>
        <v>79.5</v>
      </c>
      <c r="J84" s="18">
        <f>'[2]А-4'!G117</f>
        <v>57.4</v>
      </c>
      <c r="K84" s="28">
        <f>'[2]А-4'!$H$117</f>
        <v>22.099999999999998</v>
      </c>
      <c r="L84" s="23">
        <f>'[2]А-4'!$R$117</f>
        <v>15</v>
      </c>
      <c r="M84" s="23">
        <f>'[2]А-4'!$AD$117</f>
        <v>24</v>
      </c>
      <c r="N84" s="22">
        <f>L84*10/J84</f>
        <v>2.6132404181184667</v>
      </c>
      <c r="O84" s="22">
        <f>ROUND(M84/K84*10,3)</f>
        <v>10.86</v>
      </c>
      <c r="P84" s="28">
        <f t="shared" si="44"/>
        <v>0.9</v>
      </c>
      <c r="Q84" s="28">
        <f t="shared" si="43"/>
        <v>3.8</v>
      </c>
      <c r="R84" s="23">
        <f t="shared" si="52"/>
        <v>65</v>
      </c>
      <c r="S84" s="23">
        <f t="shared" si="52"/>
        <v>535</v>
      </c>
      <c r="T84" s="16">
        <f t="shared" si="53"/>
        <v>600</v>
      </c>
      <c r="U84" s="26">
        <f t="shared" si="56"/>
        <v>108</v>
      </c>
      <c r="V84" s="9">
        <v>5</v>
      </c>
      <c r="W84" s="26">
        <f t="shared" si="54"/>
        <v>5</v>
      </c>
      <c r="X84" s="53">
        <f t="shared" si="45"/>
        <v>2.805155525004296</v>
      </c>
    </row>
    <row r="85" spans="1:24" ht="15.75" customHeight="1">
      <c r="A85" s="30">
        <f t="shared" si="55"/>
        <v>69</v>
      </c>
      <c r="B85" s="11" t="s">
        <v>61</v>
      </c>
      <c r="C85" s="7"/>
      <c r="D85" s="17">
        <f>'[2]А-4'!$F$118</f>
        <v>7</v>
      </c>
      <c r="E85" s="28">
        <v>263</v>
      </c>
      <c r="F85" s="219">
        <f t="shared" si="48"/>
        <v>163.05381297784749</v>
      </c>
      <c r="G85" s="220">
        <f t="shared" si="49"/>
        <v>55.53612870025486</v>
      </c>
      <c r="H85" s="220">
        <f t="shared" si="50"/>
        <v>107.51768427759264</v>
      </c>
      <c r="I85" s="28">
        <f t="shared" si="51"/>
        <v>72.5</v>
      </c>
      <c r="J85" s="18">
        <f>'[2]А-4'!G118</f>
        <v>53.2</v>
      </c>
      <c r="K85" s="28">
        <f>'[2]А-4'!$H$118</f>
        <v>19.299999999999997</v>
      </c>
      <c r="L85" s="23">
        <f>'[2]А-4'!$R$118</f>
        <v>42</v>
      </c>
      <c r="M85" s="23">
        <f>'[2]А-4'!$AD$118</f>
        <v>17</v>
      </c>
      <c r="N85" s="22">
        <f>L85*10/J85</f>
        <v>7.894736842105263</v>
      </c>
      <c r="O85" s="22">
        <f>ROUND(M85/K85*10,3)</f>
        <v>8.808</v>
      </c>
      <c r="P85" s="28">
        <f t="shared" si="44"/>
        <v>2.8</v>
      </c>
      <c r="Q85" s="28">
        <f t="shared" si="43"/>
        <v>3.1</v>
      </c>
      <c r="R85" s="23">
        <f t="shared" si="52"/>
        <v>155</v>
      </c>
      <c r="S85" s="23">
        <f t="shared" si="52"/>
        <v>333</v>
      </c>
      <c r="T85" s="16">
        <f t="shared" si="53"/>
        <v>488</v>
      </c>
      <c r="U85" s="26">
        <f t="shared" si="56"/>
        <v>87</v>
      </c>
      <c r="V85" s="9">
        <v>4</v>
      </c>
      <c r="W85" s="26">
        <f t="shared" si="54"/>
        <v>4</v>
      </c>
      <c r="X85" s="53">
        <f t="shared" si="45"/>
        <v>2.9928769593772073</v>
      </c>
    </row>
    <row r="86" spans="1:24" ht="12.75">
      <c r="A86" s="30">
        <f t="shared" si="55"/>
        <v>70</v>
      </c>
      <c r="B86" s="147" t="s">
        <v>45</v>
      </c>
      <c r="C86" s="148"/>
      <c r="D86" s="17">
        <f>'[2]А-4'!$F$119</f>
        <v>0</v>
      </c>
      <c r="E86" s="218">
        <v>76</v>
      </c>
      <c r="F86" s="219">
        <f t="shared" si="48"/>
        <v>47.11821211527152</v>
      </c>
      <c r="G86" s="220">
        <f t="shared" si="49"/>
        <v>16.048463046461478</v>
      </c>
      <c r="H86" s="220">
        <f t="shared" si="50"/>
        <v>31.06974906881004</v>
      </c>
      <c r="I86" s="28">
        <f t="shared" si="51"/>
        <v>0</v>
      </c>
      <c r="J86" s="18">
        <f>'[2]А-4'!G119</f>
        <v>0</v>
      </c>
      <c r="K86" s="28">
        <f>'[2]А-4'!$H$119</f>
        <v>0</v>
      </c>
      <c r="L86" s="23">
        <f>'[2]А-4'!$R$119</f>
        <v>0</v>
      </c>
      <c r="M86" s="23">
        <f>'[2]А-4'!$AD$119</f>
        <v>0</v>
      </c>
      <c r="N86" s="22">
        <v>0</v>
      </c>
      <c r="O86" s="22">
        <v>0</v>
      </c>
      <c r="P86" s="28">
        <f t="shared" si="44"/>
        <v>0</v>
      </c>
      <c r="Q86" s="28">
        <f t="shared" si="43"/>
        <v>0</v>
      </c>
      <c r="R86" s="23">
        <f t="shared" si="52"/>
        <v>0</v>
      </c>
      <c r="S86" s="23">
        <f t="shared" si="52"/>
        <v>0</v>
      </c>
      <c r="T86" s="16">
        <f t="shared" si="53"/>
        <v>0</v>
      </c>
      <c r="U86" s="26">
        <f t="shared" si="56"/>
        <v>0</v>
      </c>
      <c r="V86" s="9"/>
      <c r="W86" s="26">
        <f t="shared" si="54"/>
        <v>0</v>
      </c>
      <c r="X86" s="53">
        <f t="shared" si="45"/>
        <v>0</v>
      </c>
    </row>
    <row r="87" spans="1:24" ht="12.75">
      <c r="A87" s="30">
        <f t="shared" si="55"/>
        <v>71</v>
      </c>
      <c r="B87" s="147" t="s">
        <v>52</v>
      </c>
      <c r="C87" s="148"/>
      <c r="D87" s="17">
        <f>'[2]А-4'!$F$120</f>
        <v>0</v>
      </c>
      <c r="E87" s="218">
        <v>243</v>
      </c>
      <c r="F87" s="219">
        <f t="shared" si="48"/>
        <v>150.65428347382866</v>
      </c>
      <c r="G87" s="220">
        <f t="shared" si="49"/>
        <v>51.31284895118604</v>
      </c>
      <c r="H87" s="220">
        <f t="shared" si="50"/>
        <v>99.34143452264261</v>
      </c>
      <c r="I87" s="28">
        <f t="shared" si="51"/>
        <v>0</v>
      </c>
      <c r="J87" s="18">
        <f>'[2]А-4'!G120</f>
        <v>0</v>
      </c>
      <c r="K87" s="28">
        <f>'[2]А-4'!$H$120</f>
        <v>0</v>
      </c>
      <c r="L87" s="23">
        <f>'[2]А-4'!$R$120</f>
        <v>0</v>
      </c>
      <c r="M87" s="23">
        <f>'[2]А-4'!$AD$120</f>
        <v>0</v>
      </c>
      <c r="N87" s="22">
        <v>0</v>
      </c>
      <c r="O87" s="22">
        <v>0</v>
      </c>
      <c r="P87" s="28">
        <f t="shared" si="44"/>
        <v>0</v>
      </c>
      <c r="Q87" s="28">
        <f t="shared" si="43"/>
        <v>0</v>
      </c>
      <c r="R87" s="23">
        <f t="shared" si="52"/>
        <v>0</v>
      </c>
      <c r="S87" s="23">
        <f t="shared" si="52"/>
        <v>0</v>
      </c>
      <c r="T87" s="16">
        <f t="shared" si="53"/>
        <v>0</v>
      </c>
      <c r="U87" s="26">
        <f t="shared" si="56"/>
        <v>0</v>
      </c>
      <c r="V87" s="9">
        <v>6</v>
      </c>
      <c r="W87" s="26">
        <f t="shared" si="54"/>
        <v>0</v>
      </c>
      <c r="X87" s="53">
        <f t="shared" si="45"/>
        <v>0</v>
      </c>
    </row>
    <row r="88" spans="1:24" ht="12.75">
      <c r="A88" s="30">
        <f t="shared" si="55"/>
        <v>72</v>
      </c>
      <c r="B88" s="44" t="s">
        <v>22</v>
      </c>
      <c r="C88" s="45"/>
      <c r="D88" s="17">
        <f>'[2]А-4'!$F$121</f>
        <v>4</v>
      </c>
      <c r="E88" s="218">
        <v>350</v>
      </c>
      <c r="F88" s="219">
        <f t="shared" si="48"/>
        <v>216.99176632032936</v>
      </c>
      <c r="G88" s="220">
        <f t="shared" si="49"/>
        <v>73.90739560870418</v>
      </c>
      <c r="H88" s="220">
        <f t="shared" si="50"/>
        <v>143.08437071162518</v>
      </c>
      <c r="I88" s="28">
        <f t="shared" si="51"/>
        <v>42.43</v>
      </c>
      <c r="J88" s="18">
        <f>'[2]А-4'!G121</f>
        <v>0</v>
      </c>
      <c r="K88" s="28">
        <f>'[2]А-4'!$H$121</f>
        <v>42.43</v>
      </c>
      <c r="L88" s="23">
        <f>'[2]А-4'!$R$121</f>
        <v>0</v>
      </c>
      <c r="M88" s="23">
        <f>'[2]А-4'!$AD$121</f>
        <v>0</v>
      </c>
      <c r="N88" s="22">
        <v>0</v>
      </c>
      <c r="O88" s="22">
        <f>ROUND(M88/K88*10,3)</f>
        <v>0</v>
      </c>
      <c r="P88" s="28">
        <f t="shared" si="44"/>
        <v>0</v>
      </c>
      <c r="Q88" s="28">
        <f t="shared" si="43"/>
        <v>0</v>
      </c>
      <c r="R88" s="23">
        <f t="shared" si="52"/>
        <v>0</v>
      </c>
      <c r="S88" s="23">
        <f t="shared" si="52"/>
        <v>0</v>
      </c>
      <c r="T88" s="16">
        <f t="shared" si="53"/>
        <v>0</v>
      </c>
      <c r="U88" s="26">
        <f t="shared" si="56"/>
        <v>0</v>
      </c>
      <c r="V88" s="9"/>
      <c r="W88" s="26">
        <f t="shared" si="54"/>
        <v>0</v>
      </c>
      <c r="X88" s="53">
        <f t="shared" si="45"/>
        <v>0</v>
      </c>
    </row>
    <row r="89" spans="1:24" s="242" customFormat="1" ht="12.75">
      <c r="A89" s="230">
        <f t="shared" si="55"/>
        <v>73</v>
      </c>
      <c r="B89" s="231" t="s">
        <v>33</v>
      </c>
      <c r="C89" s="232"/>
      <c r="D89" s="233">
        <f>'[2]А-4'!$F$122</f>
        <v>34</v>
      </c>
      <c r="E89" s="234">
        <v>6563</v>
      </c>
      <c r="F89" s="235">
        <f t="shared" si="48"/>
        <v>4068.905606743776</v>
      </c>
      <c r="G89" s="236">
        <f t="shared" si="49"/>
        <v>1385.8692496569302</v>
      </c>
      <c r="H89" s="236">
        <f t="shared" si="50"/>
        <v>2683.036357086846</v>
      </c>
      <c r="I89" s="234">
        <f t="shared" si="51"/>
        <v>503.29999999999995</v>
      </c>
      <c r="J89" s="233">
        <f>'[2]А-4'!G122</f>
        <v>419.59999999999997</v>
      </c>
      <c r="K89" s="234">
        <f>'[2]А-4'!$H$122</f>
        <v>83.7</v>
      </c>
      <c r="L89" s="237">
        <f>'[2]А-4'!$R$122</f>
        <v>0</v>
      </c>
      <c r="M89" s="237">
        <f>'[2]А-4'!$AD$122</f>
        <v>0</v>
      </c>
      <c r="N89" s="238">
        <f>L89*10/J89</f>
        <v>0</v>
      </c>
      <c r="O89" s="238">
        <f>ROUND(M89/K89*10,3)</f>
        <v>0</v>
      </c>
      <c r="P89" s="234">
        <f t="shared" si="44"/>
        <v>0</v>
      </c>
      <c r="Q89" s="234">
        <f t="shared" si="43"/>
        <v>0</v>
      </c>
      <c r="R89" s="237">
        <f t="shared" si="52"/>
        <v>0</v>
      </c>
      <c r="S89" s="237">
        <f t="shared" si="52"/>
        <v>0</v>
      </c>
      <c r="T89" s="237">
        <f t="shared" si="53"/>
        <v>0</v>
      </c>
      <c r="U89" s="239">
        <f t="shared" si="56"/>
        <v>0</v>
      </c>
      <c r="V89" s="232"/>
      <c r="W89" s="239">
        <f>U89</f>
        <v>0</v>
      </c>
      <c r="X89" s="241">
        <f t="shared" si="45"/>
        <v>0</v>
      </c>
    </row>
    <row r="90" spans="1:24" ht="12.75">
      <c r="A90" s="30">
        <f t="shared" si="55"/>
        <v>74</v>
      </c>
      <c r="B90" s="134" t="s">
        <v>87</v>
      </c>
      <c r="C90" s="135"/>
      <c r="D90" s="17">
        <f>'[2]А-4'!$F$123</f>
        <v>0</v>
      </c>
      <c r="E90" s="218">
        <v>255.665</v>
      </c>
      <c r="F90" s="219">
        <f t="shared" si="48"/>
        <v>158.50628553224857</v>
      </c>
      <c r="G90" s="220">
        <f t="shared" si="49"/>
        <v>53.98724085228387</v>
      </c>
      <c r="H90" s="220">
        <f t="shared" si="50"/>
        <v>104.51904467996471</v>
      </c>
      <c r="I90" s="28">
        <f t="shared" si="51"/>
        <v>0</v>
      </c>
      <c r="J90" s="18">
        <f>'[2]А-4'!G123</f>
        <v>0</v>
      </c>
      <c r="K90" s="28">
        <f>'[2]А-4'!$H$123</f>
        <v>0</v>
      </c>
      <c r="L90" s="23">
        <f>'[2]А-4'!$R$123</f>
        <v>0</v>
      </c>
      <c r="M90" s="23">
        <f>'[2]А-4'!$AD$123</f>
        <v>0</v>
      </c>
      <c r="N90" s="22">
        <v>0</v>
      </c>
      <c r="O90" s="22">
        <v>0</v>
      </c>
      <c r="P90" s="28">
        <f t="shared" si="44"/>
        <v>0</v>
      </c>
      <c r="Q90" s="28">
        <f t="shared" si="43"/>
        <v>0</v>
      </c>
      <c r="R90" s="23">
        <f t="shared" si="52"/>
        <v>0</v>
      </c>
      <c r="S90" s="23">
        <f t="shared" si="52"/>
        <v>0</v>
      </c>
      <c r="T90" s="16">
        <f t="shared" si="53"/>
        <v>0</v>
      </c>
      <c r="U90" s="26">
        <f t="shared" si="56"/>
        <v>0</v>
      </c>
      <c r="V90" s="9"/>
      <c r="W90" s="26">
        <f>IF(V90&lt;=U90,V90,U90)</f>
        <v>0</v>
      </c>
      <c r="X90" s="53">
        <f t="shared" si="45"/>
        <v>0</v>
      </c>
    </row>
    <row r="91" spans="1:24" ht="12.75">
      <c r="A91" s="30">
        <f t="shared" si="55"/>
        <v>75</v>
      </c>
      <c r="B91" s="8" t="s">
        <v>49</v>
      </c>
      <c r="C91" s="9"/>
      <c r="D91" s="17">
        <f>'[2]А-4'!$F$124</f>
        <v>1</v>
      </c>
      <c r="E91" s="218">
        <v>227</v>
      </c>
      <c r="F91" s="219">
        <f t="shared" si="48"/>
        <v>140.7346598706136</v>
      </c>
      <c r="G91" s="220">
        <f t="shared" si="49"/>
        <v>47.934225151930995</v>
      </c>
      <c r="H91" s="220">
        <f t="shared" si="50"/>
        <v>92.80043471868261</v>
      </c>
      <c r="I91" s="28">
        <f t="shared" si="51"/>
        <v>12.17</v>
      </c>
      <c r="J91" s="28">
        <f>'[2]А-4'!G124</f>
        <v>2.23</v>
      </c>
      <c r="K91" s="28">
        <f>'[2]А-4'!$H$124</f>
        <v>9.94</v>
      </c>
      <c r="L91" s="23">
        <f>'[2]А-4'!$R$124</f>
        <v>0</v>
      </c>
      <c r="M91" s="23">
        <f>'[2]А-4'!$AD$124</f>
        <v>0</v>
      </c>
      <c r="N91" s="22">
        <f>L91*10/J91</f>
        <v>0</v>
      </c>
      <c r="O91" s="22">
        <f>ROUND(M91/K91*10,3)</f>
        <v>0</v>
      </c>
      <c r="P91" s="28">
        <f t="shared" si="44"/>
        <v>0</v>
      </c>
      <c r="Q91" s="28">
        <f t="shared" si="43"/>
        <v>0</v>
      </c>
      <c r="R91" s="23">
        <f t="shared" si="52"/>
        <v>0</v>
      </c>
      <c r="S91" s="23">
        <f t="shared" si="52"/>
        <v>0</v>
      </c>
      <c r="T91" s="16">
        <f t="shared" si="53"/>
        <v>0</v>
      </c>
      <c r="U91" s="26">
        <f t="shared" si="56"/>
        <v>0</v>
      </c>
      <c r="V91" s="9">
        <v>21</v>
      </c>
      <c r="W91" s="26">
        <f>IF(V91&lt;=U91,V91,U91)</f>
        <v>0</v>
      </c>
      <c r="X91" s="53">
        <f t="shared" si="45"/>
        <v>0</v>
      </c>
    </row>
    <row r="92" spans="1:24" ht="12.75">
      <c r="A92" s="30">
        <f t="shared" si="55"/>
        <v>76</v>
      </c>
      <c r="B92" s="151" t="s">
        <v>124</v>
      </c>
      <c r="C92" s="148"/>
      <c r="D92" s="17">
        <f>'[2]А-4'!$F$125</f>
        <v>0</v>
      </c>
      <c r="E92" s="218">
        <v>263</v>
      </c>
      <c r="F92" s="219">
        <f t="shared" si="48"/>
        <v>163.05381297784749</v>
      </c>
      <c r="G92" s="220">
        <f t="shared" si="49"/>
        <v>55.53612870025486</v>
      </c>
      <c r="H92" s="220">
        <f t="shared" si="50"/>
        <v>107.51768427759264</v>
      </c>
      <c r="I92" s="28">
        <f t="shared" si="51"/>
        <v>0</v>
      </c>
      <c r="J92" s="18">
        <f>'[2]А-4'!G125</f>
        <v>0</v>
      </c>
      <c r="K92" s="28">
        <f>'[2]А-4'!$H$125</f>
        <v>0</v>
      </c>
      <c r="L92" s="23">
        <f>'[2]А-4'!$R$125</f>
        <v>0</v>
      </c>
      <c r="M92" s="23">
        <f>'[2]А-4'!$AD$125</f>
        <v>0</v>
      </c>
      <c r="N92" s="22">
        <v>0</v>
      </c>
      <c r="O92" s="22">
        <v>0</v>
      </c>
      <c r="P92" s="28">
        <f t="shared" si="44"/>
        <v>0</v>
      </c>
      <c r="Q92" s="28">
        <f t="shared" si="43"/>
        <v>0</v>
      </c>
      <c r="R92" s="23">
        <f t="shared" si="52"/>
        <v>0</v>
      </c>
      <c r="S92" s="23">
        <f t="shared" si="52"/>
        <v>0</v>
      </c>
      <c r="T92" s="16">
        <f t="shared" si="53"/>
        <v>0</v>
      </c>
      <c r="U92" s="26">
        <f t="shared" si="56"/>
        <v>0</v>
      </c>
      <c r="V92" s="9">
        <v>25</v>
      </c>
      <c r="W92" s="26">
        <f>IF(V92&lt;=U92,V92,U92)</f>
        <v>0</v>
      </c>
      <c r="X92" s="53">
        <f t="shared" si="45"/>
        <v>0</v>
      </c>
    </row>
    <row r="93" spans="1:30" ht="24.75" customHeight="1">
      <c r="A93" s="252" t="s">
        <v>108</v>
      </c>
      <c r="B93" s="253"/>
      <c r="C93" s="254"/>
      <c r="D93" s="140">
        <f>SUM(D94:D97)</f>
        <v>56</v>
      </c>
      <c r="E93" s="217">
        <f>SUM(E94:E97)</f>
        <v>4676</v>
      </c>
      <c r="F93" s="217">
        <f aca="true" t="shared" si="57" ref="F93:M93">SUM(F94:F97)</f>
        <v>2947</v>
      </c>
      <c r="G93" s="217">
        <f t="shared" si="57"/>
        <v>1757.0013999999999</v>
      </c>
      <c r="H93" s="217">
        <f t="shared" si="57"/>
        <v>1189.9986</v>
      </c>
      <c r="I93" s="217">
        <f t="shared" si="57"/>
        <v>593.6999999999999</v>
      </c>
      <c r="J93" s="217">
        <f t="shared" si="57"/>
        <v>534.34</v>
      </c>
      <c r="K93" s="217">
        <f t="shared" si="57"/>
        <v>59.36</v>
      </c>
      <c r="L93" s="142">
        <f t="shared" si="57"/>
        <v>130</v>
      </c>
      <c r="M93" s="142">
        <f t="shared" si="57"/>
        <v>7</v>
      </c>
      <c r="N93" s="130">
        <f>ROUND(L93/J93*10,2)</f>
        <v>2.43</v>
      </c>
      <c r="O93" s="130">
        <f>ROUND(M93/K93*10,2)</f>
        <v>1.18</v>
      </c>
      <c r="P93" s="125">
        <f t="shared" si="44"/>
        <v>0.9</v>
      </c>
      <c r="Q93" s="130">
        <f>ROUND(O93*$M$9,2)</f>
        <v>0.41</v>
      </c>
      <c r="R93" s="140">
        <f aca="true" t="shared" si="58" ref="R93:W93">SUM(R94:R97)</f>
        <v>1532</v>
      </c>
      <c r="S93" s="140">
        <f t="shared" si="58"/>
        <v>207</v>
      </c>
      <c r="T93" s="142">
        <f t="shared" si="58"/>
        <v>1739</v>
      </c>
      <c r="U93" s="142">
        <f t="shared" si="58"/>
        <v>272</v>
      </c>
      <c r="V93" s="142">
        <f t="shared" si="58"/>
        <v>78</v>
      </c>
      <c r="W93" s="142">
        <f t="shared" si="58"/>
        <v>192</v>
      </c>
      <c r="X93" s="53">
        <f t="shared" si="45"/>
        <v>0.5900916185951816</v>
      </c>
      <c r="Y93">
        <f>2947/E93</f>
        <v>0.6302395209580839</v>
      </c>
      <c r="AB93">
        <v>1570</v>
      </c>
      <c r="AD93" s="19">
        <f>AB93-T93</f>
        <v>-169</v>
      </c>
    </row>
    <row r="94" spans="1:24" ht="12.75">
      <c r="A94" s="30">
        <f>A92+1</f>
        <v>77</v>
      </c>
      <c r="B94" s="8" t="s">
        <v>23</v>
      </c>
      <c r="C94" s="9"/>
      <c r="D94" s="17">
        <f>'[2]А-4'!$F$135</f>
        <v>40</v>
      </c>
      <c r="E94" s="218">
        <f>'[5]Норматив и фактически 2011'!$F$116</f>
        <v>2465</v>
      </c>
      <c r="F94" s="219">
        <f>E94*$Y$93</f>
        <v>1553.5404191616767</v>
      </c>
      <c r="G94" s="220">
        <f>F94*0.5962</f>
        <v>926.2207979041916</v>
      </c>
      <c r="H94" s="220">
        <f>F94*0.4038</f>
        <v>627.3196212574851</v>
      </c>
      <c r="I94" s="28">
        <f>J94+K94</f>
        <v>414.48999999999995</v>
      </c>
      <c r="J94" s="28">
        <f>'[2]А-4'!G135</f>
        <v>414.48999999999995</v>
      </c>
      <c r="K94" s="28">
        <f>'[2]А-4'!$H$135</f>
        <v>0</v>
      </c>
      <c r="L94" s="23">
        <f>'[2]А-4'!$R$135</f>
        <v>91</v>
      </c>
      <c r="M94" s="23">
        <f>'[2]А-4'!$AD$135</f>
        <v>0</v>
      </c>
      <c r="N94" s="22">
        <f>L94*10/J94</f>
        <v>2.1954691307389806</v>
      </c>
      <c r="O94" s="22">
        <v>0</v>
      </c>
      <c r="P94" s="28">
        <f t="shared" si="44"/>
        <v>0.8</v>
      </c>
      <c r="Q94" s="28">
        <f>ROUND(O94*$M$9,1)</f>
        <v>0</v>
      </c>
      <c r="R94" s="23">
        <f aca="true" t="shared" si="59" ref="R94:S109">ROUNDDOWN((P94*G94),0)</f>
        <v>740</v>
      </c>
      <c r="S94" s="23">
        <f t="shared" si="59"/>
        <v>0</v>
      </c>
      <c r="T94" s="16">
        <f>R94+S94</f>
        <v>740</v>
      </c>
      <c r="U94" s="26">
        <f t="shared" si="56"/>
        <v>133</v>
      </c>
      <c r="V94" s="9">
        <v>74</v>
      </c>
      <c r="W94" s="26">
        <f>IF(V94&lt;=U94,V94,U94)</f>
        <v>74</v>
      </c>
      <c r="X94" s="53">
        <f t="shared" si="45"/>
        <v>0.4763313466921702</v>
      </c>
    </row>
    <row r="95" spans="1:24" ht="12.75">
      <c r="A95" s="30">
        <f>A94+1</f>
        <v>78</v>
      </c>
      <c r="B95" s="8" t="s">
        <v>44</v>
      </c>
      <c r="C95" s="9"/>
      <c r="D95" s="17">
        <f>'[2]А-4'!$F$137</f>
        <v>4</v>
      </c>
      <c r="E95" s="218">
        <v>211</v>
      </c>
      <c r="F95" s="219">
        <f>E95*$Y$93</f>
        <v>132.9805389221557</v>
      </c>
      <c r="G95" s="220">
        <f>F95*0.5962</f>
        <v>79.28299730538922</v>
      </c>
      <c r="H95" s="220">
        <f>F95*0.4038</f>
        <v>53.697541616766465</v>
      </c>
      <c r="I95" s="28">
        <f>J95+K95</f>
        <v>44.7</v>
      </c>
      <c r="J95" s="28">
        <f>'[2]А-4'!G137</f>
        <v>37.1</v>
      </c>
      <c r="K95" s="28">
        <f>'[2]А-4'!$H$137</f>
        <v>7.6</v>
      </c>
      <c r="L95" s="23">
        <f>'[2]А-4'!$R$137</f>
        <v>19</v>
      </c>
      <c r="M95" s="23">
        <f>'[2]А-4'!$AD$137</f>
        <v>0</v>
      </c>
      <c r="N95" s="22">
        <f>L95*10/J95</f>
        <v>5.121293800539084</v>
      </c>
      <c r="O95" s="22">
        <f>ROUND(M95/K95*10,3)</f>
        <v>0</v>
      </c>
      <c r="P95" s="28">
        <f t="shared" si="44"/>
        <v>1.8</v>
      </c>
      <c r="Q95" s="28">
        <f>ROUND(O95*$M$9,1)</f>
        <v>0</v>
      </c>
      <c r="R95" s="23">
        <f t="shared" si="59"/>
        <v>142</v>
      </c>
      <c r="S95" s="23">
        <f t="shared" si="59"/>
        <v>0</v>
      </c>
      <c r="T95" s="16">
        <f>R95+S95</f>
        <v>142</v>
      </c>
      <c r="U95" s="26">
        <f t="shared" si="56"/>
        <v>25</v>
      </c>
      <c r="V95" s="9">
        <v>4</v>
      </c>
      <c r="W95" s="26">
        <f>IF(V95&lt;=U95,V95,U95)</f>
        <v>4</v>
      </c>
      <c r="X95" s="53">
        <f t="shared" si="45"/>
        <v>1.0678254213056253</v>
      </c>
    </row>
    <row r="96" spans="1:24" ht="12.75">
      <c r="A96" s="30">
        <f>A95+1</f>
        <v>79</v>
      </c>
      <c r="B96" s="44" t="s">
        <v>24</v>
      </c>
      <c r="C96" s="45"/>
      <c r="D96" s="17">
        <f>'[2]А-4'!$F$138</f>
        <v>1</v>
      </c>
      <c r="E96" s="218">
        <v>370</v>
      </c>
      <c r="F96" s="219">
        <f>E96*$Y$93</f>
        <v>233.18862275449104</v>
      </c>
      <c r="G96" s="220">
        <f>F96*0.5962</f>
        <v>139.02705688622754</v>
      </c>
      <c r="H96" s="220">
        <f>F96*0.4038</f>
        <v>94.16156586826348</v>
      </c>
      <c r="I96" s="28">
        <f>J96+K96</f>
        <v>11.1</v>
      </c>
      <c r="J96" s="28">
        <f>'[2]А-4'!G138</f>
        <v>11.1</v>
      </c>
      <c r="K96" s="28">
        <f>'[2]А-4'!$H$138</f>
        <v>0</v>
      </c>
      <c r="L96" s="23">
        <f>'[2]А-4'!$R$138</f>
        <v>5</v>
      </c>
      <c r="M96" s="23">
        <f>'[2]А-4'!$AD$138</f>
        <v>0</v>
      </c>
      <c r="N96" s="22">
        <f>L96*10/J96</f>
        <v>4.504504504504505</v>
      </c>
      <c r="O96" s="22">
        <v>0</v>
      </c>
      <c r="P96" s="28">
        <f t="shared" si="44"/>
        <v>1.6</v>
      </c>
      <c r="Q96" s="28">
        <v>0</v>
      </c>
      <c r="R96" s="23">
        <f t="shared" si="59"/>
        <v>222</v>
      </c>
      <c r="S96" s="23">
        <f t="shared" si="59"/>
        <v>0</v>
      </c>
      <c r="T96" s="16">
        <f>R96+S96</f>
        <v>222</v>
      </c>
      <c r="U96" s="26">
        <v>0</v>
      </c>
      <c r="V96" s="9"/>
      <c r="W96" s="26">
        <f>IF(V96&lt;=U96,V96,U96)</f>
        <v>0</v>
      </c>
      <c r="X96" s="53">
        <f t="shared" si="45"/>
        <v>0.9520190023752968</v>
      </c>
    </row>
    <row r="97" spans="1:24" ht="12.75">
      <c r="A97" s="30">
        <f>A96+1</f>
        <v>80</v>
      </c>
      <c r="B97" s="8" t="s">
        <v>53</v>
      </c>
      <c r="C97" s="9"/>
      <c r="D97" s="17">
        <f>'[2]А-4'!$F$139</f>
        <v>11</v>
      </c>
      <c r="E97" s="218">
        <v>1630</v>
      </c>
      <c r="F97" s="219">
        <f>E97*$Y$93</f>
        <v>1027.2904191616767</v>
      </c>
      <c r="G97" s="220">
        <f>F97*0.5962</f>
        <v>612.4705479041916</v>
      </c>
      <c r="H97" s="220">
        <f>F97*0.4038</f>
        <v>414.81987125748503</v>
      </c>
      <c r="I97" s="28">
        <f>J97+K97</f>
        <v>123.41</v>
      </c>
      <c r="J97" s="28">
        <f>'[2]А-4'!G139</f>
        <v>71.65</v>
      </c>
      <c r="K97" s="28">
        <f>'[2]А-4'!$H$139</f>
        <v>51.76</v>
      </c>
      <c r="L97" s="23">
        <f>'[2]А-4'!$R$139</f>
        <v>15</v>
      </c>
      <c r="M97" s="23">
        <f>'[2]А-4'!$AD$139</f>
        <v>7</v>
      </c>
      <c r="N97" s="22">
        <f>L97*10/J97</f>
        <v>2.09351011863224</v>
      </c>
      <c r="O97" s="22">
        <f>ROUND(M97/K97*10,3)</f>
        <v>1.352</v>
      </c>
      <c r="P97" s="28">
        <f t="shared" si="44"/>
        <v>0.7</v>
      </c>
      <c r="Q97" s="28">
        <f>ROUND(O97*$M$9,1)</f>
        <v>0.5</v>
      </c>
      <c r="R97" s="23">
        <f t="shared" si="59"/>
        <v>428</v>
      </c>
      <c r="S97" s="23">
        <f t="shared" si="59"/>
        <v>207</v>
      </c>
      <c r="T97" s="16">
        <f>R97+S97</f>
        <v>635</v>
      </c>
      <c r="U97" s="26">
        <f t="shared" si="56"/>
        <v>114</v>
      </c>
      <c r="V97" s="9"/>
      <c r="W97" s="26">
        <f>U97</f>
        <v>114</v>
      </c>
      <c r="X97" s="53">
        <f t="shared" si="45"/>
        <v>0.6181309473500138</v>
      </c>
    </row>
    <row r="98" spans="1:30" ht="27" customHeight="1">
      <c r="A98" s="252" t="s">
        <v>109</v>
      </c>
      <c r="B98" s="253"/>
      <c r="C98" s="254"/>
      <c r="D98" s="140">
        <f>SUM(D99:D110)</f>
        <v>46</v>
      </c>
      <c r="E98" s="217">
        <f>SUM(E99:E110)</f>
        <v>3557.2599999999998</v>
      </c>
      <c r="F98" s="217">
        <f aca="true" t="shared" si="60" ref="F98:M98">SUM(F99:F110)</f>
        <v>2312.9999999999995</v>
      </c>
      <c r="G98" s="217">
        <f t="shared" si="60"/>
        <v>1790.9559</v>
      </c>
      <c r="H98" s="217">
        <f t="shared" si="60"/>
        <v>522.0441000000001</v>
      </c>
      <c r="I98" s="140">
        <f t="shared" si="60"/>
        <v>511.34</v>
      </c>
      <c r="J98" s="140">
        <f t="shared" si="60"/>
        <v>463.5399999999999</v>
      </c>
      <c r="K98" s="140">
        <f t="shared" si="60"/>
        <v>47.8</v>
      </c>
      <c r="L98" s="142">
        <f t="shared" si="60"/>
        <v>167</v>
      </c>
      <c r="M98" s="142">
        <f t="shared" si="60"/>
        <v>27</v>
      </c>
      <c r="N98" s="130">
        <f>ROUND(L98/J98*10,2)</f>
        <v>3.6</v>
      </c>
      <c r="O98" s="130">
        <f>ROUND(M98/K98*10,2)</f>
        <v>5.65</v>
      </c>
      <c r="P98" s="125">
        <f t="shared" si="44"/>
        <v>1.3</v>
      </c>
      <c r="Q98" s="130">
        <f>ROUND(O98*$M$9,2)</f>
        <v>1.98</v>
      </c>
      <c r="R98" s="140">
        <f aca="true" t="shared" si="61" ref="R98:W98">SUM(R99:R110)</f>
        <v>2124</v>
      </c>
      <c r="S98" s="142">
        <f t="shared" si="61"/>
        <v>206</v>
      </c>
      <c r="T98" s="142">
        <f t="shared" si="61"/>
        <v>2330</v>
      </c>
      <c r="U98" s="142">
        <f t="shared" si="61"/>
        <v>415</v>
      </c>
      <c r="V98" s="142">
        <f t="shared" si="61"/>
        <v>172</v>
      </c>
      <c r="W98" s="142">
        <f t="shared" si="61"/>
        <v>274</v>
      </c>
      <c r="X98" s="53">
        <f t="shared" si="45"/>
        <v>1.0073497622135756</v>
      </c>
      <c r="Y98" s="60">
        <f>2313/E98</f>
        <v>0.6502195510027381</v>
      </c>
      <c r="AB98">
        <v>2546</v>
      </c>
      <c r="AD98" s="19">
        <f>AB98-T98</f>
        <v>216</v>
      </c>
    </row>
    <row r="99" spans="1:24" ht="12.75">
      <c r="A99" s="30">
        <f>A97+1</f>
        <v>81</v>
      </c>
      <c r="B99" s="8" t="s">
        <v>38</v>
      </c>
      <c r="C99" s="9"/>
      <c r="D99" s="17">
        <f>'[2]А-4'!$F$153</f>
        <v>2</v>
      </c>
      <c r="E99" s="218">
        <f>'[5]Норматив и фактически 2011'!$F$124</f>
        <v>46</v>
      </c>
      <c r="F99" s="219">
        <f aca="true" t="shared" si="62" ref="F99:F110">E99*$Y$98</f>
        <v>29.910099346125953</v>
      </c>
      <c r="G99" s="220">
        <f aca="true" t="shared" si="63" ref="G99:G110">F99*0.7743</f>
        <v>23.159389923705326</v>
      </c>
      <c r="H99" s="220">
        <f aca="true" t="shared" si="64" ref="H99:H110">F99*0.2257</f>
        <v>6.750709422420628</v>
      </c>
      <c r="I99" s="28">
        <f aca="true" t="shared" si="65" ref="I99:I110">J99+K99</f>
        <v>22.3</v>
      </c>
      <c r="J99" s="28">
        <f>'[2]А-4'!G153</f>
        <v>7.5</v>
      </c>
      <c r="K99" s="28">
        <f>'[2]А-4'!H153</f>
        <v>14.8</v>
      </c>
      <c r="L99" s="23">
        <f>'[2]А-4'!R153</f>
        <v>12</v>
      </c>
      <c r="M99" s="23">
        <f>'[2]А-4'!AD153</f>
        <v>7</v>
      </c>
      <c r="N99" s="22">
        <f aca="true" t="shared" si="66" ref="N99:N105">L99*10/J99</f>
        <v>16</v>
      </c>
      <c r="O99" s="22">
        <f>ROUND(M99/K99*10,3)</f>
        <v>4.73</v>
      </c>
      <c r="P99" s="28">
        <f t="shared" si="44"/>
        <v>5.6</v>
      </c>
      <c r="Q99" s="28">
        <f t="shared" si="44"/>
        <v>1.7</v>
      </c>
      <c r="R99" s="23">
        <f t="shared" si="59"/>
        <v>129</v>
      </c>
      <c r="S99" s="23">
        <f t="shared" si="59"/>
        <v>11</v>
      </c>
      <c r="T99" s="16">
        <f aca="true" t="shared" si="67" ref="T99:T110">R99+S99</f>
        <v>140</v>
      </c>
      <c r="U99" s="26">
        <f t="shared" si="56"/>
        <v>25</v>
      </c>
      <c r="V99" s="9">
        <v>4</v>
      </c>
      <c r="W99" s="26">
        <f aca="true" t="shared" si="68" ref="W99:W110">IF(V99&lt;=U99,V99,U99)</f>
        <v>4</v>
      </c>
      <c r="X99" s="53">
        <f t="shared" si="45"/>
        <v>4.680693246113648</v>
      </c>
    </row>
    <row r="100" spans="1:24" ht="12.75">
      <c r="A100" s="30">
        <f>A99+1</f>
        <v>82</v>
      </c>
      <c r="B100" s="8" t="s">
        <v>25</v>
      </c>
      <c r="C100" s="9"/>
      <c r="D100" s="17">
        <f>'[2]А-4'!$F$154</f>
        <v>3</v>
      </c>
      <c r="E100" s="218">
        <f>'[4]Норматив и фактически 2009'!$F$116</f>
        <v>37</v>
      </c>
      <c r="F100" s="219">
        <f t="shared" si="62"/>
        <v>24.05812338710131</v>
      </c>
      <c r="G100" s="220">
        <f t="shared" si="63"/>
        <v>18.628204938632546</v>
      </c>
      <c r="H100" s="220">
        <f t="shared" si="64"/>
        <v>5.429918448468766</v>
      </c>
      <c r="I100" s="28">
        <f t="shared" si="65"/>
        <v>30</v>
      </c>
      <c r="J100" s="28">
        <f>'[2]А-4'!G154</f>
        <v>25.1</v>
      </c>
      <c r="K100" s="28">
        <f>'[2]А-4'!H154</f>
        <v>4.9</v>
      </c>
      <c r="L100" s="23">
        <f>'[2]А-4'!R154</f>
        <v>12</v>
      </c>
      <c r="M100" s="23">
        <f>'[2]А-4'!AD154</f>
        <v>2</v>
      </c>
      <c r="N100" s="22">
        <f t="shared" si="66"/>
        <v>4.780876494023904</v>
      </c>
      <c r="O100" s="22">
        <f>ROUND(M100/K100*10,3)</f>
        <v>4.082</v>
      </c>
      <c r="P100" s="28">
        <f t="shared" si="44"/>
        <v>1.7</v>
      </c>
      <c r="Q100" s="28">
        <f t="shared" si="44"/>
        <v>1.4</v>
      </c>
      <c r="R100" s="23">
        <f t="shared" si="59"/>
        <v>31</v>
      </c>
      <c r="S100" s="23">
        <f t="shared" si="59"/>
        <v>7</v>
      </c>
      <c r="T100" s="16">
        <f t="shared" si="67"/>
        <v>38</v>
      </c>
      <c r="U100" s="26">
        <f t="shared" si="56"/>
        <v>6</v>
      </c>
      <c r="V100" s="9">
        <v>7</v>
      </c>
      <c r="W100" s="26">
        <f t="shared" si="68"/>
        <v>6</v>
      </c>
      <c r="X100" s="53">
        <f t="shared" si="45"/>
        <v>1.5795080683796636</v>
      </c>
    </row>
    <row r="101" spans="1:25" ht="12.75">
      <c r="A101" s="30">
        <f aca="true" t="shared" si="69" ref="A101:A110">A100+1</f>
        <v>83</v>
      </c>
      <c r="B101" s="247" t="s">
        <v>144</v>
      </c>
      <c r="C101" s="248"/>
      <c r="D101" s="17">
        <f>'[2]А-4'!$F$155</f>
        <v>12</v>
      </c>
      <c r="E101" s="218">
        <v>1241</v>
      </c>
      <c r="F101" s="219">
        <f t="shared" si="62"/>
        <v>806.922462794398</v>
      </c>
      <c r="G101" s="220">
        <f t="shared" si="63"/>
        <v>624.8000629417024</v>
      </c>
      <c r="H101" s="220">
        <f t="shared" si="64"/>
        <v>182.12239985269565</v>
      </c>
      <c r="I101" s="28">
        <f t="shared" si="65"/>
        <v>148.2</v>
      </c>
      <c r="J101" s="28">
        <f>'[2]А-4'!G155</f>
        <v>148.2</v>
      </c>
      <c r="K101" s="28">
        <f>'[2]А-4'!H155</f>
        <v>0</v>
      </c>
      <c r="L101" s="23">
        <f>'[2]А-4'!R155</f>
        <v>48</v>
      </c>
      <c r="M101" s="23">
        <f>'[2]А-4'!AD155</f>
        <v>0</v>
      </c>
      <c r="N101" s="22">
        <f t="shared" si="66"/>
        <v>3.238866396761134</v>
      </c>
      <c r="O101" s="22">
        <v>0</v>
      </c>
      <c r="P101" s="28">
        <f t="shared" si="44"/>
        <v>1.1</v>
      </c>
      <c r="Q101" s="28">
        <f t="shared" si="44"/>
        <v>0</v>
      </c>
      <c r="R101" s="23">
        <f t="shared" si="59"/>
        <v>687</v>
      </c>
      <c r="S101" s="23">
        <f t="shared" si="59"/>
        <v>0</v>
      </c>
      <c r="T101" s="16">
        <f t="shared" si="67"/>
        <v>687</v>
      </c>
      <c r="U101" s="26">
        <f t="shared" si="56"/>
        <v>123</v>
      </c>
      <c r="V101" s="9"/>
      <c r="W101" s="26">
        <f>U101</f>
        <v>123</v>
      </c>
      <c r="X101" s="53">
        <f t="shared" si="45"/>
        <v>0.8513829167933896</v>
      </c>
      <c r="Y101">
        <f>T101/E101</f>
        <v>0.5535858178887993</v>
      </c>
    </row>
    <row r="102" spans="1:24" ht="12.75">
      <c r="A102" s="30">
        <f t="shared" si="69"/>
        <v>84</v>
      </c>
      <c r="B102" s="8" t="s">
        <v>54</v>
      </c>
      <c r="C102" s="9"/>
      <c r="D102" s="17">
        <f>'[2]А-4'!$F$156</f>
        <v>3</v>
      </c>
      <c r="E102" s="218">
        <v>165</v>
      </c>
      <c r="F102" s="219">
        <f t="shared" si="62"/>
        <v>107.28622591545178</v>
      </c>
      <c r="G102" s="220">
        <f t="shared" si="63"/>
        <v>83.07172472633431</v>
      </c>
      <c r="H102" s="220">
        <f t="shared" si="64"/>
        <v>24.214501189117467</v>
      </c>
      <c r="I102" s="28">
        <f t="shared" si="65"/>
        <v>31.099999999999998</v>
      </c>
      <c r="J102" s="28">
        <f>'[2]А-4'!G156</f>
        <v>22.4</v>
      </c>
      <c r="K102" s="28">
        <f>'[2]А-4'!H156</f>
        <v>8.7</v>
      </c>
      <c r="L102" s="23">
        <f>'[2]А-4'!R156</f>
        <v>13</v>
      </c>
      <c r="M102" s="23">
        <f>'[2]А-4'!AD156</f>
        <v>6</v>
      </c>
      <c r="N102" s="22">
        <f t="shared" si="66"/>
        <v>5.803571428571429</v>
      </c>
      <c r="O102" s="22">
        <f>ROUND(M102/K102*10,3)</f>
        <v>6.897</v>
      </c>
      <c r="P102" s="28">
        <f t="shared" si="44"/>
        <v>2</v>
      </c>
      <c r="Q102" s="28">
        <f t="shared" si="44"/>
        <v>2.4</v>
      </c>
      <c r="R102" s="23">
        <f t="shared" si="59"/>
        <v>166</v>
      </c>
      <c r="S102" s="23">
        <f t="shared" si="59"/>
        <v>58</v>
      </c>
      <c r="T102" s="16">
        <f t="shared" si="67"/>
        <v>224</v>
      </c>
      <c r="U102" s="26">
        <f t="shared" si="56"/>
        <v>40</v>
      </c>
      <c r="V102" s="9">
        <v>34</v>
      </c>
      <c r="W102" s="26">
        <f t="shared" si="68"/>
        <v>34</v>
      </c>
      <c r="X102" s="53">
        <f t="shared" si="45"/>
        <v>2.0878728661452395</v>
      </c>
    </row>
    <row r="103" spans="1:24" ht="12.75">
      <c r="A103" s="30">
        <f t="shared" si="69"/>
        <v>85</v>
      </c>
      <c r="B103" s="8" t="s">
        <v>55</v>
      </c>
      <c r="C103" s="9"/>
      <c r="D103" s="17">
        <f>'[2]А-4'!$F$157</f>
        <v>2</v>
      </c>
      <c r="E103" s="218">
        <v>175</v>
      </c>
      <c r="F103" s="219">
        <f t="shared" si="62"/>
        <v>113.78842142547917</v>
      </c>
      <c r="G103" s="220">
        <f t="shared" si="63"/>
        <v>88.10637470974852</v>
      </c>
      <c r="H103" s="220">
        <f t="shared" si="64"/>
        <v>25.68204671573065</v>
      </c>
      <c r="I103" s="28">
        <f t="shared" si="65"/>
        <v>21.299999999999997</v>
      </c>
      <c r="J103" s="28">
        <f>'[2]А-4'!G157</f>
        <v>13.1</v>
      </c>
      <c r="K103" s="28">
        <f>'[2]А-4'!H157</f>
        <v>8.2</v>
      </c>
      <c r="L103" s="23">
        <f>'[2]А-4'!R157</f>
        <v>10</v>
      </c>
      <c r="M103" s="23">
        <f>'[2]А-4'!AD157</f>
        <v>12</v>
      </c>
      <c r="N103" s="22">
        <f t="shared" si="66"/>
        <v>7.633587786259542</v>
      </c>
      <c r="O103" s="22">
        <f>ROUND(M103/K103*10,3)</f>
        <v>14.634</v>
      </c>
      <c r="P103" s="28">
        <f t="shared" si="44"/>
        <v>2.7</v>
      </c>
      <c r="Q103" s="28">
        <f t="shared" si="44"/>
        <v>5.1</v>
      </c>
      <c r="R103" s="23">
        <f t="shared" si="59"/>
        <v>237</v>
      </c>
      <c r="S103" s="23">
        <f t="shared" si="59"/>
        <v>130</v>
      </c>
      <c r="T103" s="16">
        <f t="shared" si="67"/>
        <v>367</v>
      </c>
      <c r="U103" s="26">
        <f t="shared" si="56"/>
        <v>66</v>
      </c>
      <c r="V103" s="9">
        <v>10</v>
      </c>
      <c r="W103" s="26">
        <f t="shared" si="68"/>
        <v>10</v>
      </c>
      <c r="X103" s="53">
        <f t="shared" si="45"/>
        <v>3.2252842196281883</v>
      </c>
    </row>
    <row r="104" spans="1:24" ht="12.75">
      <c r="A104" s="30">
        <f t="shared" si="69"/>
        <v>86</v>
      </c>
      <c r="B104" s="8" t="s">
        <v>56</v>
      </c>
      <c r="C104" s="9"/>
      <c r="D104" s="17">
        <f>'[2]А-4'!$F$158</f>
        <v>3</v>
      </c>
      <c r="E104" s="218">
        <v>338</v>
      </c>
      <c r="F104" s="219">
        <f t="shared" si="62"/>
        <v>219.77420823892547</v>
      </c>
      <c r="G104" s="220">
        <f t="shared" si="63"/>
        <v>170.1711694394</v>
      </c>
      <c r="H104" s="220">
        <f t="shared" si="64"/>
        <v>49.60303879952548</v>
      </c>
      <c r="I104" s="28">
        <f t="shared" si="65"/>
        <v>30</v>
      </c>
      <c r="J104" s="28">
        <f>'[2]А-4'!G158</f>
        <v>30</v>
      </c>
      <c r="K104" s="28">
        <f>'[2]А-4'!H158</f>
        <v>0</v>
      </c>
      <c r="L104" s="23">
        <f>'[2]А-4'!R158</f>
        <v>10</v>
      </c>
      <c r="M104" s="23">
        <f>'[2]А-4'!AD158</f>
        <v>0</v>
      </c>
      <c r="N104" s="22">
        <f t="shared" si="66"/>
        <v>3.3333333333333335</v>
      </c>
      <c r="O104" s="22">
        <v>0</v>
      </c>
      <c r="P104" s="28">
        <f t="shared" si="44"/>
        <v>1.2</v>
      </c>
      <c r="Q104" s="28">
        <f t="shared" si="44"/>
        <v>0</v>
      </c>
      <c r="R104" s="23">
        <f t="shared" si="59"/>
        <v>204</v>
      </c>
      <c r="S104" s="23">
        <f t="shared" si="59"/>
        <v>0</v>
      </c>
      <c r="T104" s="16">
        <f t="shared" si="67"/>
        <v>204</v>
      </c>
      <c r="U104" s="26">
        <f t="shared" si="56"/>
        <v>36</v>
      </c>
      <c r="V104" s="9">
        <v>20</v>
      </c>
      <c r="W104" s="26">
        <f t="shared" si="68"/>
        <v>20</v>
      </c>
      <c r="X104" s="53">
        <f t="shared" si="45"/>
        <v>0.9282253892969248</v>
      </c>
    </row>
    <row r="105" spans="1:24" ht="12.75">
      <c r="A105" s="30">
        <f t="shared" si="69"/>
        <v>87</v>
      </c>
      <c r="B105" s="8" t="s">
        <v>57</v>
      </c>
      <c r="C105" s="9"/>
      <c r="D105" s="17">
        <f>'[2]А-4'!$F$159</f>
        <v>10</v>
      </c>
      <c r="E105" s="218">
        <v>623</v>
      </c>
      <c r="F105" s="219">
        <f t="shared" si="62"/>
        <v>405.08678027470586</v>
      </c>
      <c r="G105" s="220">
        <f t="shared" si="63"/>
        <v>313.65869396670473</v>
      </c>
      <c r="H105" s="220">
        <f t="shared" si="64"/>
        <v>91.42808630800111</v>
      </c>
      <c r="I105" s="28">
        <f t="shared" si="65"/>
        <v>100</v>
      </c>
      <c r="J105" s="28">
        <f>'[2]А-4'!G159</f>
        <v>100</v>
      </c>
      <c r="K105" s="28">
        <f>'[2]А-4'!H159</f>
        <v>0</v>
      </c>
      <c r="L105" s="23">
        <f>'[2]А-4'!R159</f>
        <v>31</v>
      </c>
      <c r="M105" s="23">
        <f>'[2]А-4'!AD159</f>
        <v>0</v>
      </c>
      <c r="N105" s="22">
        <f t="shared" si="66"/>
        <v>3.1</v>
      </c>
      <c r="O105" s="22">
        <v>0</v>
      </c>
      <c r="P105" s="28">
        <f t="shared" si="44"/>
        <v>1.1</v>
      </c>
      <c r="Q105" s="28">
        <f t="shared" si="44"/>
        <v>0</v>
      </c>
      <c r="R105" s="23">
        <f t="shared" si="59"/>
        <v>345</v>
      </c>
      <c r="S105" s="23">
        <f t="shared" si="59"/>
        <v>0</v>
      </c>
      <c r="T105" s="16">
        <f t="shared" si="67"/>
        <v>345</v>
      </c>
      <c r="U105" s="26">
        <f t="shared" si="56"/>
        <v>62</v>
      </c>
      <c r="V105" s="9">
        <v>20</v>
      </c>
      <c r="W105" s="26">
        <f t="shared" si="68"/>
        <v>20</v>
      </c>
      <c r="X105" s="53">
        <f t="shared" si="45"/>
        <v>0.8516693627129511</v>
      </c>
    </row>
    <row r="106" spans="1:24" ht="12.75">
      <c r="A106" s="30">
        <f t="shared" si="69"/>
        <v>88</v>
      </c>
      <c r="B106" s="44" t="s">
        <v>67</v>
      </c>
      <c r="C106" s="45"/>
      <c r="D106" s="17">
        <f>'[2]А-4'!$F$160</f>
        <v>0</v>
      </c>
      <c r="E106" s="218">
        <v>225</v>
      </c>
      <c r="F106" s="219">
        <f t="shared" si="62"/>
        <v>146.29939897561607</v>
      </c>
      <c r="G106" s="220">
        <f t="shared" si="63"/>
        <v>113.27962462681953</v>
      </c>
      <c r="H106" s="220">
        <f t="shared" si="64"/>
        <v>33.01977434879655</v>
      </c>
      <c r="I106" s="28">
        <f t="shared" si="65"/>
        <v>0</v>
      </c>
      <c r="J106" s="28">
        <f>'[2]А-4'!G160</f>
        <v>0</v>
      </c>
      <c r="K106" s="28">
        <f>'[2]А-4'!H160</f>
        <v>0</v>
      </c>
      <c r="L106" s="23">
        <f>'[2]А-4'!R160</f>
        <v>0</v>
      </c>
      <c r="M106" s="23">
        <f>'[2]А-4'!AD160</f>
        <v>0</v>
      </c>
      <c r="N106" s="22">
        <v>0</v>
      </c>
      <c r="O106" s="22">
        <v>0</v>
      </c>
      <c r="P106" s="28">
        <f t="shared" si="44"/>
        <v>0</v>
      </c>
      <c r="Q106" s="28">
        <f t="shared" si="44"/>
        <v>0</v>
      </c>
      <c r="R106" s="23">
        <f t="shared" si="59"/>
        <v>0</v>
      </c>
      <c r="S106" s="23">
        <f t="shared" si="59"/>
        <v>0</v>
      </c>
      <c r="T106" s="16">
        <f t="shared" si="67"/>
        <v>0</v>
      </c>
      <c r="U106" s="26">
        <f t="shared" si="56"/>
        <v>0</v>
      </c>
      <c r="V106" s="9">
        <v>7</v>
      </c>
      <c r="W106" s="26">
        <f t="shared" si="68"/>
        <v>0</v>
      </c>
      <c r="X106" s="53">
        <f t="shared" si="45"/>
        <v>0</v>
      </c>
    </row>
    <row r="107" spans="1:24" ht="12.75">
      <c r="A107" s="30">
        <f t="shared" si="69"/>
        <v>89</v>
      </c>
      <c r="B107" s="44" t="s">
        <v>68</v>
      </c>
      <c r="C107" s="45"/>
      <c r="D107" s="17">
        <f>'[2]А-4'!$F$161</f>
        <v>4</v>
      </c>
      <c r="E107" s="218">
        <v>296.7</v>
      </c>
      <c r="F107" s="219">
        <f t="shared" si="62"/>
        <v>192.9201407825124</v>
      </c>
      <c r="G107" s="220">
        <f t="shared" si="63"/>
        <v>149.37806500789935</v>
      </c>
      <c r="H107" s="220">
        <f t="shared" si="64"/>
        <v>43.542075774613046</v>
      </c>
      <c r="I107" s="28">
        <f t="shared" si="65"/>
        <v>46.6</v>
      </c>
      <c r="J107" s="28">
        <f>'[2]А-4'!G161</f>
        <v>37.7</v>
      </c>
      <c r="K107" s="28">
        <f>'[2]А-4'!H161</f>
        <v>8.899999999999999</v>
      </c>
      <c r="L107" s="23">
        <f>'[2]А-4'!R161</f>
        <v>10</v>
      </c>
      <c r="M107" s="23">
        <f>'[2]А-4'!AD161</f>
        <v>0</v>
      </c>
      <c r="N107" s="22">
        <f>L107*10/J107</f>
        <v>2.652519893899204</v>
      </c>
      <c r="O107" s="22">
        <f>ROUND(M107/K107*10,3)</f>
        <v>0</v>
      </c>
      <c r="P107" s="28">
        <f t="shared" si="44"/>
        <v>0.9</v>
      </c>
      <c r="Q107" s="28">
        <f t="shared" si="44"/>
        <v>0</v>
      </c>
      <c r="R107" s="23">
        <f t="shared" si="59"/>
        <v>134</v>
      </c>
      <c r="S107" s="23">
        <f t="shared" si="59"/>
        <v>0</v>
      </c>
      <c r="T107" s="16">
        <f t="shared" si="67"/>
        <v>134</v>
      </c>
      <c r="U107" s="26">
        <f t="shared" si="56"/>
        <v>24</v>
      </c>
      <c r="V107" s="9">
        <v>24</v>
      </c>
      <c r="W107" s="26">
        <f t="shared" si="68"/>
        <v>24</v>
      </c>
      <c r="X107" s="53">
        <f t="shared" si="45"/>
        <v>0.6945879235650375</v>
      </c>
    </row>
    <row r="108" spans="1:24" ht="12.75">
      <c r="A108" s="152">
        <f t="shared" si="69"/>
        <v>90</v>
      </c>
      <c r="B108" s="153" t="s">
        <v>69</v>
      </c>
      <c r="C108" s="154"/>
      <c r="D108" s="17">
        <f>'[2]А-4'!$F$162</f>
        <v>0</v>
      </c>
      <c r="E108" s="218">
        <v>14</v>
      </c>
      <c r="F108" s="219">
        <f t="shared" si="62"/>
        <v>9.103073714038333</v>
      </c>
      <c r="G108" s="220">
        <f t="shared" si="63"/>
        <v>7.048509976779881</v>
      </c>
      <c r="H108" s="220">
        <f t="shared" si="64"/>
        <v>2.054563737258452</v>
      </c>
      <c r="I108" s="28">
        <f t="shared" si="65"/>
        <v>0</v>
      </c>
      <c r="J108" s="28">
        <f>'[2]А-4'!G162</f>
        <v>0</v>
      </c>
      <c r="K108" s="28">
        <f>'[2]А-4'!H162</f>
        <v>0</v>
      </c>
      <c r="L108" s="23">
        <f>'[2]А-4'!R162</f>
        <v>0</v>
      </c>
      <c r="M108" s="23">
        <f>'[2]А-4'!AD162</f>
        <v>0</v>
      </c>
      <c r="N108" s="22">
        <v>0</v>
      </c>
      <c r="O108" s="22">
        <v>0</v>
      </c>
      <c r="P108" s="28">
        <f t="shared" si="44"/>
        <v>0</v>
      </c>
      <c r="Q108" s="28">
        <f t="shared" si="44"/>
        <v>0</v>
      </c>
      <c r="R108" s="23">
        <f t="shared" si="59"/>
        <v>0</v>
      </c>
      <c r="S108" s="23">
        <f t="shared" si="59"/>
        <v>0</v>
      </c>
      <c r="T108" s="16">
        <f t="shared" si="67"/>
        <v>0</v>
      </c>
      <c r="U108" s="26">
        <f t="shared" si="56"/>
        <v>0</v>
      </c>
      <c r="V108" s="9"/>
      <c r="W108" s="26">
        <f t="shared" si="68"/>
        <v>0</v>
      </c>
      <c r="X108" s="53">
        <f t="shared" si="45"/>
        <v>0</v>
      </c>
    </row>
    <row r="109" spans="1:24" ht="12.75">
      <c r="A109" s="30">
        <f>A108+1</f>
        <v>91</v>
      </c>
      <c r="B109" s="46" t="s">
        <v>90</v>
      </c>
      <c r="C109" s="47"/>
      <c r="D109" s="17">
        <f>'[2]А-4'!$F$163</f>
        <v>3</v>
      </c>
      <c r="E109" s="227">
        <v>139.56</v>
      </c>
      <c r="F109" s="219">
        <f t="shared" si="62"/>
        <v>90.74464053794213</v>
      </c>
      <c r="G109" s="220">
        <f t="shared" si="63"/>
        <v>70.26357516852859</v>
      </c>
      <c r="H109" s="220">
        <f t="shared" si="64"/>
        <v>20.48106536941354</v>
      </c>
      <c r="I109" s="28">
        <f t="shared" si="65"/>
        <v>35.89999999999999</v>
      </c>
      <c r="J109" s="28">
        <f>'[2]А-4'!G163</f>
        <v>33.599999999999994</v>
      </c>
      <c r="K109" s="28">
        <f>'[2]А-4'!H163</f>
        <v>2.3</v>
      </c>
      <c r="L109" s="23">
        <f>'[2]А-4'!R163</f>
        <v>7</v>
      </c>
      <c r="M109" s="23">
        <f>'[2]А-4'!AD163</f>
        <v>0</v>
      </c>
      <c r="N109" s="22">
        <f>L109*10/J109</f>
        <v>2.0833333333333335</v>
      </c>
      <c r="O109" s="22">
        <f>ROUND(M109/K109*10,3)</f>
        <v>0</v>
      </c>
      <c r="P109" s="28">
        <f t="shared" si="44"/>
        <v>0.7</v>
      </c>
      <c r="Q109" s="28">
        <f t="shared" si="44"/>
        <v>0</v>
      </c>
      <c r="R109" s="23">
        <f t="shared" si="59"/>
        <v>49</v>
      </c>
      <c r="S109" s="23">
        <f t="shared" si="59"/>
        <v>0</v>
      </c>
      <c r="T109" s="16">
        <f t="shared" si="67"/>
        <v>49</v>
      </c>
      <c r="U109" s="26">
        <f t="shared" si="56"/>
        <v>8</v>
      </c>
      <c r="V109" s="9">
        <v>10</v>
      </c>
      <c r="W109" s="26">
        <f t="shared" si="68"/>
        <v>8</v>
      </c>
      <c r="X109" s="53">
        <f t="shared" si="45"/>
        <v>0.5399767932246327</v>
      </c>
    </row>
    <row r="110" spans="1:24" ht="12.75">
      <c r="A110" s="30">
        <f t="shared" si="69"/>
        <v>92</v>
      </c>
      <c r="B110" s="257" t="s">
        <v>91</v>
      </c>
      <c r="C110" s="258"/>
      <c r="D110" s="17">
        <f>'[2]А-4'!$F$164</f>
        <v>4</v>
      </c>
      <c r="E110" s="227">
        <v>257</v>
      </c>
      <c r="F110" s="219">
        <f t="shared" si="62"/>
        <v>167.1064246077037</v>
      </c>
      <c r="G110" s="220">
        <f t="shared" si="63"/>
        <v>129.39050457374498</v>
      </c>
      <c r="H110" s="220">
        <f t="shared" si="64"/>
        <v>37.715920033958724</v>
      </c>
      <c r="I110" s="28">
        <f t="shared" si="65"/>
        <v>45.94</v>
      </c>
      <c r="J110" s="28">
        <f>'[2]А-4'!G164</f>
        <v>45.94</v>
      </c>
      <c r="K110" s="28">
        <f>'[2]А-4'!H164</f>
        <v>0</v>
      </c>
      <c r="L110" s="23">
        <f>'[2]А-4'!R164</f>
        <v>14</v>
      </c>
      <c r="M110" s="23">
        <f>'[2]А-4'!AD164</f>
        <v>0</v>
      </c>
      <c r="N110" s="22">
        <f>L110*10/J110</f>
        <v>3.04745319982586</v>
      </c>
      <c r="O110" s="22">
        <v>0</v>
      </c>
      <c r="P110" s="28">
        <f t="shared" si="44"/>
        <v>1.1</v>
      </c>
      <c r="Q110" s="28">
        <f t="shared" si="44"/>
        <v>0</v>
      </c>
      <c r="R110" s="23">
        <f>ROUNDDOWN((P110*G110),0)</f>
        <v>142</v>
      </c>
      <c r="S110" s="23">
        <f>ROUNDDOWN((Q110*H110),0)</f>
        <v>0</v>
      </c>
      <c r="T110" s="16">
        <f t="shared" si="67"/>
        <v>142</v>
      </c>
      <c r="U110" s="26">
        <f t="shared" si="56"/>
        <v>25</v>
      </c>
      <c r="V110" s="9">
        <v>36</v>
      </c>
      <c r="W110" s="26">
        <f t="shared" si="68"/>
        <v>25</v>
      </c>
      <c r="X110" s="53">
        <f t="shared" si="45"/>
        <v>0.8497578733633783</v>
      </c>
    </row>
    <row r="111" spans="1:25" ht="18">
      <c r="A111" s="252" t="s">
        <v>110</v>
      </c>
      <c r="B111" s="253"/>
      <c r="C111" s="254"/>
      <c r="D111" s="140">
        <f>SUM(D112:D113)</f>
        <v>37</v>
      </c>
      <c r="E111" s="217">
        <f>SUM(E112:E113)</f>
        <v>1925</v>
      </c>
      <c r="F111" s="217">
        <f aca="true" t="shared" si="70" ref="F111:M111">SUM(F112:F113)</f>
        <v>1521</v>
      </c>
      <c r="G111" s="217">
        <f t="shared" si="70"/>
        <v>1082.0394000000001</v>
      </c>
      <c r="H111" s="217">
        <f t="shared" si="70"/>
        <v>438.96060000000006</v>
      </c>
      <c r="I111" s="140">
        <f t="shared" si="70"/>
        <v>372.27</v>
      </c>
      <c r="J111" s="140">
        <f t="shared" si="70"/>
        <v>307.26</v>
      </c>
      <c r="K111" s="140">
        <f t="shared" si="70"/>
        <v>65.01</v>
      </c>
      <c r="L111" s="142">
        <f t="shared" si="70"/>
        <v>72</v>
      </c>
      <c r="M111" s="142">
        <f t="shared" si="70"/>
        <v>9</v>
      </c>
      <c r="N111" s="130">
        <f>ROUND(L111/J111*10,2)</f>
        <v>2.34</v>
      </c>
      <c r="O111" s="141">
        <f>ROUND(M111/K111*10,2)</f>
        <v>1.38</v>
      </c>
      <c r="P111" s="125">
        <f t="shared" si="44"/>
        <v>0.8</v>
      </c>
      <c r="Q111" s="141">
        <f aca="true" t="shared" si="71" ref="Q111:Q118">ROUND(O111*$M$9,2)</f>
        <v>0.48</v>
      </c>
      <c r="R111" s="140">
        <f aca="true" t="shared" si="72" ref="R111:W111">SUM(R112:R113)</f>
        <v>849</v>
      </c>
      <c r="S111" s="142">
        <f t="shared" si="72"/>
        <v>207</v>
      </c>
      <c r="T111" s="142">
        <f t="shared" si="72"/>
        <v>1056</v>
      </c>
      <c r="U111" s="142">
        <f t="shared" si="72"/>
        <v>185</v>
      </c>
      <c r="V111" s="142">
        <f t="shared" si="72"/>
        <v>63</v>
      </c>
      <c r="W111" s="142">
        <f t="shared" si="72"/>
        <v>63</v>
      </c>
      <c r="X111" s="53">
        <f t="shared" si="45"/>
        <v>0.6942800788954635</v>
      </c>
      <c r="Y111">
        <f>1521/E111</f>
        <v>0.7901298701298701</v>
      </c>
    </row>
    <row r="112" spans="1:24" ht="12.75">
      <c r="A112" s="30">
        <f>A110+1</f>
        <v>93</v>
      </c>
      <c r="B112" s="8" t="s">
        <v>26</v>
      </c>
      <c r="C112" s="9"/>
      <c r="D112" s="17">
        <f>'[2]А-4'!$F$173</f>
        <v>32</v>
      </c>
      <c r="E112" s="218">
        <f>'[4]Норматив и фактически 2009'!$F$121</f>
        <v>1679</v>
      </c>
      <c r="F112" s="219">
        <f>E112*$Y$111</f>
        <v>1326.628051948052</v>
      </c>
      <c r="G112" s="220">
        <f>F112*0.7114</f>
        <v>943.7631961558442</v>
      </c>
      <c r="H112" s="220">
        <f>F112*0.2886</f>
        <v>382.86485579220783</v>
      </c>
      <c r="I112" s="28">
        <f>J112+K112</f>
        <v>319.97999999999996</v>
      </c>
      <c r="J112" s="28">
        <f>'[2]А-4'!G173</f>
        <v>290.2</v>
      </c>
      <c r="K112" s="28">
        <f>'[2]А-4'!$H$173</f>
        <v>29.779999999999998</v>
      </c>
      <c r="L112" s="23">
        <f>'[2]А-4'!R173</f>
        <v>72</v>
      </c>
      <c r="M112" s="23">
        <f>'[2]А-4'!AD173</f>
        <v>4</v>
      </c>
      <c r="N112" s="22">
        <f>L112*10/J112</f>
        <v>2.4810475534114405</v>
      </c>
      <c r="O112" s="22">
        <f>ROUND(M112/K112*10,3)</f>
        <v>1.343</v>
      </c>
      <c r="P112" s="28">
        <f t="shared" si="44"/>
        <v>0.9</v>
      </c>
      <c r="Q112" s="22">
        <f t="shared" si="71"/>
        <v>0.47</v>
      </c>
      <c r="R112" s="23">
        <f>ROUNDDOWN((P112*G112),0)</f>
        <v>849</v>
      </c>
      <c r="S112" s="23">
        <f>ROUNDDOWN((Q112*H112),0)</f>
        <v>179</v>
      </c>
      <c r="T112" s="16">
        <f>R112+S112</f>
        <v>1028</v>
      </c>
      <c r="U112" s="26">
        <f t="shared" si="56"/>
        <v>185</v>
      </c>
      <c r="V112" s="9">
        <v>63</v>
      </c>
      <c r="W112" s="26">
        <f>IF(V112&lt;=U112,V112,U112)</f>
        <v>63</v>
      </c>
      <c r="X112" s="53">
        <f t="shared" si="45"/>
        <v>0.7748969264523394</v>
      </c>
    </row>
    <row r="113" spans="1:24" ht="12.75">
      <c r="A113" s="30">
        <f>A112+1</f>
        <v>94</v>
      </c>
      <c r="B113" s="8" t="s">
        <v>33</v>
      </c>
      <c r="C113" s="8"/>
      <c r="D113" s="17">
        <f>'[2]А-4'!$F$174</f>
        <v>5</v>
      </c>
      <c r="E113" s="218">
        <f>'[6]Реестр действующих пользователе'!$I$127</f>
        <v>246</v>
      </c>
      <c r="F113" s="219">
        <f>E113*$Y$111</f>
        <v>194.37194805194804</v>
      </c>
      <c r="G113" s="220">
        <f>F113*0.7114</f>
        <v>138.27620384415584</v>
      </c>
      <c r="H113" s="220">
        <f>F113*0.2886</f>
        <v>56.09574420779221</v>
      </c>
      <c r="I113" s="28">
        <f>J113+K113</f>
        <v>52.290000000000006</v>
      </c>
      <c r="J113" s="28">
        <f>'[2]А-4'!G174</f>
        <v>17.06</v>
      </c>
      <c r="K113" s="28">
        <f>'[2]А-4'!$H$174</f>
        <v>35.230000000000004</v>
      </c>
      <c r="L113" s="23">
        <f>'[2]А-4'!R174</f>
        <v>0</v>
      </c>
      <c r="M113" s="23">
        <f>'[2]А-4'!AD174</f>
        <v>5</v>
      </c>
      <c r="N113" s="22">
        <f>L113*10/J113</f>
        <v>0</v>
      </c>
      <c r="O113" s="22">
        <f>ROUND(M113/K113*10,3)</f>
        <v>1.419</v>
      </c>
      <c r="P113" s="28">
        <f t="shared" si="44"/>
        <v>0</v>
      </c>
      <c r="Q113" s="22">
        <f t="shared" si="71"/>
        <v>0.5</v>
      </c>
      <c r="R113" s="23">
        <f>ROUNDDOWN((P113*G113),0)</f>
        <v>0</v>
      </c>
      <c r="S113" s="23">
        <f>ROUNDDOWN((Q113*H113),0)</f>
        <v>28</v>
      </c>
      <c r="T113" s="16">
        <f>R113+S113</f>
        <v>28</v>
      </c>
      <c r="U113" s="26">
        <f t="shared" si="56"/>
        <v>0</v>
      </c>
      <c r="V113" s="9"/>
      <c r="W113" s="26">
        <f>U113</f>
        <v>0</v>
      </c>
      <c r="X113" s="53">
        <f t="shared" si="45"/>
        <v>0.14405370878166376</v>
      </c>
    </row>
    <row r="114" spans="1:37" ht="18">
      <c r="A114" s="252" t="s">
        <v>111</v>
      </c>
      <c r="B114" s="253"/>
      <c r="C114" s="254"/>
      <c r="D114" s="140">
        <f>SUM(D115:D117)</f>
        <v>57</v>
      </c>
      <c r="E114" s="217">
        <f>SUM(E115:E117)</f>
        <v>2956</v>
      </c>
      <c r="F114" s="217">
        <f aca="true" t="shared" si="73" ref="F114:M114">SUM(F115:F117)</f>
        <v>1714.0000000000002</v>
      </c>
      <c r="G114" s="217">
        <f t="shared" si="73"/>
        <v>1329.0356000000002</v>
      </c>
      <c r="H114" s="217">
        <f t="shared" si="73"/>
        <v>384.9644</v>
      </c>
      <c r="I114" s="217">
        <f t="shared" si="73"/>
        <v>1060.04</v>
      </c>
      <c r="J114" s="140">
        <f t="shared" si="73"/>
        <v>516.9200000000001</v>
      </c>
      <c r="K114" s="140">
        <f t="shared" si="73"/>
        <v>543.12</v>
      </c>
      <c r="L114" s="142">
        <f t="shared" si="73"/>
        <v>166</v>
      </c>
      <c r="M114" s="142">
        <f t="shared" si="73"/>
        <v>9</v>
      </c>
      <c r="N114" s="130">
        <f>ROUND(L114/J114*10,2)</f>
        <v>3.21</v>
      </c>
      <c r="O114" s="141">
        <f>ROUND(M114/K114*10,2)</f>
        <v>0.17</v>
      </c>
      <c r="P114" s="125">
        <f t="shared" si="44"/>
        <v>1.1</v>
      </c>
      <c r="Q114" s="141">
        <f t="shared" si="71"/>
        <v>0.06</v>
      </c>
      <c r="R114" s="140">
        <f>SUM(R115:R117)</f>
        <v>1503</v>
      </c>
      <c r="S114" s="140">
        <f>SUM(S115:S117)</f>
        <v>21</v>
      </c>
      <c r="T114" s="142">
        <f>SUM(T115:T117)</f>
        <v>1524</v>
      </c>
      <c r="U114" s="142">
        <f>SUM(U115:U117)</f>
        <v>274</v>
      </c>
      <c r="V114" s="142">
        <f>SUM(V115:V116)</f>
        <v>105</v>
      </c>
      <c r="W114" s="142">
        <f>SUM(W115:W116)</f>
        <v>105</v>
      </c>
      <c r="X114" s="53">
        <f t="shared" si="45"/>
        <v>0.8891481913652274</v>
      </c>
      <c r="Y114">
        <f>1714/E114</f>
        <v>0.5798376184032477</v>
      </c>
      <c r="AB114">
        <v>1580</v>
      </c>
      <c r="AD114" s="19">
        <f>AB114-T114</f>
        <v>56</v>
      </c>
      <c r="AK114">
        <f>2956-R114</f>
        <v>1453</v>
      </c>
    </row>
    <row r="115" spans="1:24" ht="12.75">
      <c r="A115" s="30">
        <f>A113+1</f>
        <v>95</v>
      </c>
      <c r="B115" s="8" t="s">
        <v>27</v>
      </c>
      <c r="C115" s="9"/>
      <c r="D115" s="17">
        <f>'[2]А-4'!$F$178</f>
        <v>44</v>
      </c>
      <c r="E115" s="218">
        <f>'[4]Норматив и фактически 2009'!$F$126</f>
        <v>2316</v>
      </c>
      <c r="F115" s="219">
        <f>E115*$Y$114</f>
        <v>1342.9039242219217</v>
      </c>
      <c r="G115" s="220">
        <f>F115*0.7754</f>
        <v>1041.287702841678</v>
      </c>
      <c r="H115" s="220">
        <f>F115*0.2246</f>
        <v>301.6162213802436</v>
      </c>
      <c r="I115" s="28">
        <f>J115+K115</f>
        <v>882.44</v>
      </c>
      <c r="J115" s="28">
        <f>'[2]А-4'!G178</f>
        <v>441.22</v>
      </c>
      <c r="K115" s="28">
        <f>'[2]А-4'!$J$178</f>
        <v>441.22</v>
      </c>
      <c r="L115" s="23">
        <f>'[2]А-4'!R178</f>
        <v>134</v>
      </c>
      <c r="M115" s="23">
        <f>'[2]А-4'!AD178</f>
        <v>0</v>
      </c>
      <c r="N115" s="22">
        <f>L115*10/J115</f>
        <v>3.037033679343638</v>
      </c>
      <c r="O115" s="22">
        <f>ROUND(M115/K115*10,3)</f>
        <v>0</v>
      </c>
      <c r="P115" s="28">
        <f t="shared" si="44"/>
        <v>1.1</v>
      </c>
      <c r="Q115" s="22">
        <f t="shared" si="71"/>
        <v>0</v>
      </c>
      <c r="R115" s="23">
        <f aca="true" t="shared" si="74" ref="R115:S117">ROUNDDOWN((P115*G115),0)</f>
        <v>1145</v>
      </c>
      <c r="S115" s="23">
        <f t="shared" si="74"/>
        <v>0</v>
      </c>
      <c r="T115" s="16">
        <f>R115+S115</f>
        <v>1145</v>
      </c>
      <c r="U115" s="26">
        <f t="shared" si="56"/>
        <v>206</v>
      </c>
      <c r="V115" s="9">
        <v>90</v>
      </c>
      <c r="W115" s="26">
        <f>IF(V115&lt;=U115,V115,U115)</f>
        <v>90</v>
      </c>
      <c r="X115" s="53">
        <f t="shared" si="45"/>
        <v>0.8526298712422132</v>
      </c>
    </row>
    <row r="116" spans="1:24" ht="12.75">
      <c r="A116" s="30">
        <f>A115+1</f>
        <v>96</v>
      </c>
      <c r="B116" s="8" t="s">
        <v>44</v>
      </c>
      <c r="C116" s="9"/>
      <c r="D116" s="17">
        <f>'[2]А-4'!$F$179</f>
        <v>13</v>
      </c>
      <c r="E116" s="218">
        <v>531</v>
      </c>
      <c r="F116" s="219">
        <f>E116*$Y$114</f>
        <v>307.8937753721245</v>
      </c>
      <c r="G116" s="220">
        <f>F116*0.7754</f>
        <v>238.74083342354533</v>
      </c>
      <c r="H116" s="220">
        <f>F116*0.2246</f>
        <v>69.15294194857915</v>
      </c>
      <c r="I116" s="28">
        <f>J116+K116</f>
        <v>177.60000000000002</v>
      </c>
      <c r="J116" s="28">
        <f>'[2]А-4'!G179</f>
        <v>75.7</v>
      </c>
      <c r="K116" s="28">
        <f>'[2]А-4'!$J$179</f>
        <v>101.9</v>
      </c>
      <c r="L116" s="23">
        <f>'[2]А-4'!R179</f>
        <v>32</v>
      </c>
      <c r="M116" s="23">
        <f>'[2]А-4'!AD179</f>
        <v>9</v>
      </c>
      <c r="N116" s="22">
        <f>L116*10/J116</f>
        <v>4.227212681638044</v>
      </c>
      <c r="O116" s="22">
        <f>ROUND(M116/K116*10,3)</f>
        <v>0.883</v>
      </c>
      <c r="P116" s="28">
        <f t="shared" si="44"/>
        <v>1.5</v>
      </c>
      <c r="Q116" s="22">
        <f t="shared" si="71"/>
        <v>0.31</v>
      </c>
      <c r="R116" s="23">
        <f t="shared" si="74"/>
        <v>358</v>
      </c>
      <c r="S116" s="23">
        <f t="shared" si="74"/>
        <v>21</v>
      </c>
      <c r="T116" s="16">
        <f>R116+S116</f>
        <v>379</v>
      </c>
      <c r="U116" s="26">
        <f t="shared" si="56"/>
        <v>68</v>
      </c>
      <c r="V116" s="9">
        <v>15</v>
      </c>
      <c r="W116" s="26">
        <f>IF(V116&lt;=U116,V116,U116)</f>
        <v>15</v>
      </c>
      <c r="X116" s="53">
        <f t="shared" si="45"/>
        <v>1.2309440148373756</v>
      </c>
    </row>
    <row r="117" spans="1:24" ht="12.75">
      <c r="A117" s="30">
        <f>A116+1</f>
        <v>97</v>
      </c>
      <c r="B117" s="293" t="s">
        <v>126</v>
      </c>
      <c r="C117" s="294"/>
      <c r="D117" s="17">
        <v>0</v>
      </c>
      <c r="E117" s="218">
        <v>109</v>
      </c>
      <c r="F117" s="219">
        <f>E117*$Y$114</f>
        <v>63.20230040595399</v>
      </c>
      <c r="G117" s="220">
        <f>F117*0.7754</f>
        <v>49.00706373477672</v>
      </c>
      <c r="H117" s="220">
        <f>F117*0.2246</f>
        <v>14.195236671177266</v>
      </c>
      <c r="I117" s="28">
        <f>J117+K117</f>
        <v>0</v>
      </c>
      <c r="J117" s="28">
        <f>'[2]А-4'!G180</f>
        <v>0</v>
      </c>
      <c r="K117" s="28">
        <v>0</v>
      </c>
      <c r="L117" s="23">
        <f>'[2]А-4'!R180</f>
        <v>0</v>
      </c>
      <c r="M117" s="23">
        <f>'[2]А-4'!AD180</f>
        <v>0</v>
      </c>
      <c r="N117" s="22">
        <v>0</v>
      </c>
      <c r="O117" s="22">
        <v>0</v>
      </c>
      <c r="P117" s="28">
        <f t="shared" si="44"/>
        <v>0</v>
      </c>
      <c r="Q117" s="22">
        <f t="shared" si="71"/>
        <v>0</v>
      </c>
      <c r="R117" s="23">
        <f t="shared" si="74"/>
        <v>0</v>
      </c>
      <c r="S117" s="23">
        <f t="shared" si="74"/>
        <v>0</v>
      </c>
      <c r="T117" s="16">
        <f>R117+S117</f>
        <v>0</v>
      </c>
      <c r="U117" s="26">
        <f t="shared" si="56"/>
        <v>0</v>
      </c>
      <c r="V117" s="9"/>
      <c r="W117" s="26">
        <f>IF(V117&lt;=U117,V117,U117)</f>
        <v>0</v>
      </c>
      <c r="X117" s="53">
        <f t="shared" si="45"/>
        <v>0</v>
      </c>
    </row>
    <row r="118" spans="1:24" ht="39.75" customHeight="1">
      <c r="A118" s="150"/>
      <c r="B118" s="249" t="s">
        <v>28</v>
      </c>
      <c r="C118" s="251"/>
      <c r="D118" s="155">
        <f>D114+D111+D98+D93+D79+D61+D50+D14+D12</f>
        <v>495</v>
      </c>
      <c r="E118" s="221">
        <f>E114+E111+E98+E93+E79+E61+E50+E14+E12</f>
        <v>44250.02</v>
      </c>
      <c r="F118" s="221">
        <f aca="true" t="shared" si="75" ref="F118:M118">F114+F111+F98+F93+F79+F61+F50+F14+F12</f>
        <v>31292.025795131605</v>
      </c>
      <c r="G118" s="221">
        <f t="shared" si="75"/>
        <v>18161.33667579653</v>
      </c>
      <c r="H118" s="221">
        <f t="shared" si="75"/>
        <v>13130.689119335077</v>
      </c>
      <c r="I118" s="221">
        <f t="shared" si="75"/>
        <v>5902.63</v>
      </c>
      <c r="J118" s="221">
        <f t="shared" si="75"/>
        <v>4459.08</v>
      </c>
      <c r="K118" s="221">
        <f t="shared" si="75"/>
        <v>1443.5500000000002</v>
      </c>
      <c r="L118" s="155">
        <f t="shared" si="75"/>
        <v>1194</v>
      </c>
      <c r="M118" s="155">
        <f t="shared" si="75"/>
        <v>246</v>
      </c>
      <c r="N118" s="156">
        <f>L118*10/J118</f>
        <v>2.6776823918835277</v>
      </c>
      <c r="O118" s="228">
        <f>ROUND(M118/K118*10,3)</f>
        <v>1.704</v>
      </c>
      <c r="P118" s="157">
        <f t="shared" si="44"/>
        <v>0.9</v>
      </c>
      <c r="Q118" s="156">
        <f t="shared" si="71"/>
        <v>0.6</v>
      </c>
      <c r="R118" s="155">
        <f aca="true" t="shared" si="76" ref="R118:W118">R114+R111+R98+R93+R79+R61+R50+R14+R12</f>
        <v>13882</v>
      </c>
      <c r="S118" s="155">
        <f t="shared" si="76"/>
        <v>4572</v>
      </c>
      <c r="T118" s="155">
        <f t="shared" si="76"/>
        <v>18454</v>
      </c>
      <c r="U118" s="155">
        <f t="shared" si="76"/>
        <v>3225</v>
      </c>
      <c r="V118" s="155">
        <f t="shared" si="76"/>
        <v>856</v>
      </c>
      <c r="W118" s="155">
        <f t="shared" si="76"/>
        <v>1494</v>
      </c>
      <c r="X118" s="53">
        <f t="shared" si="45"/>
        <v>0.5897349094883804</v>
      </c>
    </row>
  </sheetData>
  <sheetProtection selectLockedCells="1" selectUnlockedCells="1"/>
  <mergeCells count="25">
    <mergeCell ref="B118:C118"/>
    <mergeCell ref="B11:C11"/>
    <mergeCell ref="B110:C110"/>
    <mergeCell ref="A111:C111"/>
    <mergeCell ref="A114:C114"/>
    <mergeCell ref="B117:C117"/>
    <mergeCell ref="B28:C28"/>
    <mergeCell ref="B101:C101"/>
    <mergeCell ref="B61:C61"/>
    <mergeCell ref="A98:C98"/>
    <mergeCell ref="O9:P9"/>
    <mergeCell ref="B12:C12"/>
    <mergeCell ref="B14:C14"/>
    <mergeCell ref="B21:C21"/>
    <mergeCell ref="L7:M7"/>
    <mergeCell ref="C2:W2"/>
    <mergeCell ref="B41:C41"/>
    <mergeCell ref="A93:C93"/>
    <mergeCell ref="B38:C38"/>
    <mergeCell ref="B81:C81"/>
    <mergeCell ref="B27:C27"/>
    <mergeCell ref="A79:C79"/>
    <mergeCell ref="B32:C32"/>
    <mergeCell ref="B49:C49"/>
    <mergeCell ref="B50:C50"/>
  </mergeCells>
  <printOptions/>
  <pageMargins left="0.3937007874015748" right="0" top="0" bottom="0" header="0" footer="0"/>
  <pageSetup fitToWidth="2" horizontalDpi="600" verticalDpi="600" orientation="landscape" paperSize="9" scale="60" r:id="rId1"/>
  <rowBreaks count="2" manualBreakCount="2">
    <brk id="60" max="22" man="1"/>
    <brk id="118" max="22" man="1"/>
  </rowBreaks>
  <colBreaks count="1" manualBreakCount="1">
    <brk id="2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K113"/>
  <sheetViews>
    <sheetView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C1" sqref="C1:W1"/>
    </sheetView>
  </sheetViews>
  <sheetFormatPr defaultColWidth="9.140625" defaultRowHeight="12.75"/>
  <cols>
    <col min="1" max="1" width="3.421875" style="0" customWidth="1"/>
    <col min="2" max="2" width="7.7109375" style="0" customWidth="1"/>
    <col min="3" max="3" width="36.00390625" style="0" customWidth="1"/>
    <col min="4" max="4" width="8.00390625" style="0" customWidth="1"/>
    <col min="5" max="5" width="13.57421875" style="0" customWidth="1"/>
    <col min="6" max="6" width="12.28125" style="0" customWidth="1"/>
    <col min="7" max="7" width="10.00390625" style="29" customWidth="1"/>
    <col min="8" max="8" width="9.8515625" style="29" customWidth="1"/>
    <col min="9" max="9" width="9.421875" style="29" customWidth="1"/>
    <col min="10" max="10" width="8.140625" style="29" customWidth="1"/>
    <col min="11" max="11" width="9.00390625" style="29" customWidth="1"/>
    <col min="12" max="12" width="8.8515625" style="29" customWidth="1"/>
    <col min="13" max="13" width="8.140625" style="29" customWidth="1"/>
    <col min="14" max="14" width="7.7109375" style="29" customWidth="1"/>
    <col min="15" max="15" width="8.8515625" style="29" customWidth="1"/>
    <col min="16" max="16" width="7.28125" style="29" customWidth="1"/>
    <col min="17" max="17" width="7.57421875" style="29" customWidth="1"/>
    <col min="18" max="18" width="8.00390625" style="29" customWidth="1"/>
    <col min="19" max="19" width="7.8515625" style="29" customWidth="1"/>
    <col min="20" max="20" width="8.57421875" style="0" customWidth="1"/>
    <col min="21" max="21" width="9.8515625" style="0" customWidth="1"/>
    <col min="22" max="22" width="6.8515625" style="0" customWidth="1"/>
    <col min="23" max="23" width="11.57421875" style="0" customWidth="1"/>
    <col min="24" max="24" width="5.421875" style="0" customWidth="1"/>
    <col min="25" max="25" width="7.8515625" style="0" customWidth="1"/>
    <col min="26" max="26" width="5.140625" style="0" customWidth="1"/>
    <col min="27" max="27" width="5.57421875" style="0" customWidth="1"/>
    <col min="28" max="28" width="8.00390625" style="0" customWidth="1"/>
    <col min="29" max="29" width="5.57421875" style="0" customWidth="1"/>
    <col min="30" max="30" width="9.421875" style="0" customWidth="1"/>
    <col min="31" max="31" width="5.00390625" style="0" customWidth="1"/>
    <col min="32" max="32" width="5.421875" style="0" customWidth="1"/>
    <col min="33" max="33" width="5.57421875" style="0" customWidth="1"/>
    <col min="34" max="34" width="5.8515625" style="0" customWidth="1"/>
    <col min="35" max="35" width="5.140625" style="0" customWidth="1"/>
    <col min="36" max="36" width="4.7109375" style="0" customWidth="1"/>
  </cols>
  <sheetData>
    <row r="1" spans="2:34" ht="61.5" customHeight="1">
      <c r="B1" s="1"/>
      <c r="C1" s="292" t="s">
        <v>179</v>
      </c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AE1" s="2"/>
      <c r="AF1" s="1" t="s">
        <v>1</v>
      </c>
      <c r="AG1" s="1"/>
      <c r="AH1" s="2"/>
    </row>
    <row r="2" spans="1:35" ht="15.75">
      <c r="A2" s="2"/>
      <c r="B2" s="3" t="s">
        <v>2</v>
      </c>
      <c r="C2" s="3"/>
      <c r="D2" s="3"/>
      <c r="E2" s="3"/>
      <c r="F2" s="3"/>
      <c r="G2" s="66" t="s">
        <v>70</v>
      </c>
      <c r="H2" s="66"/>
      <c r="I2" s="66"/>
      <c r="J2" s="66"/>
      <c r="K2" s="66"/>
      <c r="L2" s="66"/>
      <c r="M2" s="66"/>
      <c r="N2" s="66"/>
      <c r="O2" s="65"/>
      <c r="P2" s="65"/>
      <c r="Q2" s="65"/>
      <c r="R2" s="65"/>
      <c r="S2" s="1" t="s">
        <v>1</v>
      </c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35.25" customHeight="1">
      <c r="A3" s="2"/>
      <c r="B3" s="2" t="s">
        <v>3</v>
      </c>
      <c r="C3" s="3" t="s">
        <v>40</v>
      </c>
      <c r="D3" s="3"/>
      <c r="E3" s="3"/>
      <c r="F3" s="3"/>
      <c r="G3" s="67"/>
      <c r="H3" s="67"/>
      <c r="I3" s="67"/>
      <c r="J3" s="67"/>
      <c r="K3" s="67"/>
      <c r="L3" s="270" t="s">
        <v>48</v>
      </c>
      <c r="M3" s="271"/>
      <c r="N3" s="68"/>
      <c r="O3" s="69">
        <v>33</v>
      </c>
      <c r="P3" s="70" t="s">
        <v>46</v>
      </c>
      <c r="R3" s="65" t="s">
        <v>5</v>
      </c>
      <c r="S3" s="65"/>
      <c r="T3" s="2"/>
      <c r="U3" s="2"/>
      <c r="V3" s="63">
        <f>D113</f>
        <v>495</v>
      </c>
      <c r="W3" s="2" t="s">
        <v>4</v>
      </c>
      <c r="X3" s="2"/>
      <c r="Y3" s="4"/>
      <c r="Z3" s="2" t="s">
        <v>4</v>
      </c>
      <c r="AA3" s="2" t="s">
        <v>5</v>
      </c>
      <c r="AB3" s="2"/>
      <c r="AC3" s="2"/>
      <c r="AD3" s="2"/>
      <c r="AE3" s="4">
        <f>C12</f>
        <v>0</v>
      </c>
      <c r="AF3" s="2" t="s">
        <v>4</v>
      </c>
      <c r="AG3" s="2"/>
      <c r="AH3" s="2"/>
      <c r="AI3" s="2"/>
    </row>
    <row r="4" spans="1:35" ht="12.75">
      <c r="A4" s="2"/>
      <c r="B4" s="2"/>
      <c r="C4" s="2"/>
      <c r="D4" s="2"/>
      <c r="E4" s="2"/>
      <c r="F4" s="2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 t="s">
        <v>6</v>
      </c>
      <c r="S4" s="65"/>
      <c r="T4" s="2"/>
      <c r="U4" s="2"/>
      <c r="V4" s="4">
        <v>186</v>
      </c>
      <c r="W4" s="2" t="s">
        <v>4</v>
      </c>
      <c r="X4" s="2"/>
      <c r="Y4" s="5"/>
      <c r="Z4" s="2"/>
      <c r="AA4" s="2" t="s">
        <v>6</v>
      </c>
      <c r="AB4" s="2"/>
      <c r="AC4" s="2"/>
      <c r="AD4" s="2"/>
      <c r="AE4" s="4">
        <f>'[1]Норматив и фактически'!$K$130</f>
        <v>144</v>
      </c>
      <c r="AF4" s="2" t="s">
        <v>4</v>
      </c>
      <c r="AG4" s="2"/>
      <c r="AH4" s="2"/>
      <c r="AI4" s="2"/>
    </row>
    <row r="5" spans="1:35" ht="12.75">
      <c r="A5" s="2"/>
      <c r="B5" s="2" t="s">
        <v>7</v>
      </c>
      <c r="C5" s="2"/>
      <c r="D5" s="2"/>
      <c r="E5" s="2"/>
      <c r="F5" s="2"/>
      <c r="G5" s="65"/>
      <c r="H5" s="65"/>
      <c r="I5" s="65"/>
      <c r="J5" s="65"/>
      <c r="K5" s="71"/>
      <c r="L5" s="71"/>
      <c r="M5" s="72">
        <v>0.54</v>
      </c>
      <c r="N5" s="73"/>
      <c r="O5" s="290" t="s">
        <v>47</v>
      </c>
      <c r="P5" s="290"/>
      <c r="Q5" s="74"/>
      <c r="R5" s="65" t="s">
        <v>8</v>
      </c>
      <c r="S5" s="65"/>
      <c r="T5" s="2"/>
      <c r="U5" s="2"/>
      <c r="V5" s="6">
        <v>450</v>
      </c>
      <c r="W5" s="2" t="s">
        <v>4</v>
      </c>
      <c r="X5" s="2"/>
      <c r="Y5" s="2"/>
      <c r="Z5" s="2"/>
      <c r="AA5" s="2" t="s">
        <v>8</v>
      </c>
      <c r="AB5" s="2"/>
      <c r="AC5" s="2"/>
      <c r="AD5" s="2"/>
      <c r="AE5" s="6">
        <v>450</v>
      </c>
      <c r="AF5" s="2" t="s">
        <v>4</v>
      </c>
      <c r="AG5" s="2"/>
      <c r="AH5" s="2"/>
      <c r="AI5" s="2"/>
    </row>
    <row r="6" spans="1:24" ht="94.5" customHeight="1">
      <c r="A6" s="61" t="s">
        <v>9</v>
      </c>
      <c r="B6" s="280" t="s">
        <v>11</v>
      </c>
      <c r="C6" s="281"/>
      <c r="D6" s="62" t="s">
        <v>41</v>
      </c>
      <c r="E6" s="62" t="s">
        <v>125</v>
      </c>
      <c r="F6" s="62" t="s">
        <v>112</v>
      </c>
      <c r="G6" s="75" t="s">
        <v>139</v>
      </c>
      <c r="H6" s="75" t="s">
        <v>140</v>
      </c>
      <c r="I6" s="75" t="s">
        <v>135</v>
      </c>
      <c r="J6" s="75" t="s">
        <v>128</v>
      </c>
      <c r="K6" s="75" t="s">
        <v>127</v>
      </c>
      <c r="L6" s="75" t="s">
        <v>129</v>
      </c>
      <c r="M6" s="75" t="s">
        <v>130</v>
      </c>
      <c r="N6" s="75" t="s">
        <v>131</v>
      </c>
      <c r="O6" s="75" t="s">
        <v>132</v>
      </c>
      <c r="P6" s="75" t="s">
        <v>134</v>
      </c>
      <c r="Q6" s="75" t="s">
        <v>133</v>
      </c>
      <c r="R6" s="75" t="s">
        <v>136</v>
      </c>
      <c r="S6" s="75" t="s">
        <v>137</v>
      </c>
      <c r="T6" s="62" t="s">
        <v>138</v>
      </c>
      <c r="U6" s="62" t="s">
        <v>116</v>
      </c>
      <c r="V6" s="62" t="s">
        <v>117</v>
      </c>
      <c r="W6" s="62" t="s">
        <v>118</v>
      </c>
      <c r="X6" s="88" t="s">
        <v>147</v>
      </c>
    </row>
    <row r="7" spans="1:24" ht="23.25" customHeight="1">
      <c r="A7" s="6"/>
      <c r="B7" s="272" t="s">
        <v>104</v>
      </c>
      <c r="C7" s="273"/>
      <c r="D7" s="123">
        <f>'[2]А-4'!$F$10</f>
        <v>2</v>
      </c>
      <c r="E7" s="146">
        <v>47.5</v>
      </c>
      <c r="F7" s="146">
        <f>F8</f>
        <v>45.44996540390936</v>
      </c>
      <c r="G7" s="146">
        <f>G8</f>
        <v>19.03899050769763</v>
      </c>
      <c r="H7" s="146">
        <f>H8</f>
        <v>26.410974896211727</v>
      </c>
      <c r="I7" s="124">
        <v>20</v>
      </c>
      <c r="J7" s="123">
        <f>'[2]А-4'!$G$10</f>
        <v>11.5</v>
      </c>
      <c r="K7" s="124">
        <f aca="true" t="shared" si="0" ref="K7:Q7">K8</f>
        <v>8.5</v>
      </c>
      <c r="L7" s="126">
        <f>'[2]А-4'!$Q$10</f>
        <v>0</v>
      </c>
      <c r="M7" s="124">
        <f t="shared" si="0"/>
        <v>0</v>
      </c>
      <c r="N7" s="127">
        <f>L7*10/J7</f>
        <v>0</v>
      </c>
      <c r="O7" s="124">
        <f t="shared" si="0"/>
        <v>0</v>
      </c>
      <c r="P7" s="124">
        <v>0</v>
      </c>
      <c r="Q7" s="124">
        <f t="shared" si="0"/>
        <v>0</v>
      </c>
      <c r="R7" s="124">
        <v>0</v>
      </c>
      <c r="S7" s="128">
        <v>0</v>
      </c>
      <c r="T7" s="129">
        <f>T8</f>
        <v>0</v>
      </c>
      <c r="U7" s="129" t="str">
        <f>U8</f>
        <v>0</v>
      </c>
      <c r="V7" s="129">
        <f>V8</f>
        <v>0</v>
      </c>
      <c r="W7" s="129">
        <f>W8</f>
        <v>0</v>
      </c>
      <c r="X7" s="53">
        <f>T7/F7</f>
        <v>0</v>
      </c>
    </row>
    <row r="8" spans="1:30" ht="20.25" customHeight="1">
      <c r="A8" s="30">
        <v>1</v>
      </c>
      <c r="B8" s="50" t="s">
        <v>99</v>
      </c>
      <c r="C8" s="49"/>
      <c r="D8" s="17">
        <f>'[2]А-4'!$F$10</f>
        <v>2</v>
      </c>
      <c r="E8" s="218">
        <v>47.5</v>
      </c>
      <c r="F8" s="219">
        <f>E8*$Y$9</f>
        <v>45.44996540390936</v>
      </c>
      <c r="G8" s="220">
        <f>F8*0.4189</f>
        <v>19.03899050769763</v>
      </c>
      <c r="H8" s="220">
        <f>F8*0.5811</f>
        <v>26.410974896211727</v>
      </c>
      <c r="I8" s="76">
        <f>J8+K8</f>
        <v>20</v>
      </c>
      <c r="J8" s="18">
        <f>'[2]А-4'!$G$10</f>
        <v>11.5</v>
      </c>
      <c r="K8" s="18">
        <f>'[2]А-4'!$H$10</f>
        <v>8.5</v>
      </c>
      <c r="L8" s="28">
        <f>'[2]А-4'!$Q$10</f>
        <v>0</v>
      </c>
      <c r="M8" s="23">
        <f>'[2]А-4'!$AC$10</f>
        <v>0</v>
      </c>
      <c r="N8" s="23">
        <f>L8*10/J8</f>
        <v>0</v>
      </c>
      <c r="O8" s="22">
        <f>M8*10/K8</f>
        <v>0</v>
      </c>
      <c r="P8" s="22">
        <v>0</v>
      </c>
      <c r="Q8" s="22">
        <f>ROUND(O8*$M$5,2)</f>
        <v>0</v>
      </c>
      <c r="R8" s="23">
        <v>0</v>
      </c>
      <c r="S8" s="23">
        <v>0</v>
      </c>
      <c r="T8" s="16">
        <f>R8*Q8*$Y$7</f>
        <v>0</v>
      </c>
      <c r="U8" s="26" t="str">
        <f>IF(T8&lt;$O$3,"0",T8*3/100)</f>
        <v>0</v>
      </c>
      <c r="V8" s="9"/>
      <c r="W8" s="26">
        <f>IF(V8&lt;=U8,V8,U8)</f>
        <v>0</v>
      </c>
      <c r="X8" s="53">
        <f>T8/F8</f>
        <v>0</v>
      </c>
      <c r="AD8">
        <f>Q9*S9</f>
        <v>50.61</v>
      </c>
    </row>
    <row r="9" spans="1:30" ht="29.25" customHeight="1">
      <c r="A9" s="30"/>
      <c r="B9" s="274" t="s">
        <v>103</v>
      </c>
      <c r="C9" s="275"/>
      <c r="D9" s="129">
        <f aca="true" t="shared" si="1" ref="D9:M9">SUM(D10:D44)</f>
        <v>85</v>
      </c>
      <c r="E9" s="125">
        <f t="shared" si="1"/>
        <v>5781.110000000001</v>
      </c>
      <c r="F9" s="125">
        <f t="shared" si="1"/>
        <v>5531.6052525514615</v>
      </c>
      <c r="G9" s="125">
        <f t="shared" si="1"/>
        <v>2317.1894402938074</v>
      </c>
      <c r="H9" s="125">
        <f t="shared" si="1"/>
        <v>3214.4158122576537</v>
      </c>
      <c r="I9" s="125">
        <f t="shared" si="1"/>
        <v>880.0799999999998</v>
      </c>
      <c r="J9" s="125">
        <f t="shared" si="1"/>
        <v>647.19</v>
      </c>
      <c r="K9" s="125">
        <f t="shared" si="1"/>
        <v>232.89000000000001</v>
      </c>
      <c r="L9" s="129">
        <f t="shared" si="1"/>
        <v>110</v>
      </c>
      <c r="M9" s="129">
        <f t="shared" si="1"/>
        <v>9</v>
      </c>
      <c r="N9" s="130">
        <f>ROUND(L9/J9*10,2)</f>
        <v>1.7</v>
      </c>
      <c r="O9" s="130">
        <f>ROUND(M9/K9*10,2)</f>
        <v>0.39</v>
      </c>
      <c r="P9" s="125">
        <f aca="true" t="shared" si="2" ref="P9:Q71">ROUND(N9*$M$5,1)</f>
        <v>0.9</v>
      </c>
      <c r="Q9" s="130">
        <f>ROUND(O9*$M$5,2)</f>
        <v>0.21</v>
      </c>
      <c r="R9" s="129">
        <f aca="true" t="shared" si="3" ref="R9:W9">SUM(R10:R44)</f>
        <v>1444</v>
      </c>
      <c r="S9" s="125">
        <f t="shared" si="3"/>
        <v>241</v>
      </c>
      <c r="T9" s="129">
        <f t="shared" si="3"/>
        <v>1685</v>
      </c>
      <c r="U9" s="129">
        <f t="shared" si="3"/>
        <v>50</v>
      </c>
      <c r="V9" s="129">
        <f t="shared" si="3"/>
        <v>37</v>
      </c>
      <c r="W9" s="129">
        <f t="shared" si="3"/>
        <v>33</v>
      </c>
      <c r="X9" s="53">
        <f>T9/F9</f>
        <v>0.30461320413686266</v>
      </c>
      <c r="Y9" s="53">
        <f>AB9/AB10</f>
        <v>0.9568413769244075</v>
      </c>
      <c r="AB9">
        <v>5531.5</v>
      </c>
      <c r="AD9">
        <v>2473</v>
      </c>
    </row>
    <row r="10" spans="1:28" ht="17.25" customHeight="1">
      <c r="A10" s="30">
        <f>A8+1</f>
        <v>2</v>
      </c>
      <c r="B10" s="50" t="s">
        <v>96</v>
      </c>
      <c r="C10" s="49"/>
      <c r="D10" s="17">
        <f>'[2]А-4'!$F$12</f>
        <v>3</v>
      </c>
      <c r="E10" s="218">
        <f>'[3]Норматив и фактически 2015'!$F$13</f>
        <v>660</v>
      </c>
      <c r="F10" s="219">
        <f>E10*$Y$9</f>
        <v>631.515308770109</v>
      </c>
      <c r="G10" s="220">
        <f>F10*0.4189</f>
        <v>264.54176284379867</v>
      </c>
      <c r="H10" s="220">
        <f>F10*0.5811</f>
        <v>366.9735459263103</v>
      </c>
      <c r="I10" s="28">
        <f>J10+K10</f>
        <v>30</v>
      </c>
      <c r="J10" s="14">
        <f>'[2]А-4'!$G$12</f>
        <v>21.6</v>
      </c>
      <c r="K10" s="28">
        <f>'[2]А-4'!$H$12</f>
        <v>8.399999999999999</v>
      </c>
      <c r="L10" s="28">
        <f>'[2]А-4'!$Q$12</f>
        <v>5</v>
      </c>
      <c r="M10" s="28">
        <f>'[2]А-4'!$AC$12</f>
        <v>0</v>
      </c>
      <c r="N10" s="22">
        <f>L10*10/J10</f>
        <v>2.314814814814815</v>
      </c>
      <c r="O10" s="22">
        <f>M10*10/K10</f>
        <v>0</v>
      </c>
      <c r="P10" s="28">
        <f t="shared" si="2"/>
        <v>1.3</v>
      </c>
      <c r="Q10" s="28">
        <f t="shared" si="2"/>
        <v>0</v>
      </c>
      <c r="R10" s="23">
        <f>ROUNDDOWN((P10*G10),0)</f>
        <v>343</v>
      </c>
      <c r="S10" s="23">
        <f>ROUNDDOWN((Q10*H10),0)</f>
        <v>0</v>
      </c>
      <c r="T10" s="16">
        <f>R10+S10</f>
        <v>343</v>
      </c>
      <c r="U10" s="26">
        <f aca="true" t="shared" si="4" ref="U10:U71">ROUNDDOWN(IF(T10&lt;$O$3,"0",T10*3/100),0)</f>
        <v>10</v>
      </c>
      <c r="V10" s="9">
        <v>3</v>
      </c>
      <c r="W10" s="26">
        <f aca="true" t="shared" si="5" ref="W10:W53">IF(V10&lt;=U10,V10,U10)</f>
        <v>3</v>
      </c>
      <c r="X10" s="53">
        <f>T10/F10</f>
        <v>0.5431380605293649</v>
      </c>
      <c r="AB10">
        <v>5781</v>
      </c>
    </row>
    <row r="11" spans="1:24" ht="17.25" customHeight="1">
      <c r="A11" s="30">
        <f>A10+1</f>
        <v>3</v>
      </c>
      <c r="B11" s="50" t="s">
        <v>97</v>
      </c>
      <c r="C11" s="49"/>
      <c r="D11" s="17">
        <f>'[2]А-4'!$F$13</f>
        <v>3</v>
      </c>
      <c r="E11" s="218">
        <f>'[4]Норматив и фактически 2009'!$F$14</f>
        <v>566</v>
      </c>
      <c r="F11" s="219">
        <f aca="true" t="shared" si="6" ref="F11:F44">E11*$Y$9</f>
        <v>541.5722193392146</v>
      </c>
      <c r="G11" s="220">
        <f>F11*0.4189</f>
        <v>226.864602681197</v>
      </c>
      <c r="H11" s="220">
        <f aca="true" t="shared" si="7" ref="H11:H44">F11*0.5811</f>
        <v>314.70761665801757</v>
      </c>
      <c r="I11" s="28">
        <f aca="true" t="shared" si="8" ref="I11:I76">J11+K11</f>
        <v>29.85</v>
      </c>
      <c r="J11" s="18">
        <f>'[2]А-4'!$G$13</f>
        <v>23.7</v>
      </c>
      <c r="K11" s="18">
        <f>'[2]А-4'!$H$13</f>
        <v>6.15</v>
      </c>
      <c r="L11" s="28">
        <f>'[2]А-4'!$Q$13</f>
        <v>3</v>
      </c>
      <c r="M11" s="28">
        <f>'[2]А-4'!$AC$13</f>
        <v>0</v>
      </c>
      <c r="N11" s="22">
        <f aca="true" t="shared" si="9" ref="N11:N76">L11*10/J11</f>
        <v>1.2658227848101267</v>
      </c>
      <c r="O11" s="22">
        <f aca="true" t="shared" si="10" ref="O11:O18">ROUND(M11/K11*10,3)</f>
        <v>0</v>
      </c>
      <c r="P11" s="28">
        <f t="shared" si="2"/>
        <v>0.7</v>
      </c>
      <c r="Q11" s="28">
        <f t="shared" si="2"/>
        <v>0</v>
      </c>
      <c r="R11" s="23">
        <f aca="true" t="shared" si="11" ref="R11:S76">ROUNDDOWN((P11*G11),0)</f>
        <v>158</v>
      </c>
      <c r="S11" s="23">
        <f t="shared" si="11"/>
        <v>0</v>
      </c>
      <c r="T11" s="16">
        <f aca="true" t="shared" si="12" ref="T11:T76">R11+S11</f>
        <v>158</v>
      </c>
      <c r="U11" s="26">
        <f t="shared" si="4"/>
        <v>4</v>
      </c>
      <c r="V11" s="9">
        <v>4</v>
      </c>
      <c r="W11" s="26">
        <f t="shared" si="5"/>
        <v>4</v>
      </c>
      <c r="X11" s="53">
        <f aca="true" t="shared" si="13" ref="X11:X73">T11/F11</f>
        <v>0.2917431772862715</v>
      </c>
    </row>
    <row r="12" spans="1:30" ht="12.75" customHeight="1">
      <c r="A12" s="30">
        <f aca="true" t="shared" si="14" ref="A12:A44">A11+1</f>
        <v>4</v>
      </c>
      <c r="B12" s="50" t="s">
        <v>98</v>
      </c>
      <c r="C12" s="49"/>
      <c r="D12" s="17">
        <f>'[2]А-4'!$F$14</f>
        <v>3</v>
      </c>
      <c r="E12" s="218">
        <f>'[4]Норматив и фактически 2009'!$F$15</f>
        <v>144</v>
      </c>
      <c r="F12" s="219">
        <f t="shared" si="6"/>
        <v>137.78515827711468</v>
      </c>
      <c r="G12" s="220">
        <f aca="true" t="shared" si="15" ref="G12:G44">F12*0.4189</f>
        <v>57.718202802283336</v>
      </c>
      <c r="H12" s="220">
        <f t="shared" si="7"/>
        <v>80.06695547483133</v>
      </c>
      <c r="I12" s="28">
        <f t="shared" si="8"/>
        <v>30</v>
      </c>
      <c r="J12" s="18">
        <f>'[2]А-4'!$G$14</f>
        <v>26.3</v>
      </c>
      <c r="K12" s="18">
        <f>'[2]А-4'!$H$14</f>
        <v>3.7</v>
      </c>
      <c r="L12" s="28">
        <f>'[2]А-4'!$Q$14</f>
        <v>9</v>
      </c>
      <c r="M12" s="28">
        <f>'[2]А-4'!$AC$14</f>
        <v>0</v>
      </c>
      <c r="N12" s="22">
        <f t="shared" si="9"/>
        <v>3.4220532319391634</v>
      </c>
      <c r="O12" s="22">
        <f t="shared" si="10"/>
        <v>0</v>
      </c>
      <c r="P12" s="28">
        <f t="shared" si="2"/>
        <v>1.8</v>
      </c>
      <c r="Q12" s="28">
        <f t="shared" si="2"/>
        <v>0</v>
      </c>
      <c r="R12" s="23">
        <f t="shared" si="11"/>
        <v>103</v>
      </c>
      <c r="S12" s="23">
        <f t="shared" si="11"/>
        <v>0</v>
      </c>
      <c r="T12" s="16">
        <f t="shared" si="12"/>
        <v>103</v>
      </c>
      <c r="U12" s="26">
        <f>ROUNDDOWN(IF(T12&lt;$O$3,"0",T12*3/100),0)</f>
        <v>3</v>
      </c>
      <c r="V12" s="9">
        <v>1</v>
      </c>
      <c r="W12" s="26">
        <f t="shared" si="5"/>
        <v>1</v>
      </c>
      <c r="X12" s="53">
        <f t="shared" si="13"/>
        <v>0.7475406008014704</v>
      </c>
      <c r="AD12" s="19">
        <f>T9-AD9</f>
        <v>-788</v>
      </c>
    </row>
    <row r="13" spans="1:34" ht="15.75">
      <c r="A13" s="30">
        <f t="shared" si="14"/>
        <v>5</v>
      </c>
      <c r="B13" s="50" t="s">
        <v>100</v>
      </c>
      <c r="C13" s="49"/>
      <c r="D13" s="27">
        <f>'[2]А-4'!$F$16</f>
        <v>3</v>
      </c>
      <c r="E13" s="218">
        <f>'[4]Норматив и фактически 2009'!$F$18</f>
        <v>40</v>
      </c>
      <c r="F13" s="219">
        <f t="shared" si="6"/>
        <v>38.2736550769763</v>
      </c>
      <c r="G13" s="220">
        <f t="shared" si="15"/>
        <v>16.03283411174537</v>
      </c>
      <c r="H13" s="220">
        <f t="shared" si="7"/>
        <v>22.240820965230924</v>
      </c>
      <c r="I13" s="28">
        <f t="shared" si="8"/>
        <v>30.7</v>
      </c>
      <c r="J13" s="77">
        <f>'[2]А-4'!$G$16</f>
        <v>27</v>
      </c>
      <c r="K13" s="77">
        <f>'[2]А-4'!$H$16</f>
        <v>3.7</v>
      </c>
      <c r="L13" s="28">
        <f>'[2]А-4'!$Q$16</f>
        <v>7</v>
      </c>
      <c r="M13" s="28">
        <f>'[2]А-4'!$AC$16</f>
        <v>2</v>
      </c>
      <c r="N13" s="22">
        <f t="shared" si="9"/>
        <v>2.5925925925925926</v>
      </c>
      <c r="O13" s="22">
        <f t="shared" si="10"/>
        <v>5.405</v>
      </c>
      <c r="P13" s="28">
        <f t="shared" si="2"/>
        <v>1.4</v>
      </c>
      <c r="Q13" s="28">
        <f t="shared" si="2"/>
        <v>2.9</v>
      </c>
      <c r="R13" s="23">
        <f t="shared" si="11"/>
        <v>22</v>
      </c>
      <c r="S13" s="23">
        <f t="shared" si="11"/>
        <v>64</v>
      </c>
      <c r="T13" s="16">
        <f t="shared" si="12"/>
        <v>86</v>
      </c>
      <c r="U13" s="26">
        <f>ROUNDDOWN(IF(T13&lt;$O$3,"0",T13*7/100),0)</f>
        <v>6</v>
      </c>
      <c r="V13" s="9">
        <v>2</v>
      </c>
      <c r="W13" s="26">
        <f t="shared" si="5"/>
        <v>2</v>
      </c>
      <c r="X13" s="53">
        <f t="shared" si="13"/>
        <v>2.2469764078459735</v>
      </c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24" ht="15.75">
      <c r="A14" s="30">
        <f t="shared" si="14"/>
        <v>6</v>
      </c>
      <c r="B14" s="50" t="s">
        <v>101</v>
      </c>
      <c r="C14" s="49"/>
      <c r="D14" s="17">
        <f>'[2]А-4'!$F$17</f>
        <v>3</v>
      </c>
      <c r="E14" s="218">
        <f>'[4]Норматив и фактически 2009'!$F$19</f>
        <v>85</v>
      </c>
      <c r="F14" s="219">
        <f t="shared" si="6"/>
        <v>81.33151703857465</v>
      </c>
      <c r="G14" s="220">
        <f t="shared" si="15"/>
        <v>34.06977248745892</v>
      </c>
      <c r="H14" s="220">
        <f t="shared" si="7"/>
        <v>47.261744551115726</v>
      </c>
      <c r="I14" s="28">
        <f t="shared" si="8"/>
        <v>31.1</v>
      </c>
      <c r="J14" s="77">
        <f>'[2]А-4'!$G$17</f>
        <v>18.1</v>
      </c>
      <c r="K14" s="77">
        <f>'[2]А-4'!$H$17</f>
        <v>13</v>
      </c>
      <c r="L14" s="28">
        <f>'[2]А-4'!$Q$17</f>
        <v>8</v>
      </c>
      <c r="M14" s="28">
        <f>'[2]А-4'!$AC$17</f>
        <v>2</v>
      </c>
      <c r="N14" s="22">
        <f t="shared" si="9"/>
        <v>4.41988950276243</v>
      </c>
      <c r="O14" s="22">
        <f t="shared" si="10"/>
        <v>1.538</v>
      </c>
      <c r="P14" s="28">
        <f t="shared" si="2"/>
        <v>2.4</v>
      </c>
      <c r="Q14" s="28">
        <f t="shared" si="2"/>
        <v>0.8</v>
      </c>
      <c r="R14" s="23">
        <f t="shared" si="11"/>
        <v>81</v>
      </c>
      <c r="S14" s="23">
        <f t="shared" si="11"/>
        <v>37</v>
      </c>
      <c r="T14" s="16">
        <f t="shared" si="12"/>
        <v>118</v>
      </c>
      <c r="U14" s="26">
        <f>ROUNDDOWN(IF(T14&lt;$O$3,"0",T14*5/100),0)</f>
        <v>5</v>
      </c>
      <c r="V14" s="9">
        <v>2</v>
      </c>
      <c r="W14" s="26">
        <f t="shared" si="5"/>
        <v>2</v>
      </c>
      <c r="X14" s="53">
        <f t="shared" si="13"/>
        <v>1.4508520718239388</v>
      </c>
    </row>
    <row r="15" spans="1:24" ht="12.75">
      <c r="A15" s="30">
        <f t="shared" si="14"/>
        <v>7</v>
      </c>
      <c r="B15" s="50" t="s">
        <v>102</v>
      </c>
      <c r="C15" s="50"/>
      <c r="D15" s="17">
        <f>'[2]А-4'!$F$18</f>
        <v>3</v>
      </c>
      <c r="E15" s="218">
        <f>'[4]Норматив и фактически 2009'!$F$20</f>
        <v>75</v>
      </c>
      <c r="F15" s="219">
        <f t="shared" si="6"/>
        <v>71.76310326933056</v>
      </c>
      <c r="G15" s="220">
        <f t="shared" si="15"/>
        <v>30.06156395952257</v>
      </c>
      <c r="H15" s="220">
        <f t="shared" si="7"/>
        <v>41.701539309807984</v>
      </c>
      <c r="I15" s="28">
        <f t="shared" si="8"/>
        <v>30.599999999999998</v>
      </c>
      <c r="J15" s="77">
        <f>'[2]А-4'!$G$18</f>
        <v>19.799999999999997</v>
      </c>
      <c r="K15" s="77">
        <f>'[2]А-4'!$H$18</f>
        <v>10.8</v>
      </c>
      <c r="L15" s="28">
        <f>'[2]А-4'!$Q$18</f>
        <v>7</v>
      </c>
      <c r="M15" s="28">
        <f>'[2]А-4'!$AC$18</f>
        <v>1</v>
      </c>
      <c r="N15" s="22">
        <f t="shared" si="9"/>
        <v>3.535353535353536</v>
      </c>
      <c r="O15" s="22">
        <f t="shared" si="10"/>
        <v>0.926</v>
      </c>
      <c r="P15" s="28">
        <f t="shared" si="2"/>
        <v>1.9</v>
      </c>
      <c r="Q15" s="28">
        <f t="shared" si="2"/>
        <v>0.5</v>
      </c>
      <c r="R15" s="23">
        <f t="shared" si="11"/>
        <v>57</v>
      </c>
      <c r="S15" s="23">
        <f t="shared" si="11"/>
        <v>20</v>
      </c>
      <c r="T15" s="16">
        <f t="shared" si="12"/>
        <v>77</v>
      </c>
      <c r="U15" s="26">
        <f>ROUNDDOWN(IF(T15&lt;$O$3,"0",T15*5/100),0)</f>
        <v>3</v>
      </c>
      <c r="V15" s="9">
        <v>5</v>
      </c>
      <c r="W15" s="26">
        <f t="shared" si="5"/>
        <v>3</v>
      </c>
      <c r="X15" s="53">
        <f t="shared" si="13"/>
        <v>1.0729747808008678</v>
      </c>
    </row>
    <row r="16" spans="1:24" s="2" customFormat="1" ht="12.75">
      <c r="A16" s="30">
        <f t="shared" si="14"/>
        <v>8</v>
      </c>
      <c r="B16" s="276" t="s">
        <v>93</v>
      </c>
      <c r="C16" s="277"/>
      <c r="D16" s="17">
        <f>'[2]А-4'!$F$20</f>
        <v>1</v>
      </c>
      <c r="E16" s="218">
        <f>'[4]Норматив и фактически 2009'!$F$22</f>
        <v>136</v>
      </c>
      <c r="F16" s="219">
        <f t="shared" si="6"/>
        <v>130.13042726171943</v>
      </c>
      <c r="G16" s="220">
        <f t="shared" si="15"/>
        <v>54.51163597993427</v>
      </c>
      <c r="H16" s="220">
        <f t="shared" si="7"/>
        <v>75.61879128178515</v>
      </c>
      <c r="I16" s="28">
        <f t="shared" si="8"/>
        <v>12.1</v>
      </c>
      <c r="J16" s="18">
        <f>'[2]А-4'!$G$20</f>
        <v>11</v>
      </c>
      <c r="K16" s="18">
        <f>'[2]А-4'!$H$20</f>
        <v>1.1</v>
      </c>
      <c r="L16" s="28">
        <f>'[2]А-4'!$Q$20</f>
        <v>0</v>
      </c>
      <c r="M16" s="28">
        <f>'[2]А-4'!$AC$20</f>
        <v>0</v>
      </c>
      <c r="N16" s="22">
        <f t="shared" si="9"/>
        <v>0</v>
      </c>
      <c r="O16" s="22">
        <f t="shared" si="10"/>
        <v>0</v>
      </c>
      <c r="P16" s="28">
        <f t="shared" si="2"/>
        <v>0</v>
      </c>
      <c r="Q16" s="28">
        <f t="shared" si="2"/>
        <v>0</v>
      </c>
      <c r="R16" s="23">
        <f t="shared" si="11"/>
        <v>0</v>
      </c>
      <c r="S16" s="23">
        <f t="shared" si="11"/>
        <v>0</v>
      </c>
      <c r="T16" s="16">
        <f t="shared" si="12"/>
        <v>0</v>
      </c>
      <c r="U16" s="26">
        <f t="shared" si="4"/>
        <v>0</v>
      </c>
      <c r="V16" s="9">
        <v>1</v>
      </c>
      <c r="W16" s="26">
        <f t="shared" si="5"/>
        <v>0</v>
      </c>
      <c r="X16" s="53">
        <f t="shared" si="13"/>
        <v>0</v>
      </c>
    </row>
    <row r="17" spans="1:24" s="2" customFormat="1" ht="12.75">
      <c r="A17" s="30">
        <f t="shared" si="14"/>
        <v>9</v>
      </c>
      <c r="B17" s="51" t="s">
        <v>94</v>
      </c>
      <c r="C17" s="51"/>
      <c r="D17" s="17">
        <f>'[2]А-4'!$F$21</f>
        <v>3</v>
      </c>
      <c r="E17" s="218">
        <f>'[4]Норматив и фактически 2009'!$F$23</f>
        <v>113</v>
      </c>
      <c r="F17" s="219">
        <f t="shared" si="6"/>
        <v>108.12307559245805</v>
      </c>
      <c r="G17" s="220">
        <f t="shared" si="15"/>
        <v>45.292756365680674</v>
      </c>
      <c r="H17" s="220">
        <f t="shared" si="7"/>
        <v>62.83031922677737</v>
      </c>
      <c r="I17" s="28">
        <f t="shared" si="8"/>
        <v>36.800000000000004</v>
      </c>
      <c r="J17" s="18">
        <f>'[2]А-4'!$G$21</f>
        <v>31.900000000000002</v>
      </c>
      <c r="K17" s="18">
        <f>'[2]А-4'!$H$21</f>
        <v>4.9</v>
      </c>
      <c r="L17" s="28">
        <f>'[2]А-4'!$Q$21</f>
        <v>0</v>
      </c>
      <c r="M17" s="28">
        <f>'[2]А-4'!$AC$21</f>
        <v>0</v>
      </c>
      <c r="N17" s="22">
        <f t="shared" si="9"/>
        <v>0</v>
      </c>
      <c r="O17" s="22">
        <f t="shared" si="10"/>
        <v>0</v>
      </c>
      <c r="P17" s="28">
        <f t="shared" si="2"/>
        <v>0</v>
      </c>
      <c r="Q17" s="28">
        <f t="shared" si="2"/>
        <v>0</v>
      </c>
      <c r="R17" s="23">
        <f t="shared" si="11"/>
        <v>0</v>
      </c>
      <c r="S17" s="23">
        <f t="shared" si="11"/>
        <v>0</v>
      </c>
      <c r="T17" s="16">
        <f t="shared" si="12"/>
        <v>0</v>
      </c>
      <c r="U17" s="26">
        <f t="shared" si="4"/>
        <v>0</v>
      </c>
      <c r="V17" s="25">
        <v>0</v>
      </c>
      <c r="W17" s="26">
        <f t="shared" si="5"/>
        <v>0</v>
      </c>
      <c r="X17" s="53">
        <f t="shared" si="13"/>
        <v>0</v>
      </c>
    </row>
    <row r="18" spans="1:24" ht="12.75">
      <c r="A18" s="30">
        <f t="shared" si="14"/>
        <v>10</v>
      </c>
      <c r="B18" s="51" t="s">
        <v>95</v>
      </c>
      <c r="C18" s="51"/>
      <c r="D18" s="17">
        <f>'[2]А-4'!$F$22</f>
        <v>3</v>
      </c>
      <c r="E18" s="218">
        <v>205</v>
      </c>
      <c r="F18" s="219">
        <f t="shared" si="6"/>
        <v>196.15248226950354</v>
      </c>
      <c r="G18" s="220">
        <f t="shared" si="15"/>
        <v>82.16827482269503</v>
      </c>
      <c r="H18" s="220">
        <f t="shared" si="7"/>
        <v>113.9842074468085</v>
      </c>
      <c r="I18" s="28">
        <f t="shared" si="8"/>
        <v>40.400000000000006</v>
      </c>
      <c r="J18" s="18">
        <f>'[2]А-4'!$G$22</f>
        <v>36.7</v>
      </c>
      <c r="K18" s="18">
        <f>'[2]А-4'!$H$22</f>
        <v>3.7</v>
      </c>
      <c r="L18" s="28">
        <f>'[2]А-4'!$Q$22</f>
        <v>2</v>
      </c>
      <c r="M18" s="28">
        <f>'[2]А-4'!$AC$22</f>
        <v>0</v>
      </c>
      <c r="N18" s="22">
        <f t="shared" si="9"/>
        <v>0.544959128065395</v>
      </c>
      <c r="O18" s="22">
        <f t="shared" si="10"/>
        <v>0</v>
      </c>
      <c r="P18" s="28">
        <f t="shared" si="2"/>
        <v>0.3</v>
      </c>
      <c r="Q18" s="28">
        <f t="shared" si="2"/>
        <v>0</v>
      </c>
      <c r="R18" s="23">
        <f t="shared" si="11"/>
        <v>24</v>
      </c>
      <c r="S18" s="23">
        <f t="shared" si="11"/>
        <v>0</v>
      </c>
      <c r="T18" s="16">
        <f t="shared" si="12"/>
        <v>24</v>
      </c>
      <c r="U18" s="26">
        <f t="shared" si="4"/>
        <v>0</v>
      </c>
      <c r="V18" s="25">
        <v>1</v>
      </c>
      <c r="W18" s="26">
        <f t="shared" si="5"/>
        <v>0</v>
      </c>
      <c r="X18" s="53">
        <f t="shared" si="13"/>
        <v>0.12235379191900932</v>
      </c>
    </row>
    <row r="19" spans="1:24" ht="12" customHeight="1">
      <c r="A19" s="30">
        <f t="shared" si="14"/>
        <v>11</v>
      </c>
      <c r="B19" s="131" t="s">
        <v>42</v>
      </c>
      <c r="C19" s="132"/>
      <c r="D19" s="17">
        <f>'[2]А-4'!$F$23</f>
        <v>0</v>
      </c>
      <c r="E19" s="218">
        <f>'[4]Норматив и фактически 2009'!$F$24</f>
        <v>116</v>
      </c>
      <c r="F19" s="219">
        <f t="shared" si="6"/>
        <v>110.99359972323127</v>
      </c>
      <c r="G19" s="220">
        <f t="shared" si="15"/>
        <v>46.495218924061575</v>
      </c>
      <c r="H19" s="220">
        <f t="shared" si="7"/>
        <v>64.49838079916968</v>
      </c>
      <c r="I19" s="28">
        <f t="shared" si="8"/>
        <v>0</v>
      </c>
      <c r="J19" s="18">
        <f>'[2]А-4'!$G$23</f>
        <v>0</v>
      </c>
      <c r="K19" s="18">
        <f>'[2]А-4'!$H$23</f>
        <v>0</v>
      </c>
      <c r="L19" s="28">
        <f>'[2]А-4'!$Q$23</f>
        <v>0</v>
      </c>
      <c r="M19" s="28">
        <f>'[2]А-4'!$AC$23</f>
        <v>0</v>
      </c>
      <c r="N19" s="22">
        <v>0</v>
      </c>
      <c r="O19" s="22">
        <v>0</v>
      </c>
      <c r="P19" s="28">
        <f t="shared" si="2"/>
        <v>0</v>
      </c>
      <c r="Q19" s="28">
        <f t="shared" si="2"/>
        <v>0</v>
      </c>
      <c r="R19" s="23">
        <f t="shared" si="11"/>
        <v>0</v>
      </c>
      <c r="S19" s="23">
        <f t="shared" si="11"/>
        <v>0</v>
      </c>
      <c r="T19" s="16">
        <f t="shared" si="12"/>
        <v>0</v>
      </c>
      <c r="U19" s="26">
        <f t="shared" si="4"/>
        <v>0</v>
      </c>
      <c r="V19" s="9"/>
      <c r="W19" s="26">
        <f t="shared" si="5"/>
        <v>0</v>
      </c>
      <c r="X19" s="53">
        <f t="shared" si="13"/>
        <v>0</v>
      </c>
    </row>
    <row r="20" spans="1:24" s="29" customFormat="1" ht="12.75">
      <c r="A20" s="30">
        <f t="shared" si="14"/>
        <v>12</v>
      </c>
      <c r="B20" s="11" t="s">
        <v>12</v>
      </c>
      <c r="C20" s="7"/>
      <c r="D20" s="18">
        <f>'[2]А-4'!$F$24</f>
        <v>5</v>
      </c>
      <c r="E20" s="28">
        <f>'[4]Норматив и фактически 2009'!$F$26</f>
        <v>201</v>
      </c>
      <c r="F20" s="219">
        <f t="shared" si="6"/>
        <v>192.3251167618059</v>
      </c>
      <c r="G20" s="220">
        <f t="shared" si="15"/>
        <v>80.5649914115205</v>
      </c>
      <c r="H20" s="220">
        <f t="shared" si="7"/>
        <v>111.7601253502854</v>
      </c>
      <c r="I20" s="28">
        <f t="shared" si="8"/>
        <v>54.45</v>
      </c>
      <c r="J20" s="18">
        <f>'[2]А-4'!$G$24</f>
        <v>52.85</v>
      </c>
      <c r="K20" s="18">
        <f>'[2]А-4'!$H$24</f>
        <v>1.6</v>
      </c>
      <c r="L20" s="28">
        <f>'[2]А-4'!$Q$24</f>
        <v>14</v>
      </c>
      <c r="M20" s="28">
        <f>'[2]А-4'!$AC$24</f>
        <v>0</v>
      </c>
      <c r="N20" s="22">
        <f t="shared" si="9"/>
        <v>2.649006622516556</v>
      </c>
      <c r="O20" s="22">
        <f>ROUND(M20/K20*10,3)</f>
        <v>0</v>
      </c>
      <c r="P20" s="28">
        <f t="shared" si="2"/>
        <v>1.4</v>
      </c>
      <c r="Q20" s="28">
        <f t="shared" si="2"/>
        <v>0</v>
      </c>
      <c r="R20" s="23">
        <f t="shared" si="11"/>
        <v>112</v>
      </c>
      <c r="S20" s="23">
        <f t="shared" si="11"/>
        <v>0</v>
      </c>
      <c r="T20" s="16">
        <f t="shared" si="12"/>
        <v>112</v>
      </c>
      <c r="U20" s="26">
        <f t="shared" si="4"/>
        <v>3</v>
      </c>
      <c r="V20" s="7">
        <v>3</v>
      </c>
      <c r="W20" s="26">
        <f t="shared" si="5"/>
        <v>3</v>
      </c>
      <c r="X20" s="53">
        <f t="shared" si="13"/>
        <v>0.5823472351700775</v>
      </c>
    </row>
    <row r="21" spans="1:24" ht="12.75">
      <c r="A21" s="30">
        <f t="shared" si="14"/>
        <v>13</v>
      </c>
      <c r="B21" s="12" t="s">
        <v>30</v>
      </c>
      <c r="C21" s="36"/>
      <c r="D21" s="18">
        <f>'[2]А-4'!$F$25</f>
        <v>3</v>
      </c>
      <c r="E21" s="218">
        <v>67</v>
      </c>
      <c r="F21" s="219">
        <f t="shared" si="6"/>
        <v>64.1083722539353</v>
      </c>
      <c r="G21" s="220">
        <f t="shared" si="15"/>
        <v>26.8549971371735</v>
      </c>
      <c r="H21" s="220">
        <f t="shared" si="7"/>
        <v>37.2533751167618</v>
      </c>
      <c r="I21" s="28">
        <f t="shared" si="8"/>
        <v>32.4</v>
      </c>
      <c r="J21" s="18">
        <f>'[2]А-4'!$G$25</f>
        <v>26.199999999999996</v>
      </c>
      <c r="K21" s="18">
        <f>'[2]А-4'!$H$25</f>
        <v>6.2</v>
      </c>
      <c r="L21" s="28">
        <f>'[2]А-4'!$Q$25</f>
        <v>9</v>
      </c>
      <c r="M21" s="28">
        <f>'[2]А-4'!$AC$25</f>
        <v>0</v>
      </c>
      <c r="N21" s="22">
        <f t="shared" si="9"/>
        <v>3.4351145038167945</v>
      </c>
      <c r="O21" s="22">
        <v>0</v>
      </c>
      <c r="P21" s="28">
        <f t="shared" si="2"/>
        <v>1.9</v>
      </c>
      <c r="Q21" s="28">
        <f t="shared" si="2"/>
        <v>0</v>
      </c>
      <c r="R21" s="23">
        <f t="shared" si="11"/>
        <v>51</v>
      </c>
      <c r="S21" s="23">
        <f t="shared" si="11"/>
        <v>0</v>
      </c>
      <c r="T21" s="16">
        <f t="shared" si="12"/>
        <v>51</v>
      </c>
      <c r="U21" s="26">
        <f>ROUNDDOWN(IF(T21&lt;$O$3,"0",T21*3/100),0)</f>
        <v>1</v>
      </c>
      <c r="V21" s="9">
        <v>1</v>
      </c>
      <c r="W21" s="26">
        <f t="shared" si="5"/>
        <v>1</v>
      </c>
      <c r="X21" s="53">
        <f t="shared" si="13"/>
        <v>0.7955279194734095</v>
      </c>
    </row>
    <row r="22" spans="1:24" ht="12.75">
      <c r="A22" s="30">
        <f t="shared" si="14"/>
        <v>14</v>
      </c>
      <c r="B22" s="282" t="s">
        <v>62</v>
      </c>
      <c r="C22" s="283"/>
      <c r="D22" s="17">
        <f>'[2]А-4'!$F$26</f>
        <v>1</v>
      </c>
      <c r="E22" s="218">
        <v>53</v>
      </c>
      <c r="F22" s="219">
        <f t="shared" si="6"/>
        <v>50.7125929769936</v>
      </c>
      <c r="G22" s="220">
        <f t="shared" si="15"/>
        <v>21.243505198062618</v>
      </c>
      <c r="H22" s="220">
        <f t="shared" si="7"/>
        <v>29.469087778930977</v>
      </c>
      <c r="I22" s="28">
        <f t="shared" si="8"/>
        <v>12.4</v>
      </c>
      <c r="J22" s="18">
        <f>'[2]А-4'!$G$26</f>
        <v>10.9</v>
      </c>
      <c r="K22" s="18">
        <f>'[2]А-4'!$H$26</f>
        <v>1.5</v>
      </c>
      <c r="L22" s="28">
        <f>'[2]А-4'!$Q$26</f>
        <v>1</v>
      </c>
      <c r="M22" s="28">
        <f>'[2]А-4'!$AC$26</f>
        <v>0</v>
      </c>
      <c r="N22" s="22">
        <f t="shared" si="9"/>
        <v>0.9174311926605504</v>
      </c>
      <c r="O22" s="22">
        <f>ROUND(M22/K22*10,3)</f>
        <v>0</v>
      </c>
      <c r="P22" s="28">
        <f t="shared" si="2"/>
        <v>0.5</v>
      </c>
      <c r="Q22" s="28">
        <f t="shared" si="2"/>
        <v>0</v>
      </c>
      <c r="R22" s="23">
        <f t="shared" si="11"/>
        <v>10</v>
      </c>
      <c r="S22" s="23">
        <f t="shared" si="11"/>
        <v>0</v>
      </c>
      <c r="T22" s="16">
        <f t="shared" si="12"/>
        <v>10</v>
      </c>
      <c r="U22" s="26">
        <f t="shared" si="4"/>
        <v>0</v>
      </c>
      <c r="V22" s="9">
        <v>0</v>
      </c>
      <c r="W22" s="26">
        <f>IF(V22&lt;=U22,V22,U22)</f>
        <v>0</v>
      </c>
      <c r="X22" s="53">
        <f t="shared" si="13"/>
        <v>0.19718968037261722</v>
      </c>
    </row>
    <row r="23" spans="1:24" ht="12.75">
      <c r="A23" s="30">
        <f t="shared" si="14"/>
        <v>15</v>
      </c>
      <c r="B23" s="284" t="s">
        <v>63</v>
      </c>
      <c r="C23" s="285"/>
      <c r="D23" s="17">
        <f>'[2]А-4'!$F$28</f>
        <v>2</v>
      </c>
      <c r="E23" s="218">
        <f>'[4]Норматив и фактически 2009'!$F$30</f>
        <v>101</v>
      </c>
      <c r="F23" s="219">
        <f t="shared" si="6"/>
        <v>96.64097906936516</v>
      </c>
      <c r="G23" s="220">
        <f t="shared" si="15"/>
        <v>40.48290613215706</v>
      </c>
      <c r="H23" s="220">
        <f t="shared" si="7"/>
        <v>56.15807293720809</v>
      </c>
      <c r="I23" s="28">
        <f t="shared" si="8"/>
        <v>22.700000000000003</v>
      </c>
      <c r="J23" s="18">
        <f>'[2]А-4'!$G$28</f>
        <v>18.6</v>
      </c>
      <c r="K23" s="18">
        <f>'[2]А-4'!$H$28</f>
        <v>4.1</v>
      </c>
      <c r="L23" s="28">
        <f>'[2]А-4'!$Q$28</f>
        <v>1</v>
      </c>
      <c r="M23" s="28">
        <f>'[2]А-4'!$AC$28</f>
        <v>0</v>
      </c>
      <c r="N23" s="22">
        <f t="shared" si="9"/>
        <v>0.5376344086021505</v>
      </c>
      <c r="O23" s="22">
        <f>ROUND(M23/K23*10,3)</f>
        <v>0</v>
      </c>
      <c r="P23" s="28">
        <f t="shared" si="2"/>
        <v>0.3</v>
      </c>
      <c r="Q23" s="28">
        <f t="shared" si="2"/>
        <v>0</v>
      </c>
      <c r="R23" s="23">
        <f t="shared" si="11"/>
        <v>12</v>
      </c>
      <c r="S23" s="23">
        <f t="shared" si="11"/>
        <v>0</v>
      </c>
      <c r="T23" s="16">
        <f t="shared" si="12"/>
        <v>12</v>
      </c>
      <c r="U23" s="26">
        <f t="shared" si="4"/>
        <v>0</v>
      </c>
      <c r="V23" s="9">
        <v>0</v>
      </c>
      <c r="W23" s="26">
        <f t="shared" si="5"/>
        <v>0</v>
      </c>
      <c r="X23" s="53">
        <f t="shared" si="13"/>
        <v>0.12417092744255896</v>
      </c>
    </row>
    <row r="24" spans="1:24" ht="12.75">
      <c r="A24" s="30">
        <f t="shared" si="14"/>
        <v>16</v>
      </c>
      <c r="B24" s="52" t="s">
        <v>71</v>
      </c>
      <c r="C24" s="52"/>
      <c r="D24" s="17">
        <f>'[2]А-4'!$F$27</f>
        <v>3</v>
      </c>
      <c r="E24" s="218">
        <v>36</v>
      </c>
      <c r="F24" s="219">
        <f t="shared" si="6"/>
        <v>34.44628956927867</v>
      </c>
      <c r="G24" s="220">
        <f t="shared" si="15"/>
        <v>14.429550700570834</v>
      </c>
      <c r="H24" s="220">
        <f t="shared" si="7"/>
        <v>20.016738868707833</v>
      </c>
      <c r="I24" s="28">
        <f t="shared" si="8"/>
        <v>35.199999999999996</v>
      </c>
      <c r="J24" s="18">
        <f>'[2]А-4'!$G$27</f>
        <v>31.299999999999997</v>
      </c>
      <c r="K24" s="18">
        <f>'[2]А-4'!$H$27</f>
        <v>3.9</v>
      </c>
      <c r="L24" s="28">
        <f>'[2]А-4'!$Q$27</f>
        <v>0</v>
      </c>
      <c r="M24" s="28">
        <f>'[2]А-4'!$AC$27</f>
        <v>0</v>
      </c>
      <c r="N24" s="22">
        <f t="shared" si="9"/>
        <v>0</v>
      </c>
      <c r="O24" s="22">
        <f>ROUND(M24/K24*10,3)</f>
        <v>0</v>
      </c>
      <c r="P24" s="28">
        <f t="shared" si="2"/>
        <v>0</v>
      </c>
      <c r="Q24" s="28">
        <f t="shared" si="2"/>
        <v>0</v>
      </c>
      <c r="R24" s="23">
        <f t="shared" si="11"/>
        <v>0</v>
      </c>
      <c r="S24" s="23">
        <f t="shared" si="11"/>
        <v>0</v>
      </c>
      <c r="T24" s="16">
        <f t="shared" si="12"/>
        <v>0</v>
      </c>
      <c r="U24" s="26">
        <f t="shared" si="4"/>
        <v>0</v>
      </c>
      <c r="V24" s="9"/>
      <c r="W24" s="26">
        <f>U23</f>
        <v>0</v>
      </c>
      <c r="X24" s="53">
        <f t="shared" si="13"/>
        <v>0</v>
      </c>
    </row>
    <row r="25" spans="1:24" ht="12.75">
      <c r="A25" s="30">
        <f t="shared" si="14"/>
        <v>17</v>
      </c>
      <c r="B25" s="131" t="s">
        <v>13</v>
      </c>
      <c r="C25" s="132"/>
      <c r="D25" s="18">
        <f>'[2]А-4'!$F$33</f>
        <v>0</v>
      </c>
      <c r="E25" s="218">
        <f>'[4]Норматив и фактически 2009'!$F$35</f>
        <v>161</v>
      </c>
      <c r="F25" s="219">
        <f t="shared" si="6"/>
        <v>154.0514616848296</v>
      </c>
      <c r="G25" s="220">
        <f t="shared" si="15"/>
        <v>64.53215729977512</v>
      </c>
      <c r="H25" s="220">
        <f t="shared" si="7"/>
        <v>89.51930438505447</v>
      </c>
      <c r="I25" s="28">
        <f t="shared" si="8"/>
        <v>0</v>
      </c>
      <c r="J25" s="18">
        <f>'[2]А-4'!$G$33</f>
        <v>0</v>
      </c>
      <c r="K25" s="18">
        <f>'[2]А-4'!$H$33</f>
        <v>0</v>
      </c>
      <c r="L25" s="28">
        <f>'[2]А-4'!$Q$33</f>
        <v>0</v>
      </c>
      <c r="M25" s="28">
        <f>'[2]А-4'!$AC$33</f>
        <v>0</v>
      </c>
      <c r="N25" s="22">
        <v>0</v>
      </c>
      <c r="O25" s="22">
        <v>0</v>
      </c>
      <c r="P25" s="28">
        <f t="shared" si="2"/>
        <v>0</v>
      </c>
      <c r="Q25" s="28">
        <f t="shared" si="2"/>
        <v>0</v>
      </c>
      <c r="R25" s="23">
        <f t="shared" si="11"/>
        <v>0</v>
      </c>
      <c r="S25" s="23">
        <f t="shared" si="11"/>
        <v>0</v>
      </c>
      <c r="T25" s="16">
        <f t="shared" si="12"/>
        <v>0</v>
      </c>
      <c r="U25" s="26">
        <f t="shared" si="4"/>
        <v>0</v>
      </c>
      <c r="V25" s="9"/>
      <c r="W25" s="26">
        <f t="shared" si="5"/>
        <v>0</v>
      </c>
      <c r="X25" s="53">
        <f t="shared" si="13"/>
        <v>0</v>
      </c>
    </row>
    <row r="26" spans="1:24" ht="12.75">
      <c r="A26" s="30">
        <f t="shared" si="14"/>
        <v>18</v>
      </c>
      <c r="B26" s="131" t="s">
        <v>14</v>
      </c>
      <c r="C26" s="132"/>
      <c r="D26" s="17">
        <f>'[2]А-4'!$F$34</f>
        <v>0</v>
      </c>
      <c r="E26" s="218">
        <v>681</v>
      </c>
      <c r="F26" s="219">
        <f t="shared" si="6"/>
        <v>651.6089776855215</v>
      </c>
      <c r="G26" s="220">
        <f t="shared" si="15"/>
        <v>272.95900075246493</v>
      </c>
      <c r="H26" s="220">
        <f t="shared" si="7"/>
        <v>378.6499769330565</v>
      </c>
      <c r="I26" s="28">
        <f t="shared" si="8"/>
        <v>0</v>
      </c>
      <c r="J26" s="18">
        <f>'[2]А-4'!$G$34</f>
        <v>0</v>
      </c>
      <c r="K26" s="18">
        <f>'[2]А-4'!$H$34</f>
        <v>0</v>
      </c>
      <c r="L26" s="28">
        <f>'[2]А-4'!$Q$34</f>
        <v>0</v>
      </c>
      <c r="M26" s="28">
        <f>'[2]А-4'!$AC$34</f>
        <v>0</v>
      </c>
      <c r="N26" s="22">
        <v>0</v>
      </c>
      <c r="O26" s="22">
        <v>0</v>
      </c>
      <c r="P26" s="28">
        <f t="shared" si="2"/>
        <v>0</v>
      </c>
      <c r="Q26" s="28">
        <f t="shared" si="2"/>
        <v>0</v>
      </c>
      <c r="R26" s="23">
        <f t="shared" si="11"/>
        <v>0</v>
      </c>
      <c r="S26" s="23">
        <f t="shared" si="11"/>
        <v>0</v>
      </c>
      <c r="T26" s="16">
        <f t="shared" si="12"/>
        <v>0</v>
      </c>
      <c r="U26" s="26">
        <f t="shared" si="4"/>
        <v>0</v>
      </c>
      <c r="V26" s="9"/>
      <c r="W26" s="26">
        <f t="shared" si="5"/>
        <v>0</v>
      </c>
      <c r="X26" s="53">
        <f t="shared" si="13"/>
        <v>0</v>
      </c>
    </row>
    <row r="27" spans="1:24" ht="12.75">
      <c r="A27" s="30">
        <f t="shared" si="14"/>
        <v>19</v>
      </c>
      <c r="B27" s="243" t="s">
        <v>16</v>
      </c>
      <c r="C27" s="244"/>
      <c r="D27" s="17">
        <f>'[2]А-4'!$F$48</f>
        <v>3</v>
      </c>
      <c r="E27" s="218">
        <v>45</v>
      </c>
      <c r="F27" s="219">
        <f t="shared" si="6"/>
        <v>43.05786196159834</v>
      </c>
      <c r="G27" s="220">
        <f t="shared" si="15"/>
        <v>18.036938375713547</v>
      </c>
      <c r="H27" s="220">
        <f t="shared" si="7"/>
        <v>25.020923585884795</v>
      </c>
      <c r="I27" s="28">
        <f t="shared" si="8"/>
        <v>33.2</v>
      </c>
      <c r="J27" s="18">
        <f>'[2]А-4'!$G$48</f>
        <v>0</v>
      </c>
      <c r="K27" s="18">
        <f>'[2]А-4'!$H$48</f>
        <v>33.2</v>
      </c>
      <c r="L27" s="28">
        <f>'[2]А-4'!$Q$48</f>
        <v>0</v>
      </c>
      <c r="M27" s="28">
        <f>'[2]А-4'!$AC$48</f>
        <v>0</v>
      </c>
      <c r="N27" s="22">
        <v>0</v>
      </c>
      <c r="O27" s="22">
        <f>ROUND(M27/K27*10,3)</f>
        <v>0</v>
      </c>
      <c r="P27" s="28">
        <f t="shared" si="2"/>
        <v>0</v>
      </c>
      <c r="Q27" s="28">
        <f t="shared" si="2"/>
        <v>0</v>
      </c>
      <c r="R27" s="23">
        <f t="shared" si="11"/>
        <v>0</v>
      </c>
      <c r="S27" s="23">
        <f t="shared" si="11"/>
        <v>0</v>
      </c>
      <c r="T27" s="16">
        <f t="shared" si="12"/>
        <v>0</v>
      </c>
      <c r="U27" s="26">
        <f t="shared" si="4"/>
        <v>0</v>
      </c>
      <c r="V27" s="36"/>
      <c r="W27" s="26">
        <f t="shared" si="5"/>
        <v>0</v>
      </c>
      <c r="X27" s="53">
        <f t="shared" si="13"/>
        <v>0</v>
      </c>
    </row>
    <row r="28" spans="1:24" ht="12.75">
      <c r="A28" s="30">
        <f t="shared" si="14"/>
        <v>20</v>
      </c>
      <c r="B28" s="35" t="s">
        <v>75</v>
      </c>
      <c r="C28" s="36"/>
      <c r="D28" s="18">
        <f>'[2]А-4'!$F$43</f>
        <v>3</v>
      </c>
      <c r="E28" s="28">
        <v>120</v>
      </c>
      <c r="F28" s="219">
        <f t="shared" si="6"/>
        <v>114.8209652309289</v>
      </c>
      <c r="G28" s="220">
        <f t="shared" si="15"/>
        <v>48.09850233523612</v>
      </c>
      <c r="H28" s="220">
        <f t="shared" si="7"/>
        <v>66.72246289569279</v>
      </c>
      <c r="I28" s="28">
        <f t="shared" si="8"/>
        <v>30.46</v>
      </c>
      <c r="J28" s="18">
        <f>'[2]А-4'!$G$43</f>
        <v>17.79</v>
      </c>
      <c r="K28" s="18">
        <f>'[2]А-4'!$H$43</f>
        <v>12.67</v>
      </c>
      <c r="L28" s="28">
        <f>'[2]А-4'!$Q$43</f>
        <v>1</v>
      </c>
      <c r="M28" s="28">
        <f>'[2]А-4'!$AC$43</f>
        <v>2</v>
      </c>
      <c r="N28" s="22">
        <f t="shared" si="9"/>
        <v>0.5621135469364812</v>
      </c>
      <c r="O28" s="22">
        <f>ROUND(M28/K28*10,3)</f>
        <v>1.579</v>
      </c>
      <c r="P28" s="28">
        <f t="shared" si="2"/>
        <v>0.3</v>
      </c>
      <c r="Q28" s="28">
        <f t="shared" si="2"/>
        <v>0.9</v>
      </c>
      <c r="R28" s="23">
        <f t="shared" si="11"/>
        <v>14</v>
      </c>
      <c r="S28" s="23">
        <f t="shared" si="11"/>
        <v>60</v>
      </c>
      <c r="T28" s="16">
        <f t="shared" si="12"/>
        <v>74</v>
      </c>
      <c r="U28" s="26">
        <f t="shared" si="4"/>
        <v>2</v>
      </c>
      <c r="V28" s="7"/>
      <c r="W28" s="26">
        <f>U28</f>
        <v>2</v>
      </c>
      <c r="X28" s="53">
        <f t="shared" si="13"/>
        <v>0.6444816053511706</v>
      </c>
    </row>
    <row r="29" spans="1:24" ht="12.75">
      <c r="A29" s="30">
        <f t="shared" si="14"/>
        <v>21</v>
      </c>
      <c r="B29" s="35" t="s">
        <v>64</v>
      </c>
      <c r="C29" s="36"/>
      <c r="D29" s="17">
        <f>'[2]А-4'!$F$45</f>
        <v>3</v>
      </c>
      <c r="E29" s="218">
        <f>'[4]Норматив и фактически 2009'!$F$40</f>
        <v>125</v>
      </c>
      <c r="F29" s="219">
        <f t="shared" si="6"/>
        <v>119.60517211555094</v>
      </c>
      <c r="G29" s="220">
        <f t="shared" si="15"/>
        <v>50.102606599204286</v>
      </c>
      <c r="H29" s="220">
        <f t="shared" si="7"/>
        <v>69.50256551634665</v>
      </c>
      <c r="I29" s="28">
        <f t="shared" si="8"/>
        <v>30.400000000000002</v>
      </c>
      <c r="J29" s="18">
        <f>'[2]А-4'!$G$45</f>
        <v>25.1</v>
      </c>
      <c r="K29" s="18">
        <f>'[2]А-4'!$H$45</f>
        <v>5.3</v>
      </c>
      <c r="L29" s="28">
        <f>'[2]А-4'!$Q$45</f>
        <v>3</v>
      </c>
      <c r="M29" s="28">
        <f>'[2]А-4'!$AC$45</f>
        <v>0</v>
      </c>
      <c r="N29" s="22">
        <f t="shared" si="9"/>
        <v>1.195219123505976</v>
      </c>
      <c r="O29" s="22">
        <f>ROUND(M29/K29*10,3)</f>
        <v>0</v>
      </c>
      <c r="P29" s="28">
        <f t="shared" si="2"/>
        <v>0.6</v>
      </c>
      <c r="Q29" s="28">
        <f t="shared" si="2"/>
        <v>0</v>
      </c>
      <c r="R29" s="23">
        <f t="shared" si="11"/>
        <v>30</v>
      </c>
      <c r="S29" s="23">
        <f t="shared" si="11"/>
        <v>0</v>
      </c>
      <c r="T29" s="16">
        <f t="shared" si="12"/>
        <v>30</v>
      </c>
      <c r="U29" s="26">
        <f t="shared" si="4"/>
        <v>0</v>
      </c>
      <c r="V29" s="9"/>
      <c r="W29" s="26">
        <f>U29</f>
        <v>0</v>
      </c>
      <c r="X29" s="53">
        <f t="shared" si="13"/>
        <v>0.2508252734339691</v>
      </c>
    </row>
    <row r="30" spans="1:24" ht="12.75">
      <c r="A30" s="30">
        <f t="shared" si="14"/>
        <v>22</v>
      </c>
      <c r="B30" s="131" t="s">
        <v>29</v>
      </c>
      <c r="C30" s="133"/>
      <c r="D30" s="17">
        <f>'[2]А-4'!$F$29</f>
        <v>0</v>
      </c>
      <c r="E30" s="218">
        <v>24</v>
      </c>
      <c r="F30" s="219">
        <f t="shared" si="6"/>
        <v>22.96419304618578</v>
      </c>
      <c r="G30" s="220">
        <f t="shared" si="15"/>
        <v>9.619700467047224</v>
      </c>
      <c r="H30" s="220">
        <f t="shared" si="7"/>
        <v>13.344492579138556</v>
      </c>
      <c r="I30" s="28">
        <f t="shared" si="8"/>
        <v>0</v>
      </c>
      <c r="J30" s="18">
        <f>'[2]А-4'!$G$29</f>
        <v>0</v>
      </c>
      <c r="K30" s="18">
        <f>'[2]А-4'!$H$29</f>
        <v>0</v>
      </c>
      <c r="L30" s="28">
        <f>'[2]А-4'!$Q$29</f>
        <v>0</v>
      </c>
      <c r="M30" s="28">
        <f>'[2]А-4'!$AC$27</f>
        <v>0</v>
      </c>
      <c r="N30" s="22">
        <v>0</v>
      </c>
      <c r="O30" s="22">
        <v>0</v>
      </c>
      <c r="P30" s="28">
        <f t="shared" si="2"/>
        <v>0</v>
      </c>
      <c r="Q30" s="28">
        <f t="shared" si="2"/>
        <v>0</v>
      </c>
      <c r="R30" s="23">
        <f t="shared" si="11"/>
        <v>0</v>
      </c>
      <c r="S30" s="23">
        <f t="shared" si="11"/>
        <v>0</v>
      </c>
      <c r="T30" s="16">
        <f t="shared" si="12"/>
        <v>0</v>
      </c>
      <c r="U30" s="26">
        <f t="shared" si="4"/>
        <v>0</v>
      </c>
      <c r="V30" s="9"/>
      <c r="W30" s="26">
        <f t="shared" si="5"/>
        <v>0</v>
      </c>
      <c r="X30" s="53">
        <f t="shared" si="13"/>
        <v>0</v>
      </c>
    </row>
    <row r="31" spans="1:24" s="29" customFormat="1" ht="14.25" customHeight="1">
      <c r="A31" s="30">
        <f t="shared" si="14"/>
        <v>23</v>
      </c>
      <c r="B31" s="35" t="s">
        <v>15</v>
      </c>
      <c r="C31" s="36"/>
      <c r="D31" s="18">
        <f>'[2]А-4'!$F$37</f>
        <v>4</v>
      </c>
      <c r="E31" s="28">
        <f>'[4]Норматив и фактически 2009'!$F$41</f>
        <v>240</v>
      </c>
      <c r="F31" s="219">
        <f t="shared" si="6"/>
        <v>229.6419304618578</v>
      </c>
      <c r="G31" s="220">
        <f t="shared" si="15"/>
        <v>96.19700467047224</v>
      </c>
      <c r="H31" s="220">
        <f t="shared" si="7"/>
        <v>133.44492579138557</v>
      </c>
      <c r="I31" s="28">
        <f t="shared" si="8"/>
        <v>39.8</v>
      </c>
      <c r="J31" s="18">
        <f>'[2]А-4'!$G$37</f>
        <v>29.3</v>
      </c>
      <c r="K31" s="18">
        <f>'[2]А-4'!$H$37</f>
        <v>10.5</v>
      </c>
      <c r="L31" s="28">
        <f>'[2]А-4'!$Q$37</f>
        <v>7</v>
      </c>
      <c r="M31" s="28">
        <f>'[2]А-4'!$AC$37</f>
        <v>0</v>
      </c>
      <c r="N31" s="22">
        <f t="shared" si="9"/>
        <v>2.3890784982935154</v>
      </c>
      <c r="O31" s="22">
        <f>ROUND(M31/K31*10,3)</f>
        <v>0</v>
      </c>
      <c r="P31" s="28">
        <f t="shared" si="2"/>
        <v>1.3</v>
      </c>
      <c r="Q31" s="28">
        <f t="shared" si="2"/>
        <v>0</v>
      </c>
      <c r="R31" s="23">
        <f t="shared" si="11"/>
        <v>125</v>
      </c>
      <c r="S31" s="23">
        <f t="shared" si="11"/>
        <v>0</v>
      </c>
      <c r="T31" s="16">
        <f t="shared" si="12"/>
        <v>125</v>
      </c>
      <c r="U31" s="26">
        <f t="shared" si="4"/>
        <v>3</v>
      </c>
      <c r="V31" s="7">
        <v>4</v>
      </c>
      <c r="W31" s="26">
        <f t="shared" si="5"/>
        <v>3</v>
      </c>
      <c r="X31" s="53">
        <f t="shared" si="13"/>
        <v>0.5443256801952454</v>
      </c>
    </row>
    <row r="32" spans="1:24" ht="12.75" customHeight="1">
      <c r="A32" s="30">
        <f t="shared" si="14"/>
        <v>24</v>
      </c>
      <c r="B32" s="35" t="s">
        <v>73</v>
      </c>
      <c r="C32" s="36"/>
      <c r="D32" s="18">
        <f>'[2]А-4'!$F$35</f>
        <v>3</v>
      </c>
      <c r="E32" s="28">
        <v>67</v>
      </c>
      <c r="F32" s="219">
        <f t="shared" si="6"/>
        <v>64.1083722539353</v>
      </c>
      <c r="G32" s="220">
        <f t="shared" si="15"/>
        <v>26.8549971371735</v>
      </c>
      <c r="H32" s="220">
        <f t="shared" si="7"/>
        <v>37.2533751167618</v>
      </c>
      <c r="I32" s="28">
        <f t="shared" si="8"/>
        <v>26.700000000000003</v>
      </c>
      <c r="J32" s="18">
        <f>'[2]А-4'!$G$35</f>
        <v>21.8</v>
      </c>
      <c r="K32" s="18">
        <f>'[2]А-4'!$H$35</f>
        <v>4.9</v>
      </c>
      <c r="L32" s="28">
        <f>'[2]А-4'!$Q$35</f>
        <v>0</v>
      </c>
      <c r="M32" s="28">
        <f>'[2]А-4'!$AC$35</f>
        <v>0</v>
      </c>
      <c r="N32" s="22">
        <f t="shared" si="9"/>
        <v>0</v>
      </c>
      <c r="O32" s="22">
        <f>ROUND(M32/K32*10,3)</f>
        <v>0</v>
      </c>
      <c r="P32" s="28">
        <f t="shared" si="2"/>
        <v>0</v>
      </c>
      <c r="Q32" s="28">
        <f t="shared" si="2"/>
        <v>0</v>
      </c>
      <c r="R32" s="23">
        <f t="shared" si="11"/>
        <v>0</v>
      </c>
      <c r="S32" s="23">
        <f t="shared" si="11"/>
        <v>0</v>
      </c>
      <c r="T32" s="16">
        <f t="shared" si="12"/>
        <v>0</v>
      </c>
      <c r="U32" s="26">
        <f t="shared" si="4"/>
        <v>0</v>
      </c>
      <c r="V32" s="9"/>
      <c r="W32" s="26">
        <f>U32</f>
        <v>0</v>
      </c>
      <c r="X32" s="53">
        <f t="shared" si="13"/>
        <v>0</v>
      </c>
    </row>
    <row r="33" spans="1:24" ht="12.75">
      <c r="A33" s="30">
        <f t="shared" si="14"/>
        <v>25</v>
      </c>
      <c r="B33" s="288" t="s">
        <v>17</v>
      </c>
      <c r="C33" s="289"/>
      <c r="D33" s="17">
        <f>'[2]А-4'!$F$49</f>
        <v>3</v>
      </c>
      <c r="E33" s="226">
        <v>72</v>
      </c>
      <c r="F33" s="219">
        <f t="shared" si="6"/>
        <v>68.89257913855734</v>
      </c>
      <c r="G33" s="220">
        <f t="shared" si="15"/>
        <v>28.859101401141668</v>
      </c>
      <c r="H33" s="220">
        <f t="shared" si="7"/>
        <v>40.033477737415666</v>
      </c>
      <c r="I33" s="28">
        <f t="shared" si="8"/>
        <v>36</v>
      </c>
      <c r="J33" s="18">
        <f>'[2]А-4'!$G$49</f>
        <v>22.4</v>
      </c>
      <c r="K33" s="18">
        <f>'[2]А-4'!$H$49</f>
        <v>13.600000000000001</v>
      </c>
      <c r="L33" s="28">
        <f>'[2]А-4'!$Q$49</f>
        <v>0</v>
      </c>
      <c r="M33" s="28">
        <f>'[2]А-4'!$AC$49</f>
        <v>0</v>
      </c>
      <c r="N33" s="22">
        <f t="shared" si="9"/>
        <v>0</v>
      </c>
      <c r="O33" s="22">
        <f>ROUND(M33/K33*10,3)</f>
        <v>0</v>
      </c>
      <c r="P33" s="28">
        <f t="shared" si="2"/>
        <v>0</v>
      </c>
      <c r="Q33" s="28">
        <f t="shared" si="2"/>
        <v>0</v>
      </c>
      <c r="R33" s="23">
        <f t="shared" si="11"/>
        <v>0</v>
      </c>
      <c r="S33" s="23">
        <f t="shared" si="11"/>
        <v>0</v>
      </c>
      <c r="T33" s="16">
        <f t="shared" si="12"/>
        <v>0</v>
      </c>
      <c r="U33" s="26">
        <f t="shared" si="4"/>
        <v>0</v>
      </c>
      <c r="V33" s="9"/>
      <c r="W33" s="26">
        <f t="shared" si="5"/>
        <v>0</v>
      </c>
      <c r="X33" s="53">
        <f t="shared" si="13"/>
        <v>0</v>
      </c>
    </row>
    <row r="34" spans="1:24" s="29" customFormat="1" ht="12.75">
      <c r="A34" s="30">
        <f t="shared" si="14"/>
        <v>26</v>
      </c>
      <c r="B34" s="38" t="s">
        <v>31</v>
      </c>
      <c r="C34" s="39"/>
      <c r="D34" s="18">
        <f>'[2]А-4'!$F$41</f>
        <v>3</v>
      </c>
      <c r="E34" s="28">
        <v>48</v>
      </c>
      <c r="F34" s="219">
        <f t="shared" si="6"/>
        <v>45.92838609237156</v>
      </c>
      <c r="G34" s="220">
        <f t="shared" si="15"/>
        <v>19.239400934094448</v>
      </c>
      <c r="H34" s="220">
        <f t="shared" si="7"/>
        <v>26.688985158277113</v>
      </c>
      <c r="I34" s="28">
        <f t="shared" si="8"/>
        <v>30.3</v>
      </c>
      <c r="J34" s="18">
        <f>'[2]А-4'!$G$41</f>
        <v>26.7</v>
      </c>
      <c r="K34" s="18">
        <f>'[2]А-4'!$H$41</f>
        <v>3.6</v>
      </c>
      <c r="L34" s="28">
        <f>'[2]А-4'!$Q$41</f>
        <v>9</v>
      </c>
      <c r="M34" s="28">
        <f>'[2]А-4'!$AC$41</f>
        <v>0</v>
      </c>
      <c r="N34" s="22">
        <f t="shared" si="9"/>
        <v>3.370786516853933</v>
      </c>
      <c r="O34" s="22">
        <f>ROUND(M34/K34*10,3)</f>
        <v>0</v>
      </c>
      <c r="P34" s="28">
        <f t="shared" si="2"/>
        <v>1.8</v>
      </c>
      <c r="Q34" s="28">
        <f t="shared" si="2"/>
        <v>0</v>
      </c>
      <c r="R34" s="23">
        <f t="shared" si="11"/>
        <v>34</v>
      </c>
      <c r="S34" s="23">
        <f t="shared" si="11"/>
        <v>0</v>
      </c>
      <c r="T34" s="16">
        <f t="shared" si="12"/>
        <v>34</v>
      </c>
      <c r="U34" s="26">
        <f t="shared" si="4"/>
        <v>1</v>
      </c>
      <c r="V34" s="7">
        <v>2</v>
      </c>
      <c r="W34" s="26">
        <f t="shared" si="5"/>
        <v>1</v>
      </c>
      <c r="X34" s="53">
        <f t="shared" si="13"/>
        <v>0.7402829250655337</v>
      </c>
    </row>
    <row r="35" spans="1:24" ht="17.25" customHeight="1">
      <c r="A35" s="30">
        <f t="shared" si="14"/>
        <v>27</v>
      </c>
      <c r="B35" s="35" t="s">
        <v>59</v>
      </c>
      <c r="C35" s="36"/>
      <c r="D35" s="18">
        <f>'[2]А-4'!$F$42</f>
        <v>3</v>
      </c>
      <c r="E35" s="218">
        <v>140</v>
      </c>
      <c r="F35" s="219">
        <f t="shared" si="6"/>
        <v>133.95779276941704</v>
      </c>
      <c r="G35" s="220">
        <f t="shared" si="15"/>
        <v>56.1149193911088</v>
      </c>
      <c r="H35" s="220">
        <f t="shared" si="7"/>
        <v>77.84287337830824</v>
      </c>
      <c r="I35" s="28">
        <f t="shared" si="8"/>
        <v>31.789999999999996</v>
      </c>
      <c r="J35" s="18">
        <f>'[2]А-4'!$G$42</f>
        <v>15.489999999999998</v>
      </c>
      <c r="K35" s="18">
        <f>'[2]А-4'!$H$42</f>
        <v>16.299999999999997</v>
      </c>
      <c r="L35" s="28">
        <f>'[2]А-4'!$Q$42</f>
        <v>4</v>
      </c>
      <c r="M35" s="28">
        <f>'[2]А-4'!$AC$42</f>
        <v>1</v>
      </c>
      <c r="N35" s="22">
        <f t="shared" si="9"/>
        <v>2.582311168495804</v>
      </c>
      <c r="O35" s="22">
        <f>ROUND(M35/K35*10,3)</f>
        <v>0.613</v>
      </c>
      <c r="P35" s="28">
        <f t="shared" si="2"/>
        <v>1.4</v>
      </c>
      <c r="Q35" s="28">
        <f t="shared" si="2"/>
        <v>0.3</v>
      </c>
      <c r="R35" s="23">
        <f t="shared" si="11"/>
        <v>78</v>
      </c>
      <c r="S35" s="23">
        <f t="shared" si="11"/>
        <v>23</v>
      </c>
      <c r="T35" s="16">
        <f t="shared" si="12"/>
        <v>101</v>
      </c>
      <c r="U35" s="26">
        <f t="shared" si="4"/>
        <v>3</v>
      </c>
      <c r="V35" s="9"/>
      <c r="W35" s="26">
        <f>U35</f>
        <v>3</v>
      </c>
      <c r="X35" s="53">
        <f t="shared" si="13"/>
        <v>0.7539688278818715</v>
      </c>
    </row>
    <row r="36" spans="1:24" ht="17.25" customHeight="1">
      <c r="A36" s="30">
        <f t="shared" si="14"/>
        <v>28</v>
      </c>
      <c r="B36" s="295" t="s">
        <v>74</v>
      </c>
      <c r="C36" s="296"/>
      <c r="D36" s="18">
        <f>'[2]А-4'!$F$36</f>
        <v>0</v>
      </c>
      <c r="E36" s="227">
        <v>55.21</v>
      </c>
      <c r="F36" s="219">
        <f t="shared" si="6"/>
        <v>52.82721241999654</v>
      </c>
      <c r="G36" s="220">
        <f t="shared" si="15"/>
        <v>22.12931928273655</v>
      </c>
      <c r="H36" s="220">
        <f t="shared" si="7"/>
        <v>30.69789313725999</v>
      </c>
      <c r="I36" s="28">
        <f t="shared" si="8"/>
        <v>0</v>
      </c>
      <c r="J36" s="18">
        <f>'[2]А-4'!$G$36</f>
        <v>0</v>
      </c>
      <c r="K36" s="18">
        <f>'[2]А-4'!$H$36</f>
        <v>0</v>
      </c>
      <c r="L36" s="28">
        <f>'[2]А-4'!$Q$36</f>
        <v>0</v>
      </c>
      <c r="M36" s="28">
        <f>'[2]А-4'!$AC$36</f>
        <v>0</v>
      </c>
      <c r="N36" s="22">
        <v>0</v>
      </c>
      <c r="O36" s="22">
        <v>0</v>
      </c>
      <c r="P36" s="28">
        <f t="shared" si="2"/>
        <v>0</v>
      </c>
      <c r="Q36" s="28">
        <f t="shared" si="2"/>
        <v>0</v>
      </c>
      <c r="R36" s="23">
        <f t="shared" si="11"/>
        <v>0</v>
      </c>
      <c r="S36" s="23">
        <f t="shared" si="11"/>
        <v>0</v>
      </c>
      <c r="T36" s="16">
        <f t="shared" si="12"/>
        <v>0</v>
      </c>
      <c r="U36" s="26">
        <f t="shared" si="4"/>
        <v>0</v>
      </c>
      <c r="V36" s="9"/>
      <c r="W36" s="26">
        <f t="shared" si="5"/>
        <v>0</v>
      </c>
      <c r="X36" s="53">
        <f t="shared" si="13"/>
        <v>0</v>
      </c>
    </row>
    <row r="37" spans="1:24" ht="12.75">
      <c r="A37" s="30">
        <f t="shared" si="14"/>
        <v>29</v>
      </c>
      <c r="B37" s="35" t="s">
        <v>114</v>
      </c>
      <c r="C37" s="36"/>
      <c r="D37" s="18">
        <f>'[2]А-4'!$F$39</f>
        <v>3</v>
      </c>
      <c r="E37" s="218">
        <v>118</v>
      </c>
      <c r="F37" s="219">
        <f t="shared" si="6"/>
        <v>112.90728247708009</v>
      </c>
      <c r="G37" s="220">
        <f t="shared" si="15"/>
        <v>47.29686062964885</v>
      </c>
      <c r="H37" s="220">
        <f t="shared" si="7"/>
        <v>65.61042184743124</v>
      </c>
      <c r="I37" s="28">
        <f t="shared" si="8"/>
        <v>31.5</v>
      </c>
      <c r="J37" s="18">
        <f>'[2]А-4'!$G$39</f>
        <v>31.5</v>
      </c>
      <c r="K37" s="18">
        <f>'[2]А-4'!$H$39</f>
        <v>0</v>
      </c>
      <c r="L37" s="28">
        <f>'[2]А-4'!$Q$39</f>
        <v>9</v>
      </c>
      <c r="M37" s="28">
        <f>'[2]А-4'!$AC$39</f>
        <v>0</v>
      </c>
      <c r="N37" s="22">
        <f t="shared" si="9"/>
        <v>2.857142857142857</v>
      </c>
      <c r="O37" s="22">
        <v>0</v>
      </c>
      <c r="P37" s="28">
        <f t="shared" si="2"/>
        <v>1.5</v>
      </c>
      <c r="Q37" s="28">
        <f t="shared" si="2"/>
        <v>0</v>
      </c>
      <c r="R37" s="23">
        <f t="shared" si="11"/>
        <v>70</v>
      </c>
      <c r="S37" s="23">
        <f t="shared" si="11"/>
        <v>0</v>
      </c>
      <c r="T37" s="16">
        <f t="shared" si="12"/>
        <v>70</v>
      </c>
      <c r="U37" s="26">
        <f>ROUNDDOWN(IF(T37&lt;$O$3,"0",T37*5/100),0)</f>
        <v>3</v>
      </c>
      <c r="V37" s="9">
        <v>2</v>
      </c>
      <c r="W37" s="26">
        <f t="shared" si="5"/>
        <v>2</v>
      </c>
      <c r="X37" s="53">
        <f t="shared" si="13"/>
        <v>0.6199777238833982</v>
      </c>
    </row>
    <row r="38" spans="1:24" ht="12.75">
      <c r="A38" s="30">
        <f t="shared" si="14"/>
        <v>30</v>
      </c>
      <c r="B38" s="40" t="s">
        <v>113</v>
      </c>
      <c r="C38" s="36"/>
      <c r="D38" s="18">
        <f>'[2]А-4'!$F$38</f>
        <v>1</v>
      </c>
      <c r="E38" s="218">
        <f>'[5]Норматив и фактически 2011'!$F$58</f>
        <v>282</v>
      </c>
      <c r="F38" s="219">
        <f t="shared" si="6"/>
        <v>269.8292682926829</v>
      </c>
      <c r="G38" s="220">
        <f t="shared" si="15"/>
        <v>113.03148048780487</v>
      </c>
      <c r="H38" s="220">
        <f t="shared" si="7"/>
        <v>156.79778780487803</v>
      </c>
      <c r="I38" s="28">
        <f t="shared" si="8"/>
        <v>8</v>
      </c>
      <c r="J38" s="18">
        <f>'[2]А-4'!$G$38</f>
        <v>8</v>
      </c>
      <c r="K38" s="18">
        <f>'[2]А-4'!$H$38</f>
        <v>0</v>
      </c>
      <c r="L38" s="28">
        <f>'[2]А-4'!$Q$38</f>
        <v>0</v>
      </c>
      <c r="M38" s="28">
        <f>'[2]А-4'!$AC$38</f>
        <v>0</v>
      </c>
      <c r="N38" s="22">
        <f t="shared" si="9"/>
        <v>0</v>
      </c>
      <c r="O38" s="22">
        <v>0</v>
      </c>
      <c r="P38" s="28">
        <f t="shared" si="2"/>
        <v>0</v>
      </c>
      <c r="Q38" s="28">
        <f t="shared" si="2"/>
        <v>0</v>
      </c>
      <c r="R38" s="23">
        <f t="shared" si="11"/>
        <v>0</v>
      </c>
      <c r="S38" s="23">
        <f t="shared" si="11"/>
        <v>0</v>
      </c>
      <c r="T38" s="16">
        <f t="shared" si="12"/>
        <v>0</v>
      </c>
      <c r="U38" s="26">
        <f>ROUNDDOWN(IF(T38&lt;$O$3,"0",T38*5/100),0)</f>
        <v>0</v>
      </c>
      <c r="V38" s="9">
        <v>3</v>
      </c>
      <c r="W38" s="26">
        <f t="shared" si="5"/>
        <v>0</v>
      </c>
      <c r="X38" s="53">
        <f t="shared" si="13"/>
        <v>0</v>
      </c>
    </row>
    <row r="39" spans="1:24" s="29" customFormat="1" ht="21.75" customHeight="1">
      <c r="A39" s="30">
        <f t="shared" si="14"/>
        <v>31</v>
      </c>
      <c r="B39" s="35" t="s">
        <v>32</v>
      </c>
      <c r="C39" s="36"/>
      <c r="D39" s="18">
        <f>'[2]А-4'!$F$40</f>
        <v>6</v>
      </c>
      <c r="E39" s="28">
        <f>'[5]Норматив и фактически 2011'!$F$32</f>
        <v>103</v>
      </c>
      <c r="F39" s="219">
        <f t="shared" si="6"/>
        <v>98.55466182321398</v>
      </c>
      <c r="G39" s="220">
        <f t="shared" si="15"/>
        <v>41.284547837744334</v>
      </c>
      <c r="H39" s="220">
        <f t="shared" si="7"/>
        <v>57.270113985469635</v>
      </c>
      <c r="I39" s="28">
        <f t="shared" si="8"/>
        <v>37.099999999999994</v>
      </c>
      <c r="J39" s="18">
        <f>'[2]А-4'!$G$40</f>
        <v>31.58</v>
      </c>
      <c r="K39" s="18">
        <f>'[2]А-4'!$H$40</f>
        <v>5.52</v>
      </c>
      <c r="L39" s="28">
        <f>'[2]А-4'!$Q$40</f>
        <v>8</v>
      </c>
      <c r="M39" s="28">
        <f>'[2]А-4'!$AC$40</f>
        <v>0</v>
      </c>
      <c r="N39" s="22">
        <f t="shared" si="9"/>
        <v>2.53324889170361</v>
      </c>
      <c r="O39" s="22">
        <f>ROUND(M39/K39*10,3)</f>
        <v>0</v>
      </c>
      <c r="P39" s="28">
        <f t="shared" si="2"/>
        <v>1.4</v>
      </c>
      <c r="Q39" s="28">
        <f t="shared" si="2"/>
        <v>0</v>
      </c>
      <c r="R39" s="23">
        <f t="shared" si="11"/>
        <v>57</v>
      </c>
      <c r="S39" s="23">
        <f t="shared" si="11"/>
        <v>0</v>
      </c>
      <c r="T39" s="16">
        <f t="shared" si="12"/>
        <v>57</v>
      </c>
      <c r="U39" s="26">
        <f>ROUNDDOWN(IF(T39&lt;$O$3,"0",T39*3/100),0)</f>
        <v>1</v>
      </c>
      <c r="V39" s="7">
        <v>3</v>
      </c>
      <c r="W39" s="26">
        <f t="shared" si="5"/>
        <v>1</v>
      </c>
      <c r="X39" s="53">
        <f t="shared" si="13"/>
        <v>0.5783592469958025</v>
      </c>
    </row>
    <row r="40" spans="1:24" s="29" customFormat="1" ht="21" customHeight="1">
      <c r="A40" s="30">
        <f t="shared" si="14"/>
        <v>32</v>
      </c>
      <c r="B40" s="35" t="s">
        <v>65</v>
      </c>
      <c r="C40" s="36"/>
      <c r="D40" s="18">
        <f>'[2]А-4'!$F$46</f>
        <v>2</v>
      </c>
      <c r="E40" s="28">
        <v>263</v>
      </c>
      <c r="F40" s="219">
        <f t="shared" si="6"/>
        <v>251.64928213111918</v>
      </c>
      <c r="G40" s="220">
        <f t="shared" si="15"/>
        <v>105.41588428472582</v>
      </c>
      <c r="H40" s="220">
        <f t="shared" si="7"/>
        <v>146.23339784639333</v>
      </c>
      <c r="I40" s="28">
        <f t="shared" si="8"/>
        <v>25.1</v>
      </c>
      <c r="J40" s="18">
        <f>'[2]А-4'!$G$45</f>
        <v>25.1</v>
      </c>
      <c r="K40" s="18">
        <f>'[2]А-4'!$HG$45</f>
        <v>0</v>
      </c>
      <c r="L40" s="28">
        <f>'[2]А-4'!$Q$45</f>
        <v>3</v>
      </c>
      <c r="M40" s="28">
        <f>'[2]А-4'!$AC$45</f>
        <v>0</v>
      </c>
      <c r="N40" s="22">
        <f t="shared" si="9"/>
        <v>1.195219123505976</v>
      </c>
      <c r="O40" s="22">
        <v>0</v>
      </c>
      <c r="P40" s="28">
        <f t="shared" si="2"/>
        <v>0.6</v>
      </c>
      <c r="Q40" s="28">
        <f t="shared" si="2"/>
        <v>0</v>
      </c>
      <c r="R40" s="23">
        <f t="shared" si="11"/>
        <v>63</v>
      </c>
      <c r="S40" s="23">
        <f t="shared" si="11"/>
        <v>0</v>
      </c>
      <c r="T40" s="16">
        <f t="shared" si="12"/>
        <v>63</v>
      </c>
      <c r="U40" s="26">
        <f t="shared" si="4"/>
        <v>1</v>
      </c>
      <c r="V40" s="7"/>
      <c r="W40" s="26">
        <f>U40</f>
        <v>1</v>
      </c>
      <c r="X40" s="53">
        <f t="shared" si="13"/>
        <v>0.25034841930196533</v>
      </c>
    </row>
    <row r="41" spans="1:24" s="29" customFormat="1" ht="12.75">
      <c r="A41" s="30">
        <f t="shared" si="14"/>
        <v>33</v>
      </c>
      <c r="B41" s="35" t="s">
        <v>72</v>
      </c>
      <c r="C41" s="36"/>
      <c r="D41" s="18">
        <f>'[2]А-4'!$F$31</f>
        <v>2</v>
      </c>
      <c r="E41" s="28">
        <v>206</v>
      </c>
      <c r="F41" s="219">
        <f t="shared" si="6"/>
        <v>197.10932364642795</v>
      </c>
      <c r="G41" s="220">
        <f t="shared" si="15"/>
        <v>82.56909567548867</v>
      </c>
      <c r="H41" s="220">
        <f t="shared" si="7"/>
        <v>114.54022797093927</v>
      </c>
      <c r="I41" s="28">
        <f t="shared" si="8"/>
        <v>17.28</v>
      </c>
      <c r="J41" s="18">
        <f>'[2]А-4'!$G$31</f>
        <v>17.28</v>
      </c>
      <c r="K41" s="18">
        <f>'[2]А-4'!$H$31</f>
        <v>0</v>
      </c>
      <c r="L41" s="28">
        <f>'[2]А-4'!$Q$31</f>
        <v>0</v>
      </c>
      <c r="M41" s="28">
        <f>'[2]А-4'!$AC$31</f>
        <v>0</v>
      </c>
      <c r="N41" s="22">
        <f t="shared" si="9"/>
        <v>0</v>
      </c>
      <c r="O41" s="22">
        <v>0</v>
      </c>
      <c r="P41" s="28">
        <f t="shared" si="2"/>
        <v>0</v>
      </c>
      <c r="Q41" s="28">
        <f t="shared" si="2"/>
        <v>0</v>
      </c>
      <c r="R41" s="23">
        <f t="shared" si="11"/>
        <v>0</v>
      </c>
      <c r="S41" s="23">
        <f t="shared" si="11"/>
        <v>0</v>
      </c>
      <c r="T41" s="16">
        <f t="shared" si="12"/>
        <v>0</v>
      </c>
      <c r="U41" s="26">
        <f t="shared" si="4"/>
        <v>0</v>
      </c>
      <c r="V41" s="7"/>
      <c r="W41" s="26">
        <f>U41</f>
        <v>0</v>
      </c>
      <c r="X41" s="53">
        <f t="shared" si="13"/>
        <v>0</v>
      </c>
    </row>
    <row r="42" spans="1:24" s="29" customFormat="1" ht="12.75">
      <c r="A42" s="30">
        <f t="shared" si="14"/>
        <v>34</v>
      </c>
      <c r="B42" s="35" t="s">
        <v>58</v>
      </c>
      <c r="C42" s="36"/>
      <c r="D42" s="18">
        <f>'[2]А-4'!$F$44</f>
        <v>3</v>
      </c>
      <c r="E42" s="28">
        <v>169</v>
      </c>
      <c r="F42" s="219">
        <f t="shared" si="6"/>
        <v>161.70619270022488</v>
      </c>
      <c r="G42" s="220">
        <f t="shared" si="15"/>
        <v>67.7387241221242</v>
      </c>
      <c r="H42" s="220">
        <f t="shared" si="7"/>
        <v>93.96746857810066</v>
      </c>
      <c r="I42" s="28">
        <f t="shared" si="8"/>
        <v>31.2</v>
      </c>
      <c r="J42" s="18">
        <f>'[2]А-4'!$G$44</f>
        <v>16.9</v>
      </c>
      <c r="K42" s="18">
        <f>'[2]А-4'!$H$44</f>
        <v>14.3</v>
      </c>
      <c r="L42" s="28">
        <f>'[2]А-4'!$Q$44</f>
        <v>0</v>
      </c>
      <c r="M42" s="28">
        <f>'[2]А-4'!$AC$44</f>
        <v>1</v>
      </c>
      <c r="N42" s="22">
        <f t="shared" si="9"/>
        <v>0</v>
      </c>
      <c r="O42" s="22">
        <f>ROUND(M42/K42*10,3)</f>
        <v>0.699</v>
      </c>
      <c r="P42" s="28">
        <f t="shared" si="2"/>
        <v>0</v>
      </c>
      <c r="Q42" s="28">
        <f t="shared" si="2"/>
        <v>0.4</v>
      </c>
      <c r="R42" s="23">
        <f t="shared" si="11"/>
        <v>0</v>
      </c>
      <c r="S42" s="23">
        <f t="shared" si="11"/>
        <v>37</v>
      </c>
      <c r="T42" s="16">
        <f t="shared" si="12"/>
        <v>37</v>
      </c>
      <c r="U42" s="26">
        <f t="shared" si="4"/>
        <v>1</v>
      </c>
      <c r="V42" s="7"/>
      <c r="W42" s="26">
        <f>U42</f>
        <v>1</v>
      </c>
      <c r="X42" s="53">
        <f t="shared" si="13"/>
        <v>0.22881003740278244</v>
      </c>
    </row>
    <row r="43" spans="1:24" s="29" customFormat="1" ht="12.75">
      <c r="A43" s="30">
        <f t="shared" si="14"/>
        <v>35</v>
      </c>
      <c r="B43" s="35" t="s">
        <v>76</v>
      </c>
      <c r="C43" s="36"/>
      <c r="D43" s="18">
        <f>'[2]А-4'!$F$50</f>
        <v>1</v>
      </c>
      <c r="E43" s="28">
        <v>11.6</v>
      </c>
      <c r="F43" s="219">
        <f t="shared" si="6"/>
        <v>11.099359972323127</v>
      </c>
      <c r="G43" s="220">
        <f t="shared" si="15"/>
        <v>4.649521892406158</v>
      </c>
      <c r="H43" s="220">
        <f t="shared" si="7"/>
        <v>6.449838079916969</v>
      </c>
      <c r="I43" s="28">
        <f t="shared" si="8"/>
        <v>9.9</v>
      </c>
      <c r="J43" s="18">
        <f>'[2]А-4'!$G$50</f>
        <v>0</v>
      </c>
      <c r="K43" s="18">
        <f>'[2]А-4'!$H$50</f>
        <v>9.9</v>
      </c>
      <c r="L43" s="28">
        <f>'[2]А-4'!$Q$50</f>
        <v>0</v>
      </c>
      <c r="M43" s="28">
        <f>'[2]А-4'!$AC$50</f>
        <v>0</v>
      </c>
      <c r="N43" s="22">
        <v>0</v>
      </c>
      <c r="O43" s="22">
        <f>ROUND(M43/K43*10,3)</f>
        <v>0</v>
      </c>
      <c r="P43" s="28">
        <f t="shared" si="2"/>
        <v>0</v>
      </c>
      <c r="Q43" s="28">
        <f t="shared" si="2"/>
        <v>0</v>
      </c>
      <c r="R43" s="23">
        <f t="shared" si="11"/>
        <v>0</v>
      </c>
      <c r="S43" s="23">
        <f t="shared" si="11"/>
        <v>0</v>
      </c>
      <c r="T43" s="16">
        <f t="shared" si="12"/>
        <v>0</v>
      </c>
      <c r="U43" s="26">
        <f t="shared" si="4"/>
        <v>0</v>
      </c>
      <c r="V43" s="7"/>
      <c r="W43" s="26">
        <f t="shared" si="5"/>
        <v>0</v>
      </c>
      <c r="X43" s="53">
        <f t="shared" si="13"/>
        <v>0</v>
      </c>
    </row>
    <row r="44" spans="1:24" ht="12.75" customHeight="1">
      <c r="A44" s="30">
        <f t="shared" si="14"/>
        <v>36</v>
      </c>
      <c r="B44" s="263" t="s">
        <v>39</v>
      </c>
      <c r="C44" s="264"/>
      <c r="D44" s="18">
        <f>'[2]А-4'!$F$47</f>
        <v>3</v>
      </c>
      <c r="E44" s="218">
        <v>252.3</v>
      </c>
      <c r="F44" s="219">
        <f t="shared" si="6"/>
        <v>241.41107939802802</v>
      </c>
      <c r="G44" s="220">
        <f t="shared" si="15"/>
        <v>101.12710115983394</v>
      </c>
      <c r="H44" s="220">
        <f t="shared" si="7"/>
        <v>140.28397823819407</v>
      </c>
      <c r="I44" s="28">
        <f t="shared" si="8"/>
        <v>32.65</v>
      </c>
      <c r="J44" s="18">
        <f>'[2]А-4'!$G$47</f>
        <v>2.3</v>
      </c>
      <c r="K44" s="18">
        <f>'[2]А-4'!$H$47</f>
        <v>30.35</v>
      </c>
      <c r="L44" s="28">
        <f>'[2]А-4'!$Q$47</f>
        <v>0</v>
      </c>
      <c r="M44" s="28">
        <f>'[2]А-4'!$AC$47</f>
        <v>0</v>
      </c>
      <c r="N44" s="22">
        <f t="shared" si="9"/>
        <v>0</v>
      </c>
      <c r="O44" s="22">
        <f>ROUND(M44/K44*10,3)</f>
        <v>0</v>
      </c>
      <c r="P44" s="28">
        <f t="shared" si="2"/>
        <v>0</v>
      </c>
      <c r="Q44" s="28">
        <f t="shared" si="2"/>
        <v>0</v>
      </c>
      <c r="R44" s="23">
        <f t="shared" si="11"/>
        <v>0</v>
      </c>
      <c r="S44" s="23">
        <f t="shared" si="11"/>
        <v>0</v>
      </c>
      <c r="T44" s="16">
        <f t="shared" si="12"/>
        <v>0</v>
      </c>
      <c r="U44" s="26">
        <f t="shared" si="4"/>
        <v>0</v>
      </c>
      <c r="V44" s="9"/>
      <c r="W44" s="26">
        <f t="shared" si="5"/>
        <v>0</v>
      </c>
      <c r="X44" s="53">
        <f t="shared" si="13"/>
        <v>0</v>
      </c>
    </row>
    <row r="45" spans="1:30" ht="27.75" customHeight="1">
      <c r="A45" s="9"/>
      <c r="B45" s="255" t="s">
        <v>105</v>
      </c>
      <c r="C45" s="256"/>
      <c r="D45" s="129">
        <f aca="true" t="shared" si="16" ref="D45:M45">SUM(D46:D55)</f>
        <v>90</v>
      </c>
      <c r="E45" s="125">
        <f t="shared" si="16"/>
        <v>6041</v>
      </c>
      <c r="F45" s="125">
        <f t="shared" si="16"/>
        <v>3894.001575999994</v>
      </c>
      <c r="G45" s="125">
        <f t="shared" si="16"/>
        <v>3219.949903194395</v>
      </c>
      <c r="H45" s="125">
        <f t="shared" si="16"/>
        <v>674.0516728055991</v>
      </c>
      <c r="I45" s="125">
        <f t="shared" si="16"/>
        <v>1031.8</v>
      </c>
      <c r="J45" s="125">
        <f t="shared" si="16"/>
        <v>964.0999999999999</v>
      </c>
      <c r="K45" s="125">
        <f t="shared" si="16"/>
        <v>67.7</v>
      </c>
      <c r="L45" s="125">
        <f t="shared" si="16"/>
        <v>115</v>
      </c>
      <c r="M45" s="129">
        <f t="shared" si="16"/>
        <v>7</v>
      </c>
      <c r="N45" s="130">
        <f>ROUND(L45/J45*10,2)</f>
        <v>1.19</v>
      </c>
      <c r="O45" s="130">
        <f>ROUND(M45/K45*10,3)</f>
        <v>1.034</v>
      </c>
      <c r="P45" s="125">
        <f t="shared" si="2"/>
        <v>0.6</v>
      </c>
      <c r="Q45" s="125">
        <f t="shared" si="2"/>
        <v>0.6</v>
      </c>
      <c r="R45" s="127">
        <f aca="true" t="shared" si="17" ref="R45:W45">SUM(R46:R55)</f>
        <v>2220</v>
      </c>
      <c r="S45" s="127">
        <f t="shared" si="17"/>
        <v>246</v>
      </c>
      <c r="T45" s="129">
        <f t="shared" si="17"/>
        <v>2466</v>
      </c>
      <c r="U45" s="129">
        <f t="shared" si="17"/>
        <v>82</v>
      </c>
      <c r="V45" s="129">
        <f t="shared" si="17"/>
        <v>39</v>
      </c>
      <c r="W45" s="129">
        <f t="shared" si="17"/>
        <v>52</v>
      </c>
      <c r="X45" s="53">
        <f t="shared" si="13"/>
        <v>0.6332817159599433</v>
      </c>
      <c r="Y45">
        <v>0.644595526568448</v>
      </c>
      <c r="AB45">
        <v>2411</v>
      </c>
      <c r="AD45" s="19">
        <f>T45-AB45</f>
        <v>55</v>
      </c>
    </row>
    <row r="46" spans="1:24" ht="12.75">
      <c r="A46" s="30">
        <f>A44+1</f>
        <v>37</v>
      </c>
      <c r="B46" s="131" t="s">
        <v>42</v>
      </c>
      <c r="C46" s="132"/>
      <c r="D46" s="17">
        <v>0</v>
      </c>
      <c r="E46" s="218">
        <f>'[5]Норматив и фактически 2011'!$F$62</f>
        <v>45</v>
      </c>
      <c r="F46" s="219">
        <f aca="true" t="shared" si="18" ref="F46:F55">E46*$Y$45</f>
        <v>29.00679869558016</v>
      </c>
      <c r="G46" s="220">
        <f>F46*0.8269</f>
        <v>23.98572184137523</v>
      </c>
      <c r="H46" s="220">
        <f>F46*0.1731</f>
        <v>5.021076854204925</v>
      </c>
      <c r="I46" s="28">
        <f t="shared" si="8"/>
        <v>0</v>
      </c>
      <c r="J46" s="18">
        <f>'[2]А-4'!G59</f>
        <v>0</v>
      </c>
      <c r="K46" s="28">
        <v>0</v>
      </c>
      <c r="L46" s="28">
        <f>'[2]А-4'!$Q$59</f>
        <v>0</v>
      </c>
      <c r="M46" s="28">
        <f>'[2]А-4'!$AC$59</f>
        <v>0</v>
      </c>
      <c r="N46" s="22"/>
      <c r="O46" s="22">
        <v>0</v>
      </c>
      <c r="P46" s="28"/>
      <c r="Q46" s="22">
        <f>ROUND(O46*$M$5,2)</f>
        <v>0</v>
      </c>
      <c r="R46" s="23">
        <f t="shared" si="11"/>
        <v>0</v>
      </c>
      <c r="S46" s="23">
        <f t="shared" si="11"/>
        <v>0</v>
      </c>
      <c r="T46" s="16">
        <f t="shared" si="12"/>
        <v>0</v>
      </c>
      <c r="U46" s="26">
        <f t="shared" si="4"/>
        <v>0</v>
      </c>
      <c r="V46" s="9"/>
      <c r="W46" s="26">
        <f t="shared" si="5"/>
        <v>0</v>
      </c>
      <c r="X46" s="53">
        <f t="shared" si="13"/>
        <v>0</v>
      </c>
    </row>
    <row r="47" spans="1:28" ht="12.75">
      <c r="A47" s="30">
        <f>A46+1</f>
        <v>38</v>
      </c>
      <c r="B47" s="8" t="s">
        <v>18</v>
      </c>
      <c r="C47" s="9"/>
      <c r="D47" s="17">
        <f>'[2]А-4'!$F$60</f>
        <v>5</v>
      </c>
      <c r="E47" s="218">
        <f>'[4]Норматив и фактически 2009'!$F$59</f>
        <v>310</v>
      </c>
      <c r="F47" s="219">
        <f t="shared" si="18"/>
        <v>199.82461323621888</v>
      </c>
      <c r="G47" s="220">
        <f aca="true" t="shared" si="19" ref="G47:G55">F47*0.8269</f>
        <v>165.2349726850294</v>
      </c>
      <c r="H47" s="220">
        <f aca="true" t="shared" si="20" ref="H47:H55">F47*0.1731</f>
        <v>34.58964055118949</v>
      </c>
      <c r="I47" s="28">
        <f t="shared" si="8"/>
        <v>56.3</v>
      </c>
      <c r="J47" s="18">
        <f>'[2]А-4'!G60</f>
        <v>56.3</v>
      </c>
      <c r="K47" s="28">
        <f>'[2]А-4'!$H$61</f>
        <v>0</v>
      </c>
      <c r="L47" s="28">
        <f>'[2]А-4'!$Q$60</f>
        <v>3</v>
      </c>
      <c r="M47" s="28">
        <f>'[2]А-4'!$AC$60</f>
        <v>0</v>
      </c>
      <c r="N47" s="22">
        <f t="shared" si="9"/>
        <v>0.5328596802841918</v>
      </c>
      <c r="O47" s="22">
        <v>0</v>
      </c>
      <c r="P47" s="28">
        <f t="shared" si="2"/>
        <v>0.3</v>
      </c>
      <c r="Q47" s="28">
        <v>0</v>
      </c>
      <c r="R47" s="23">
        <f t="shared" si="11"/>
        <v>49</v>
      </c>
      <c r="S47" s="23">
        <f t="shared" si="11"/>
        <v>0</v>
      </c>
      <c r="T47" s="16">
        <f t="shared" si="12"/>
        <v>49</v>
      </c>
      <c r="U47" s="26">
        <f t="shared" si="4"/>
        <v>1</v>
      </c>
      <c r="V47" s="9">
        <v>3</v>
      </c>
      <c r="W47" s="26">
        <f t="shared" si="5"/>
        <v>1</v>
      </c>
      <c r="X47" s="53">
        <f t="shared" si="13"/>
        <v>0.24521503735916444</v>
      </c>
      <c r="AB47" s="54"/>
    </row>
    <row r="48" spans="1:24" ht="12.75">
      <c r="A48" s="30">
        <f aca="true" t="shared" si="21" ref="A48:A55">A47+1</f>
        <v>39</v>
      </c>
      <c r="B48" s="37" t="s">
        <v>83</v>
      </c>
      <c r="C48" s="37"/>
      <c r="D48" s="17">
        <f>'[2]А-4'!$F$62</f>
        <v>2</v>
      </c>
      <c r="E48" s="218">
        <f>'[4]Норматив и фактически 2009'!$F$61</f>
        <v>246</v>
      </c>
      <c r="F48" s="219">
        <f t="shared" si="18"/>
        <v>158.5704995358382</v>
      </c>
      <c r="G48" s="220">
        <f t="shared" si="19"/>
        <v>131.1219460661846</v>
      </c>
      <c r="H48" s="220">
        <f t="shared" si="20"/>
        <v>27.448553469653593</v>
      </c>
      <c r="I48" s="28">
        <f t="shared" si="8"/>
        <v>28.6</v>
      </c>
      <c r="J48" s="18">
        <f>'[2]А-4'!G62</f>
        <v>25.700000000000003</v>
      </c>
      <c r="K48" s="28">
        <f>'[2]А-4'!$H$62</f>
        <v>2.9</v>
      </c>
      <c r="L48" s="28">
        <f>'[2]А-4'!$Q$62</f>
        <v>0</v>
      </c>
      <c r="M48" s="28">
        <f>'[2]А-4'!$AC$62</f>
        <v>0</v>
      </c>
      <c r="N48" s="22">
        <f t="shared" si="9"/>
        <v>0</v>
      </c>
      <c r="O48" s="22">
        <f aca="true" t="shared" si="22" ref="O48:O55">ROUND(M48/K48*10,3)</f>
        <v>0</v>
      </c>
      <c r="P48" s="28">
        <f t="shared" si="2"/>
        <v>0</v>
      </c>
      <c r="Q48" s="28">
        <f>ROUND(O48*$M$5,1)</f>
        <v>0</v>
      </c>
      <c r="R48" s="23">
        <f t="shared" si="11"/>
        <v>0</v>
      </c>
      <c r="S48" s="23">
        <f t="shared" si="11"/>
        <v>0</v>
      </c>
      <c r="T48" s="16">
        <f t="shared" si="12"/>
        <v>0</v>
      </c>
      <c r="U48" s="26">
        <f t="shared" si="4"/>
        <v>0</v>
      </c>
      <c r="V48" s="9">
        <v>1</v>
      </c>
      <c r="W48" s="26">
        <f>IF(V48&lt;=U48,U48,)</f>
        <v>0</v>
      </c>
      <c r="X48" s="53">
        <f t="shared" si="13"/>
        <v>0</v>
      </c>
    </row>
    <row r="49" spans="1:24" ht="12.75">
      <c r="A49" s="30">
        <f t="shared" si="21"/>
        <v>40</v>
      </c>
      <c r="B49" s="37" t="s">
        <v>84</v>
      </c>
      <c r="C49" s="37"/>
      <c r="D49" s="17">
        <f>'[2]А-4'!$F$63</f>
        <v>20</v>
      </c>
      <c r="E49" s="218">
        <f>'[4]Норматив и фактически 2009'!$F$62</f>
        <v>1221</v>
      </c>
      <c r="F49" s="219">
        <f t="shared" si="18"/>
        <v>787.051137940075</v>
      </c>
      <c r="G49" s="220">
        <f t="shared" si="19"/>
        <v>650.812585962648</v>
      </c>
      <c r="H49" s="220">
        <f t="shared" si="20"/>
        <v>136.238551977427</v>
      </c>
      <c r="I49" s="28">
        <f t="shared" si="8"/>
        <v>238.89999999999998</v>
      </c>
      <c r="J49" s="18">
        <f>'[2]А-4'!G63</f>
        <v>213.2</v>
      </c>
      <c r="K49" s="28">
        <f>'[2]А-4'!$H$63</f>
        <v>25.7</v>
      </c>
      <c r="L49" s="28">
        <f>'[2]А-4'!$Q$63</f>
        <v>28</v>
      </c>
      <c r="M49" s="28">
        <f>'[2]А-4'!$AC$63</f>
        <v>2</v>
      </c>
      <c r="N49" s="22">
        <f t="shared" si="9"/>
        <v>1.3133208255159476</v>
      </c>
      <c r="O49" s="22">
        <f t="shared" si="22"/>
        <v>0.778</v>
      </c>
      <c r="P49" s="28">
        <f t="shared" si="2"/>
        <v>0.7</v>
      </c>
      <c r="Q49" s="28">
        <v>0.66</v>
      </c>
      <c r="R49" s="23">
        <f t="shared" si="11"/>
        <v>455</v>
      </c>
      <c r="S49" s="23">
        <f t="shared" si="11"/>
        <v>89</v>
      </c>
      <c r="T49" s="16">
        <f t="shared" si="12"/>
        <v>544</v>
      </c>
      <c r="U49" s="26">
        <f t="shared" si="4"/>
        <v>16</v>
      </c>
      <c r="V49" s="9">
        <v>14</v>
      </c>
      <c r="W49" s="26">
        <f t="shared" si="5"/>
        <v>14</v>
      </c>
      <c r="X49" s="53">
        <f t="shared" si="13"/>
        <v>0.6911876163775007</v>
      </c>
    </row>
    <row r="50" spans="1:24" s="29" customFormat="1" ht="12.75">
      <c r="A50" s="30">
        <f t="shared" si="21"/>
        <v>41</v>
      </c>
      <c r="B50" s="43" t="s">
        <v>34</v>
      </c>
      <c r="C50" s="43"/>
      <c r="D50" s="18">
        <f>'[2]А-4'!$F$64</f>
        <v>5</v>
      </c>
      <c r="E50" s="28">
        <f>'[4]Норматив и фактически 2009'!$F$64</f>
        <v>662</v>
      </c>
      <c r="F50" s="219">
        <f t="shared" si="18"/>
        <v>426.72223858831256</v>
      </c>
      <c r="G50" s="220">
        <f t="shared" si="19"/>
        <v>352.85661908867564</v>
      </c>
      <c r="H50" s="220">
        <f t="shared" si="20"/>
        <v>73.8656194996369</v>
      </c>
      <c r="I50" s="28">
        <f t="shared" si="8"/>
        <v>64.2</v>
      </c>
      <c r="J50" s="18">
        <f>'[2]А-4'!G64</f>
        <v>57.2</v>
      </c>
      <c r="K50" s="28">
        <f>'[2]А-4'!$H$64</f>
        <v>7</v>
      </c>
      <c r="L50" s="28">
        <f>'[2]А-4'!$Q$64</f>
        <v>8</v>
      </c>
      <c r="M50" s="28">
        <f>'[2]А-4'!$AC$64</f>
        <v>0</v>
      </c>
      <c r="N50" s="22">
        <f t="shared" si="9"/>
        <v>1.3986013986013985</v>
      </c>
      <c r="O50" s="22">
        <f t="shared" si="22"/>
        <v>0</v>
      </c>
      <c r="P50" s="28">
        <f t="shared" si="2"/>
        <v>0.8</v>
      </c>
      <c r="Q50" s="28">
        <v>0.646</v>
      </c>
      <c r="R50" s="23">
        <f t="shared" si="11"/>
        <v>282</v>
      </c>
      <c r="S50" s="23">
        <f t="shared" si="11"/>
        <v>47</v>
      </c>
      <c r="T50" s="16">
        <f t="shared" si="12"/>
        <v>329</v>
      </c>
      <c r="U50" s="26">
        <f t="shared" si="4"/>
        <v>9</v>
      </c>
      <c r="V50" s="7">
        <v>6</v>
      </c>
      <c r="W50" s="26">
        <f t="shared" si="5"/>
        <v>6</v>
      </c>
      <c r="X50" s="53">
        <f t="shared" si="13"/>
        <v>0.7709933306696215</v>
      </c>
    </row>
    <row r="51" spans="1:24" ht="12.75">
      <c r="A51" s="30">
        <f t="shared" si="21"/>
        <v>42</v>
      </c>
      <c r="B51" s="12" t="s">
        <v>115</v>
      </c>
      <c r="C51" s="12"/>
      <c r="D51" s="17">
        <f>'[2]А-4'!$F$65</f>
        <v>3</v>
      </c>
      <c r="E51" s="218">
        <f>'[5]Норматив и фактически 2011'!$F$67</f>
        <v>336</v>
      </c>
      <c r="F51" s="219">
        <f t="shared" si="18"/>
        <v>216.5840969269985</v>
      </c>
      <c r="G51" s="220">
        <f t="shared" si="19"/>
        <v>179.09338974893507</v>
      </c>
      <c r="H51" s="220">
        <f t="shared" si="20"/>
        <v>37.490707178063445</v>
      </c>
      <c r="I51" s="28">
        <f t="shared" si="8"/>
        <v>35.300000000000004</v>
      </c>
      <c r="J51" s="18">
        <f>'[2]А-4'!G65</f>
        <v>31.1</v>
      </c>
      <c r="K51" s="28">
        <f>'[2]А-4'!$H$65</f>
        <v>4.2</v>
      </c>
      <c r="L51" s="28">
        <f>'[2]А-4'!$Q$65</f>
        <v>11</v>
      </c>
      <c r="M51" s="28">
        <f>'[2]А-4'!$AC$65</f>
        <v>3</v>
      </c>
      <c r="N51" s="22">
        <f t="shared" si="9"/>
        <v>3.5369774919614145</v>
      </c>
      <c r="O51" s="22">
        <f t="shared" si="22"/>
        <v>7.143</v>
      </c>
      <c r="P51" s="28">
        <f t="shared" si="2"/>
        <v>1.9</v>
      </c>
      <c r="Q51" s="28">
        <v>2.05</v>
      </c>
      <c r="R51" s="23">
        <f t="shared" si="11"/>
        <v>340</v>
      </c>
      <c r="S51" s="23">
        <f t="shared" si="11"/>
        <v>76</v>
      </c>
      <c r="T51" s="16">
        <f t="shared" si="12"/>
        <v>416</v>
      </c>
      <c r="U51" s="26">
        <f>ROUNDDOWN(IF(T51&lt;$O$3,"0",T51*5/100),0)</f>
        <v>20</v>
      </c>
      <c r="V51" s="9">
        <v>3</v>
      </c>
      <c r="W51" s="26">
        <f t="shared" si="5"/>
        <v>3</v>
      </c>
      <c r="X51" s="53">
        <f t="shared" si="13"/>
        <v>1.9207319738725614</v>
      </c>
    </row>
    <row r="52" spans="1:24" ht="12.75">
      <c r="A52" s="30">
        <f t="shared" si="21"/>
        <v>43</v>
      </c>
      <c r="B52" s="11" t="s">
        <v>51</v>
      </c>
      <c r="C52" s="7"/>
      <c r="D52" s="18">
        <f>'[2]А-4'!$F$66</f>
        <v>3</v>
      </c>
      <c r="E52" s="28">
        <v>202</v>
      </c>
      <c r="F52" s="219">
        <f t="shared" si="18"/>
        <v>130.2082963668265</v>
      </c>
      <c r="G52" s="220">
        <f t="shared" si="19"/>
        <v>107.66924026572882</v>
      </c>
      <c r="H52" s="220">
        <f t="shared" si="20"/>
        <v>22.539056101097664</v>
      </c>
      <c r="I52" s="28">
        <f t="shared" si="8"/>
        <v>40.5</v>
      </c>
      <c r="J52" s="18">
        <f>'[2]А-4'!G66</f>
        <v>28</v>
      </c>
      <c r="K52" s="28">
        <f>'[2]А-4'!$H$66</f>
        <v>12.5</v>
      </c>
      <c r="L52" s="28">
        <f>'[2]А-4'!$Q$66</f>
        <v>10</v>
      </c>
      <c r="M52" s="28">
        <f>'[2]А-4'!$AC$66</f>
        <v>2</v>
      </c>
      <c r="N52" s="22">
        <f t="shared" si="9"/>
        <v>3.5714285714285716</v>
      </c>
      <c r="O52" s="22">
        <f t="shared" si="22"/>
        <v>1.6</v>
      </c>
      <c r="P52" s="28">
        <f t="shared" si="2"/>
        <v>1.9</v>
      </c>
      <c r="Q52" s="28">
        <v>1.55</v>
      </c>
      <c r="R52" s="23">
        <f t="shared" si="11"/>
        <v>204</v>
      </c>
      <c r="S52" s="23">
        <f t="shared" si="11"/>
        <v>34</v>
      </c>
      <c r="T52" s="16">
        <f t="shared" si="12"/>
        <v>238</v>
      </c>
      <c r="U52" s="26">
        <f>ROUNDDOWN(IF(T52&lt;$O$3,"0",T52*5/100),0)</f>
        <v>11</v>
      </c>
      <c r="V52" s="7">
        <v>4</v>
      </c>
      <c r="W52" s="26">
        <f t="shared" si="5"/>
        <v>4</v>
      </c>
      <c r="X52" s="53">
        <f t="shared" si="13"/>
        <v>1.8278405189289912</v>
      </c>
    </row>
    <row r="53" spans="1:24" s="29" customFormat="1" ht="14.25" customHeight="1">
      <c r="A53" s="30">
        <f t="shared" si="21"/>
        <v>44</v>
      </c>
      <c r="B53" s="48" t="s">
        <v>77</v>
      </c>
      <c r="C53"/>
      <c r="D53" s="17">
        <f>'[2]А-4'!$F$67</f>
        <v>7</v>
      </c>
      <c r="E53" s="227">
        <v>303.961</v>
      </c>
      <c r="F53" s="219">
        <f t="shared" si="18"/>
        <v>195.93190085127202</v>
      </c>
      <c r="G53" s="220">
        <f t="shared" si="19"/>
        <v>162.01608881391684</v>
      </c>
      <c r="H53" s="220">
        <f t="shared" si="20"/>
        <v>33.91581203735519</v>
      </c>
      <c r="I53" s="28">
        <f t="shared" si="8"/>
        <v>79.49999999999999</v>
      </c>
      <c r="J53" s="18">
        <f>'[2]А-4'!G67</f>
        <v>76.49999999999999</v>
      </c>
      <c r="K53" s="28">
        <f>'[2]А-4'!$H$67</f>
        <v>3</v>
      </c>
      <c r="L53" s="28">
        <f>'[2]А-4'!$Q$67</f>
        <v>5</v>
      </c>
      <c r="M53" s="28">
        <f>'[2]А-4'!$AC$67</f>
        <v>0</v>
      </c>
      <c r="N53" s="22">
        <f t="shared" si="9"/>
        <v>0.6535947712418302</v>
      </c>
      <c r="O53" s="22">
        <f t="shared" si="22"/>
        <v>0</v>
      </c>
      <c r="P53" s="28">
        <f t="shared" si="2"/>
        <v>0.4</v>
      </c>
      <c r="Q53" s="28">
        <f>ROUND(O53*$M$5,1)</f>
        <v>0</v>
      </c>
      <c r="R53" s="23">
        <f t="shared" si="11"/>
        <v>64</v>
      </c>
      <c r="S53" s="23">
        <f t="shared" si="11"/>
        <v>0</v>
      </c>
      <c r="T53" s="16">
        <f t="shared" si="12"/>
        <v>64</v>
      </c>
      <c r="U53" s="26">
        <f t="shared" si="4"/>
        <v>1</v>
      </c>
      <c r="V53" s="9"/>
      <c r="W53" s="26">
        <f t="shared" si="5"/>
        <v>0</v>
      </c>
      <c r="X53" s="53">
        <f t="shared" si="13"/>
        <v>0.3266441029864816</v>
      </c>
    </row>
    <row r="54" spans="1:24" ht="12.75">
      <c r="A54" s="30">
        <f t="shared" si="21"/>
        <v>45</v>
      </c>
      <c r="B54" s="32" t="s">
        <v>78</v>
      </c>
      <c r="C54" s="33"/>
      <c r="D54" s="17">
        <f>'[2]А-4'!$F$68</f>
        <v>7</v>
      </c>
      <c r="E54" s="227">
        <v>500.25</v>
      </c>
      <c r="F54" s="219">
        <f t="shared" si="18"/>
        <v>322.4589121658661</v>
      </c>
      <c r="G54" s="220">
        <f t="shared" si="19"/>
        <v>266.6412744699547</v>
      </c>
      <c r="H54" s="220">
        <f t="shared" si="20"/>
        <v>55.81763769591142</v>
      </c>
      <c r="I54" s="28">
        <f t="shared" si="8"/>
        <v>69.5</v>
      </c>
      <c r="J54" s="18">
        <f>'[2]А-4'!G68</f>
        <v>63.3</v>
      </c>
      <c r="K54" s="28">
        <f>'[2]А-4'!$H$68</f>
        <v>6.2</v>
      </c>
      <c r="L54" s="28">
        <f>'[2]А-4'!$Q$68</f>
        <v>0</v>
      </c>
      <c r="M54" s="28">
        <f>'[2]А-4'!$AC$68</f>
        <v>0</v>
      </c>
      <c r="N54" s="22">
        <f t="shared" si="9"/>
        <v>0</v>
      </c>
      <c r="O54" s="22">
        <f t="shared" si="22"/>
        <v>0</v>
      </c>
      <c r="P54" s="28">
        <f t="shared" si="2"/>
        <v>0</v>
      </c>
      <c r="Q54" s="28">
        <f>ROUND(O54*$M$5,1)</f>
        <v>0</v>
      </c>
      <c r="R54" s="23">
        <f t="shared" si="11"/>
        <v>0</v>
      </c>
      <c r="S54" s="23">
        <f t="shared" si="11"/>
        <v>0</v>
      </c>
      <c r="T54" s="16">
        <f t="shared" si="12"/>
        <v>0</v>
      </c>
      <c r="U54" s="26">
        <f t="shared" si="4"/>
        <v>0</v>
      </c>
      <c r="V54" s="9">
        <v>8</v>
      </c>
      <c r="W54" s="26">
        <f>IF(V54&lt;=U54,U54,U54)</f>
        <v>0</v>
      </c>
      <c r="X54" s="53">
        <f t="shared" si="13"/>
        <v>0</v>
      </c>
    </row>
    <row r="55" spans="1:24" ht="12.75">
      <c r="A55" s="30">
        <f t="shared" si="21"/>
        <v>46</v>
      </c>
      <c r="B55" s="35" t="s">
        <v>33</v>
      </c>
      <c r="C55" s="40"/>
      <c r="D55" s="17">
        <f>'[2]А-4'!$F$69</f>
        <v>38</v>
      </c>
      <c r="E55" s="218">
        <v>2214.789</v>
      </c>
      <c r="F55" s="219">
        <f t="shared" si="18"/>
        <v>1427.6430816930065</v>
      </c>
      <c r="G55" s="220">
        <f t="shared" si="19"/>
        <v>1180.518064251947</v>
      </c>
      <c r="H55" s="220">
        <f t="shared" si="20"/>
        <v>247.12501744105944</v>
      </c>
      <c r="I55" s="28">
        <f t="shared" si="8"/>
        <v>419</v>
      </c>
      <c r="J55" s="18">
        <f>'[2]А-4'!G69</f>
        <v>412.8</v>
      </c>
      <c r="K55" s="28">
        <f>'[2]А-4'!$H$69</f>
        <v>6.2</v>
      </c>
      <c r="L55" s="28">
        <f>'[2]А-4'!$Q$69</f>
        <v>50</v>
      </c>
      <c r="M55" s="28">
        <f>'[2]А-4'!$AC$69</f>
        <v>0</v>
      </c>
      <c r="N55" s="22">
        <f t="shared" si="9"/>
        <v>1.2112403100775193</v>
      </c>
      <c r="O55" s="22">
        <f t="shared" si="22"/>
        <v>0</v>
      </c>
      <c r="P55" s="28">
        <f t="shared" si="2"/>
        <v>0.7</v>
      </c>
      <c r="Q55" s="28">
        <f>ROUND(O55*$M$5,1)</f>
        <v>0</v>
      </c>
      <c r="R55" s="23">
        <f t="shared" si="11"/>
        <v>826</v>
      </c>
      <c r="S55" s="23">
        <f t="shared" si="11"/>
        <v>0</v>
      </c>
      <c r="T55" s="16">
        <f t="shared" si="12"/>
        <v>826</v>
      </c>
      <c r="U55" s="26">
        <f t="shared" si="4"/>
        <v>24</v>
      </c>
      <c r="V55" s="9"/>
      <c r="W55" s="26">
        <f>U55</f>
        <v>24</v>
      </c>
      <c r="X55" s="53">
        <f t="shared" si="13"/>
        <v>0.5785759834457133</v>
      </c>
    </row>
    <row r="56" spans="1:30" ht="31.5" customHeight="1">
      <c r="A56" s="9"/>
      <c r="B56" s="255" t="s">
        <v>106</v>
      </c>
      <c r="C56" s="256"/>
      <c r="D56" s="129">
        <f aca="true" t="shared" si="23" ref="D56:V56">SUM(D57:D73)</f>
        <v>53</v>
      </c>
      <c r="E56" s="136">
        <f t="shared" si="23"/>
        <v>9064.199999999999</v>
      </c>
      <c r="F56" s="136">
        <f t="shared" si="23"/>
        <v>7001.000000000001</v>
      </c>
      <c r="G56" s="136">
        <f t="shared" si="23"/>
        <v>4491.841600000001</v>
      </c>
      <c r="H56" s="136">
        <f t="shared" si="23"/>
        <v>2509.1584000000007</v>
      </c>
      <c r="I56" s="136">
        <f t="shared" si="23"/>
        <v>550.2</v>
      </c>
      <c r="J56" s="136">
        <f t="shared" si="23"/>
        <v>337.8</v>
      </c>
      <c r="K56" s="136">
        <f t="shared" si="23"/>
        <v>212.4</v>
      </c>
      <c r="L56" s="137">
        <f t="shared" si="23"/>
        <v>68</v>
      </c>
      <c r="M56" s="137">
        <f t="shared" si="23"/>
        <v>70</v>
      </c>
      <c r="N56" s="130">
        <f>ROUND(L56/J56*10,2)</f>
        <v>2.01</v>
      </c>
      <c r="O56" s="137">
        <f t="shared" si="23"/>
        <v>44.132</v>
      </c>
      <c r="P56" s="125">
        <f t="shared" si="2"/>
        <v>1.1</v>
      </c>
      <c r="Q56" s="137">
        <f t="shared" si="23"/>
        <v>23.9</v>
      </c>
      <c r="R56" s="136">
        <f t="shared" si="23"/>
        <v>3103</v>
      </c>
      <c r="S56" s="137">
        <f t="shared" si="23"/>
        <v>1327</v>
      </c>
      <c r="T56" s="137">
        <f t="shared" si="23"/>
        <v>4430</v>
      </c>
      <c r="U56" s="137">
        <f t="shared" si="23"/>
        <v>310</v>
      </c>
      <c r="V56" s="137">
        <f t="shared" si="23"/>
        <v>53</v>
      </c>
      <c r="W56" s="137">
        <f>SUM(W57:W73)</f>
        <v>108</v>
      </c>
      <c r="X56" s="53">
        <f t="shared" si="13"/>
        <v>0.6327667476074845</v>
      </c>
      <c r="Y56" s="55">
        <f>7001/E56</f>
        <v>0.772379250237197</v>
      </c>
      <c r="AB56">
        <v>9221</v>
      </c>
      <c r="AD56" s="19">
        <f>AB56-T56</f>
        <v>4791</v>
      </c>
    </row>
    <row r="57" spans="1:24" ht="12.75">
      <c r="A57" s="30">
        <f>A55+1</f>
        <v>47</v>
      </c>
      <c r="B57" s="15" t="s">
        <v>119</v>
      </c>
      <c r="C57" s="9"/>
      <c r="D57" s="17">
        <f>'[2]А-4'!$F$81</f>
        <v>1</v>
      </c>
      <c r="E57" s="218">
        <f>'[4]Норматив и фактически 2009'!$F$71</f>
        <v>225</v>
      </c>
      <c r="F57" s="219">
        <f>E57*$Y$56</f>
        <v>173.78533130336933</v>
      </c>
      <c r="G57" s="220">
        <f>F57*0.6416</f>
        <v>111.50066856424175</v>
      </c>
      <c r="H57" s="220">
        <f>F57*0.3584</f>
        <v>62.28466273912757</v>
      </c>
      <c r="I57" s="28">
        <f t="shared" si="8"/>
        <v>10</v>
      </c>
      <c r="J57" s="18">
        <f>'[2]А-4'!G81</f>
        <v>10</v>
      </c>
      <c r="K57" s="28">
        <f>'[2]А-4'!$H$81</f>
        <v>0</v>
      </c>
      <c r="L57" s="28">
        <f>'[2]А-4'!$Q$81</f>
        <v>2</v>
      </c>
      <c r="M57" s="22">
        <f>'[2]А-4'!$AC$81</f>
        <v>0</v>
      </c>
      <c r="N57" s="22">
        <f t="shared" si="9"/>
        <v>2</v>
      </c>
      <c r="O57" s="22">
        <v>0</v>
      </c>
      <c r="P57" s="28">
        <f t="shared" si="2"/>
        <v>1.1</v>
      </c>
      <c r="Q57" s="28">
        <v>0</v>
      </c>
      <c r="R57" s="23">
        <f t="shared" si="11"/>
        <v>122</v>
      </c>
      <c r="S57" s="23">
        <f t="shared" si="11"/>
        <v>0</v>
      </c>
      <c r="T57" s="16">
        <f t="shared" si="12"/>
        <v>122</v>
      </c>
      <c r="U57" s="26">
        <f t="shared" si="4"/>
        <v>3</v>
      </c>
      <c r="V57" s="9">
        <v>2</v>
      </c>
      <c r="W57" s="26">
        <v>2</v>
      </c>
      <c r="X57" s="53">
        <f t="shared" si="13"/>
        <v>0.7020155215921534</v>
      </c>
    </row>
    <row r="58" spans="1:30" ht="12.75">
      <c r="A58" s="30">
        <f aca="true" t="shared" si="24" ref="A58:A73">A57+1</f>
        <v>48</v>
      </c>
      <c r="B58" s="15" t="s">
        <v>120</v>
      </c>
      <c r="C58" s="9"/>
      <c r="D58" s="17">
        <f>'[2]А-4'!$F$82</f>
        <v>5</v>
      </c>
      <c r="E58" s="218">
        <f>'[4]Норматив и фактически 2009'!$F$72</f>
        <v>520</v>
      </c>
      <c r="F58" s="219">
        <f aca="true" t="shared" si="25" ref="F58:F73">E58*$Y$56</f>
        <v>401.6372101233424</v>
      </c>
      <c r="G58" s="220">
        <f aca="true" t="shared" si="26" ref="G58:G73">F58*0.6416</f>
        <v>257.6904340151365</v>
      </c>
      <c r="H58" s="220">
        <f aca="true" t="shared" si="27" ref="H58:H73">F58*0.3584</f>
        <v>143.9467761082059</v>
      </c>
      <c r="I58" s="28">
        <f t="shared" si="8"/>
        <v>50</v>
      </c>
      <c r="J58" s="18">
        <f>'[2]А-4'!G82</f>
        <v>50</v>
      </c>
      <c r="K58" s="28">
        <f>'[2]А-4'!$H$82</f>
        <v>0</v>
      </c>
      <c r="L58" s="28">
        <f>'[2]А-4'!$Q$82</f>
        <v>3</v>
      </c>
      <c r="M58" s="22">
        <f>'[2]А-4'!$AC$82</f>
        <v>0</v>
      </c>
      <c r="N58" s="22">
        <f t="shared" si="9"/>
        <v>0.6</v>
      </c>
      <c r="O58" s="22">
        <v>0</v>
      </c>
      <c r="P58" s="28">
        <f t="shared" si="2"/>
        <v>0.3</v>
      </c>
      <c r="Q58" s="28">
        <v>0</v>
      </c>
      <c r="R58" s="23">
        <f t="shared" si="11"/>
        <v>77</v>
      </c>
      <c r="S58" s="23">
        <f t="shared" si="11"/>
        <v>0</v>
      </c>
      <c r="T58" s="16">
        <f t="shared" si="12"/>
        <v>77</v>
      </c>
      <c r="U58" s="26">
        <f t="shared" si="4"/>
        <v>2</v>
      </c>
      <c r="V58" s="9">
        <v>6</v>
      </c>
      <c r="W58" s="26">
        <v>2</v>
      </c>
      <c r="X58" s="53">
        <f t="shared" si="13"/>
        <v>0.19171530440706272</v>
      </c>
      <c r="AD58" s="56">
        <f>9064.2-R56</f>
        <v>5961.200000000001</v>
      </c>
    </row>
    <row r="59" spans="1:24" ht="12.75">
      <c r="A59" s="30">
        <f t="shared" si="24"/>
        <v>49</v>
      </c>
      <c r="B59" s="15" t="s">
        <v>121</v>
      </c>
      <c r="C59" s="9"/>
      <c r="D59" s="17">
        <f>'[2]А-4'!$F$83</f>
        <v>22</v>
      </c>
      <c r="E59" s="218">
        <f>'[4]Норматив и фактически 2009'!$F$73</f>
        <v>2256</v>
      </c>
      <c r="F59" s="219">
        <f t="shared" si="25"/>
        <v>1742.4875885351164</v>
      </c>
      <c r="G59" s="220">
        <f t="shared" si="26"/>
        <v>1117.9800368041306</v>
      </c>
      <c r="H59" s="220">
        <f t="shared" si="27"/>
        <v>624.5075517309857</v>
      </c>
      <c r="I59" s="28">
        <f t="shared" si="8"/>
        <v>220</v>
      </c>
      <c r="J59" s="18">
        <f>'[2]А-4'!G83</f>
        <v>171</v>
      </c>
      <c r="K59" s="28">
        <f>'[2]А-4'!$H$83</f>
        <v>49</v>
      </c>
      <c r="L59" s="28">
        <f>'[2]А-4'!$Q$83</f>
        <v>9</v>
      </c>
      <c r="M59" s="22">
        <f>'[2]А-4'!$AC$83</f>
        <v>0</v>
      </c>
      <c r="N59" s="22">
        <f t="shared" si="9"/>
        <v>0.5263157894736842</v>
      </c>
      <c r="O59" s="22">
        <f>ROUND(M59/K59*10,3)</f>
        <v>0</v>
      </c>
      <c r="P59" s="28">
        <f t="shared" si="2"/>
        <v>0.3</v>
      </c>
      <c r="Q59" s="28">
        <f t="shared" si="2"/>
        <v>0</v>
      </c>
      <c r="R59" s="23">
        <f t="shared" si="11"/>
        <v>335</v>
      </c>
      <c r="S59" s="23">
        <f t="shared" si="11"/>
        <v>0</v>
      </c>
      <c r="T59" s="16">
        <f t="shared" si="12"/>
        <v>335</v>
      </c>
      <c r="U59" s="26">
        <f t="shared" si="4"/>
        <v>10</v>
      </c>
      <c r="V59" s="9">
        <v>35</v>
      </c>
      <c r="W59" s="26">
        <v>10</v>
      </c>
      <c r="X59" s="53">
        <f t="shared" si="13"/>
        <v>0.19225388014478173</v>
      </c>
    </row>
    <row r="60" spans="1:25" s="31" customFormat="1" ht="12.75">
      <c r="A60" s="30">
        <f t="shared" si="24"/>
        <v>50</v>
      </c>
      <c r="B60" s="15" t="s">
        <v>122</v>
      </c>
      <c r="C60" s="9"/>
      <c r="D60" s="17">
        <f>'[2]А-4'!$F$84</f>
        <v>4</v>
      </c>
      <c r="E60" s="218">
        <f>'[4]Норматив и фактически 2009'!$F$74</f>
        <v>256</v>
      </c>
      <c r="F60" s="219">
        <f t="shared" si="25"/>
        <v>197.72908806072243</v>
      </c>
      <c r="G60" s="220">
        <f t="shared" si="26"/>
        <v>126.8629828997595</v>
      </c>
      <c r="H60" s="220">
        <f t="shared" si="27"/>
        <v>70.86610516096292</v>
      </c>
      <c r="I60" s="28">
        <f t="shared" si="8"/>
        <v>40</v>
      </c>
      <c r="J60" s="18">
        <f>'[2]А-4'!G84</f>
        <v>18</v>
      </c>
      <c r="K60" s="28">
        <f>'[2]А-4'!$H$84</f>
        <v>22</v>
      </c>
      <c r="L60" s="28">
        <f>'[2]А-4'!$Q$84</f>
        <v>2</v>
      </c>
      <c r="M60" s="22">
        <f>'[2]А-4'!$AC$84</f>
        <v>10</v>
      </c>
      <c r="N60" s="22">
        <f t="shared" si="9"/>
        <v>1.1111111111111112</v>
      </c>
      <c r="O60" s="22">
        <f>ROUND(M60/K60*10,3)</f>
        <v>4.545</v>
      </c>
      <c r="P60" s="28">
        <f t="shared" si="2"/>
        <v>0.6</v>
      </c>
      <c r="Q60" s="28">
        <f t="shared" si="2"/>
        <v>2.5</v>
      </c>
      <c r="R60" s="23">
        <f t="shared" si="11"/>
        <v>76</v>
      </c>
      <c r="S60" s="23">
        <f t="shared" si="11"/>
        <v>177</v>
      </c>
      <c r="T60" s="16">
        <f t="shared" si="12"/>
        <v>253</v>
      </c>
      <c r="U60" s="26">
        <f>ROUNDDOWN(IF(T60&lt;$O$3,"0",T60*5/100),0)</f>
        <v>12</v>
      </c>
      <c r="V60" s="9">
        <v>4</v>
      </c>
      <c r="W60" s="26">
        <v>4</v>
      </c>
      <c r="X60" s="53">
        <f t="shared" si="13"/>
        <v>1.2795284825382087</v>
      </c>
      <c r="Y60" s="87"/>
    </row>
    <row r="61" spans="1:36" ht="12.75">
      <c r="A61" s="30">
        <f t="shared" si="24"/>
        <v>51</v>
      </c>
      <c r="B61" s="131" t="s">
        <v>19</v>
      </c>
      <c r="C61" s="132"/>
      <c r="D61" s="17">
        <f>'[2]А-4'!$F$85</f>
        <v>0</v>
      </c>
      <c r="E61" s="218">
        <f>'[4]Норматив и фактически 2009'!$F$75</f>
        <v>1728</v>
      </c>
      <c r="F61" s="219">
        <f t="shared" si="25"/>
        <v>1334.6713444098764</v>
      </c>
      <c r="G61" s="220">
        <f t="shared" si="26"/>
        <v>856.3251345733767</v>
      </c>
      <c r="H61" s="220">
        <f t="shared" si="27"/>
        <v>478.34620983649967</v>
      </c>
      <c r="I61" s="28">
        <f t="shared" si="8"/>
        <v>0</v>
      </c>
      <c r="J61" s="18">
        <f>'[2]А-4'!G85</f>
        <v>0</v>
      </c>
      <c r="K61" s="28">
        <f>'[2]А-4'!$H$85</f>
        <v>0</v>
      </c>
      <c r="L61" s="28">
        <f>'[2]А-4'!$Q$85</f>
        <v>0</v>
      </c>
      <c r="M61" s="22">
        <f>'[2]А-4'!$AC$85</f>
        <v>0</v>
      </c>
      <c r="N61" s="22">
        <v>0</v>
      </c>
      <c r="O61" s="22">
        <v>0</v>
      </c>
      <c r="P61" s="28">
        <v>0</v>
      </c>
      <c r="Q61" s="28">
        <f t="shared" si="2"/>
        <v>0</v>
      </c>
      <c r="R61" s="23">
        <f t="shared" si="11"/>
        <v>0</v>
      </c>
      <c r="S61" s="23">
        <f t="shared" si="11"/>
        <v>0</v>
      </c>
      <c r="T61" s="16">
        <f t="shared" si="12"/>
        <v>0</v>
      </c>
      <c r="U61" s="26">
        <f t="shared" si="4"/>
        <v>0</v>
      </c>
      <c r="V61" s="9"/>
      <c r="W61" s="26">
        <v>0</v>
      </c>
      <c r="X61" s="53">
        <f t="shared" si="13"/>
        <v>0</v>
      </c>
      <c r="AJ61" s="57"/>
    </row>
    <row r="62" spans="1:24" ht="12.75">
      <c r="A62" s="30">
        <f t="shared" si="24"/>
        <v>52</v>
      </c>
      <c r="B62" s="8" t="s">
        <v>79</v>
      </c>
      <c r="C62" s="9"/>
      <c r="D62" s="17">
        <f>'[2]А-4'!$F$86</f>
        <v>3</v>
      </c>
      <c r="E62" s="218">
        <v>178</v>
      </c>
      <c r="F62" s="219">
        <f t="shared" si="25"/>
        <v>137.48350654222108</v>
      </c>
      <c r="G62" s="220">
        <f t="shared" si="26"/>
        <v>88.20941779748904</v>
      </c>
      <c r="H62" s="220">
        <f t="shared" si="27"/>
        <v>49.27408874473203</v>
      </c>
      <c r="I62" s="28">
        <f t="shared" si="8"/>
        <v>31.8</v>
      </c>
      <c r="J62" s="18">
        <f>'[2]А-4'!G86</f>
        <v>10.2</v>
      </c>
      <c r="K62" s="28">
        <f>'[2]А-4'!$H$86</f>
        <v>21.6</v>
      </c>
      <c r="L62" s="28">
        <f>'[2]А-4'!$Q$86</f>
        <v>5</v>
      </c>
      <c r="M62" s="22">
        <f>'[2]А-4'!$AC$86</f>
        <v>11</v>
      </c>
      <c r="N62" s="22">
        <f t="shared" si="9"/>
        <v>4.901960784313726</v>
      </c>
      <c r="O62" s="22">
        <f>ROUND(M62/K62*10,3)</f>
        <v>5.093</v>
      </c>
      <c r="P62" s="28">
        <f t="shared" si="2"/>
        <v>2.6</v>
      </c>
      <c r="Q62" s="28">
        <f t="shared" si="2"/>
        <v>2.8</v>
      </c>
      <c r="R62" s="23">
        <f t="shared" si="11"/>
        <v>229</v>
      </c>
      <c r="S62" s="23">
        <f t="shared" si="11"/>
        <v>137</v>
      </c>
      <c r="T62" s="16">
        <f t="shared" si="12"/>
        <v>366</v>
      </c>
      <c r="U62" s="26">
        <f>ROUNDDOWN(IF(T62&lt;$O$3,"0",T62*7/100),0)</f>
        <v>25</v>
      </c>
      <c r="V62" s="9"/>
      <c r="W62" s="26">
        <v>25</v>
      </c>
      <c r="X62" s="53">
        <f t="shared" si="13"/>
        <v>2.662137511655638</v>
      </c>
    </row>
    <row r="63" spans="1:24" ht="12.75">
      <c r="A63" s="30">
        <f t="shared" si="24"/>
        <v>53</v>
      </c>
      <c r="B63" s="131" t="s">
        <v>20</v>
      </c>
      <c r="C63" s="132"/>
      <c r="D63" s="17">
        <f>'[2]А-4'!$F$87</f>
        <v>0</v>
      </c>
      <c r="E63" s="218">
        <f>'[4]Норматив и фактически 2009'!$F$78</f>
        <v>202</v>
      </c>
      <c r="F63" s="219">
        <f>E63*$Y$56</f>
        <v>156.02060854791378</v>
      </c>
      <c r="G63" s="220">
        <f t="shared" si="26"/>
        <v>100.10282244434147</v>
      </c>
      <c r="H63" s="220">
        <f t="shared" si="27"/>
        <v>55.9177861035723</v>
      </c>
      <c r="I63" s="28">
        <f t="shared" si="8"/>
        <v>0</v>
      </c>
      <c r="J63" s="18">
        <f>'[2]А-4'!G87</f>
        <v>0</v>
      </c>
      <c r="K63" s="28">
        <f>'[2]А-4'!$H$87</f>
        <v>0</v>
      </c>
      <c r="L63" s="28">
        <f>'[2]А-4'!$Q$87</f>
        <v>0</v>
      </c>
      <c r="M63" s="22">
        <f>'[2]А-4'!$AC$87</f>
        <v>0</v>
      </c>
      <c r="N63" s="22">
        <v>0</v>
      </c>
      <c r="O63" s="22">
        <v>0</v>
      </c>
      <c r="P63" s="28">
        <v>0</v>
      </c>
      <c r="Q63" s="28">
        <f t="shared" si="2"/>
        <v>0</v>
      </c>
      <c r="R63" s="23">
        <f t="shared" si="11"/>
        <v>0</v>
      </c>
      <c r="S63" s="23">
        <f t="shared" si="11"/>
        <v>0</v>
      </c>
      <c r="T63" s="16">
        <f t="shared" si="12"/>
        <v>0</v>
      </c>
      <c r="U63" s="26">
        <f t="shared" si="4"/>
        <v>0</v>
      </c>
      <c r="V63" s="9"/>
      <c r="W63" s="26">
        <v>0</v>
      </c>
      <c r="X63" s="53">
        <f t="shared" si="13"/>
        <v>0</v>
      </c>
    </row>
    <row r="64" spans="1:28" ht="12.75">
      <c r="A64" s="30">
        <f t="shared" si="24"/>
        <v>54</v>
      </c>
      <c r="B64" s="131" t="s">
        <v>36</v>
      </c>
      <c r="C64" s="132"/>
      <c r="D64" s="17">
        <f>'[2]А-4'!$F$88</f>
        <v>0</v>
      </c>
      <c r="E64" s="218">
        <v>208</v>
      </c>
      <c r="F64" s="219">
        <f t="shared" si="25"/>
        <v>160.65488404933697</v>
      </c>
      <c r="G64" s="220">
        <f t="shared" si="26"/>
        <v>103.0761736060546</v>
      </c>
      <c r="H64" s="220">
        <f t="shared" si="27"/>
        <v>57.57871044328237</v>
      </c>
      <c r="I64" s="28">
        <f t="shared" si="8"/>
        <v>0</v>
      </c>
      <c r="J64" s="18">
        <f>'[2]А-4'!G88</f>
        <v>0</v>
      </c>
      <c r="K64" s="28">
        <f>'[2]А-4'!$H$88</f>
        <v>0</v>
      </c>
      <c r="L64" s="28">
        <f>'[2]А-4'!$Q$88</f>
        <v>0</v>
      </c>
      <c r="M64" s="22">
        <f>'[2]А-4'!$AC$88</f>
        <v>0</v>
      </c>
      <c r="N64" s="22">
        <v>0</v>
      </c>
      <c r="O64" s="22">
        <v>0</v>
      </c>
      <c r="P64" s="28">
        <v>0</v>
      </c>
      <c r="Q64" s="28">
        <f t="shared" si="2"/>
        <v>0</v>
      </c>
      <c r="R64" s="23">
        <f t="shared" si="11"/>
        <v>0</v>
      </c>
      <c r="S64" s="23">
        <f t="shared" si="11"/>
        <v>0</v>
      </c>
      <c r="T64" s="16">
        <f t="shared" si="12"/>
        <v>0</v>
      </c>
      <c r="U64" s="26">
        <f t="shared" si="4"/>
        <v>0</v>
      </c>
      <c r="V64" s="9"/>
      <c r="W64" s="26">
        <v>0</v>
      </c>
      <c r="X64" s="53">
        <f t="shared" si="13"/>
        <v>0</v>
      </c>
      <c r="AB64">
        <f>9064.2-8805</f>
        <v>259.2000000000007</v>
      </c>
    </row>
    <row r="65" spans="1:28" ht="12.75">
      <c r="A65" s="30">
        <f t="shared" si="24"/>
        <v>55</v>
      </c>
      <c r="B65" s="8" t="s">
        <v>80</v>
      </c>
      <c r="C65" s="8"/>
      <c r="D65" s="17">
        <f>'[2]А-4'!$F$89</f>
        <v>0</v>
      </c>
      <c r="E65" s="218">
        <v>605.2</v>
      </c>
      <c r="F65" s="219">
        <f t="shared" si="25"/>
        <v>467.44392224355164</v>
      </c>
      <c r="G65" s="220">
        <f t="shared" si="26"/>
        <v>299.9120205114627</v>
      </c>
      <c r="H65" s="220">
        <f t="shared" si="27"/>
        <v>167.5319017320889</v>
      </c>
      <c r="I65" s="28">
        <f t="shared" si="8"/>
        <v>0</v>
      </c>
      <c r="J65" s="18">
        <f>'[2]А-4'!G89</f>
        <v>0</v>
      </c>
      <c r="K65" s="28">
        <f>'[2]А-4'!$H$89</f>
        <v>0</v>
      </c>
      <c r="L65" s="28">
        <f>'[2]А-4'!$Q$89</f>
        <v>0</v>
      </c>
      <c r="M65" s="22">
        <f>'[2]А-4'!$AC$89</f>
        <v>0</v>
      </c>
      <c r="N65" s="22">
        <v>0</v>
      </c>
      <c r="O65" s="22">
        <v>0</v>
      </c>
      <c r="P65" s="28">
        <v>0</v>
      </c>
      <c r="Q65" s="28">
        <f t="shared" si="2"/>
        <v>0</v>
      </c>
      <c r="R65" s="23">
        <f t="shared" si="11"/>
        <v>0</v>
      </c>
      <c r="S65" s="23">
        <f t="shared" si="11"/>
        <v>0</v>
      </c>
      <c r="T65" s="16">
        <f t="shared" si="12"/>
        <v>0</v>
      </c>
      <c r="U65" s="26">
        <f t="shared" si="4"/>
        <v>0</v>
      </c>
      <c r="V65" s="9"/>
      <c r="W65" s="26">
        <v>0</v>
      </c>
      <c r="X65" s="53">
        <f t="shared" si="13"/>
        <v>0</v>
      </c>
      <c r="AB65">
        <f>178+AB64</f>
        <v>437.2000000000007</v>
      </c>
    </row>
    <row r="66" spans="1:24" ht="12.75">
      <c r="A66" s="30">
        <f t="shared" si="24"/>
        <v>56</v>
      </c>
      <c r="B66" s="8" t="s">
        <v>81</v>
      </c>
      <c r="C66" s="8"/>
      <c r="D66" s="17">
        <f>'[2]А-4'!$F$90</f>
        <v>2</v>
      </c>
      <c r="E66" s="218">
        <f>'[4]Норматив и фактически 2009'!$F$81</f>
        <v>110</v>
      </c>
      <c r="F66" s="219">
        <f t="shared" si="25"/>
        <v>84.96171752609168</v>
      </c>
      <c r="G66" s="220">
        <f t="shared" si="26"/>
        <v>54.511437964740416</v>
      </c>
      <c r="H66" s="220">
        <f t="shared" si="27"/>
        <v>30.450279561351255</v>
      </c>
      <c r="I66" s="28">
        <f t="shared" si="8"/>
        <v>21.7</v>
      </c>
      <c r="J66" s="18">
        <f>'[2]А-4'!G90</f>
        <v>0</v>
      </c>
      <c r="K66" s="28">
        <f>'[2]А-4'!$H$90</f>
        <v>21.7</v>
      </c>
      <c r="L66" s="28">
        <f>'[2]А-4'!$Q$90</f>
        <v>0</v>
      </c>
      <c r="M66" s="22">
        <f>'[2]А-4'!$AC$90</f>
        <v>11</v>
      </c>
      <c r="N66" s="22">
        <v>0</v>
      </c>
      <c r="O66" s="22">
        <f>ROUND(M66/K66*10,3)</f>
        <v>5.069</v>
      </c>
      <c r="P66" s="28">
        <v>0</v>
      </c>
      <c r="Q66" s="28">
        <f t="shared" si="2"/>
        <v>2.7</v>
      </c>
      <c r="R66" s="23">
        <f t="shared" si="11"/>
        <v>0</v>
      </c>
      <c r="S66" s="23">
        <f t="shared" si="11"/>
        <v>82</v>
      </c>
      <c r="T66" s="16">
        <f t="shared" si="12"/>
        <v>82</v>
      </c>
      <c r="U66" s="26">
        <f t="shared" si="4"/>
        <v>2</v>
      </c>
      <c r="V66" s="15"/>
      <c r="W66" s="26">
        <v>2</v>
      </c>
      <c r="X66" s="53">
        <f t="shared" si="13"/>
        <v>0.965140564334965</v>
      </c>
    </row>
    <row r="67" spans="1:24" ht="12.75">
      <c r="A67" s="30">
        <f>A66+1</f>
        <v>57</v>
      </c>
      <c r="B67" s="35" t="s">
        <v>123</v>
      </c>
      <c r="C67" s="37"/>
      <c r="D67" s="17">
        <f>'[2]А-4'!$F$92</f>
        <v>5</v>
      </c>
      <c r="E67" s="218">
        <v>582.175</v>
      </c>
      <c r="F67" s="219">
        <f t="shared" si="25"/>
        <v>449.6598900068401</v>
      </c>
      <c r="G67" s="220">
        <f t="shared" si="26"/>
        <v>288.5017854283886</v>
      </c>
      <c r="H67" s="220">
        <f t="shared" si="27"/>
        <v>161.15810457845149</v>
      </c>
      <c r="I67" s="28">
        <f t="shared" si="8"/>
        <v>56</v>
      </c>
      <c r="J67" s="18">
        <f>'[2]А-4'!G92</f>
        <v>29.2</v>
      </c>
      <c r="K67" s="28">
        <f>'[2]А-4'!$H$92</f>
        <v>26.8</v>
      </c>
      <c r="L67" s="28">
        <f>'[2]А-4'!$Q$92</f>
        <v>11</v>
      </c>
      <c r="M67" s="22">
        <f>'[2]А-4'!$AC$91</f>
        <v>0</v>
      </c>
      <c r="N67" s="22">
        <f t="shared" si="9"/>
        <v>3.767123287671233</v>
      </c>
      <c r="O67" s="22">
        <f>ROUND(M67/K67*10,3)</f>
        <v>0</v>
      </c>
      <c r="P67" s="28">
        <f t="shared" si="2"/>
        <v>2</v>
      </c>
      <c r="Q67" s="28">
        <f t="shared" si="2"/>
        <v>0</v>
      </c>
      <c r="R67" s="23">
        <f t="shared" si="11"/>
        <v>577</v>
      </c>
      <c r="S67" s="23">
        <f t="shared" si="11"/>
        <v>0</v>
      </c>
      <c r="T67" s="16">
        <f t="shared" si="12"/>
        <v>577</v>
      </c>
      <c r="U67" s="26">
        <f>ROUNDDOWN(IF(T67&lt;$O$3,"0",T67*5/100),0)</f>
        <v>28</v>
      </c>
      <c r="V67" s="9"/>
      <c r="W67" s="26">
        <v>28</v>
      </c>
      <c r="X67" s="53">
        <f t="shared" si="13"/>
        <v>1.2831920587607288</v>
      </c>
    </row>
    <row r="68" spans="1:24" ht="12.75">
      <c r="A68" s="30">
        <f t="shared" si="24"/>
        <v>58</v>
      </c>
      <c r="B68" s="134" t="s">
        <v>50</v>
      </c>
      <c r="C68" s="135"/>
      <c r="D68" s="17">
        <f>'[2]А-4'!$F$93</f>
        <v>0</v>
      </c>
      <c r="E68" s="218">
        <v>685</v>
      </c>
      <c r="F68" s="219">
        <f t="shared" si="25"/>
        <v>529.07978641248</v>
      </c>
      <c r="G68" s="220">
        <f t="shared" si="26"/>
        <v>339.45759096224714</v>
      </c>
      <c r="H68" s="220">
        <f t="shared" si="27"/>
        <v>189.62219545023282</v>
      </c>
      <c r="I68" s="28">
        <f t="shared" si="8"/>
        <v>0</v>
      </c>
      <c r="J68" s="18">
        <f>'[2]А-4'!G93</f>
        <v>0</v>
      </c>
      <c r="K68" s="28">
        <f>'[2]А-4'!$H$93</f>
        <v>0</v>
      </c>
      <c r="L68" s="28">
        <f>'[2]А-4'!$Q$93</f>
        <v>0</v>
      </c>
      <c r="M68" s="22">
        <f>'[2]А-4'!$AC$93</f>
        <v>0</v>
      </c>
      <c r="N68" s="22">
        <v>0</v>
      </c>
      <c r="O68" s="22">
        <v>0</v>
      </c>
      <c r="P68" s="28">
        <f t="shared" si="2"/>
        <v>0</v>
      </c>
      <c r="Q68" s="28">
        <f t="shared" si="2"/>
        <v>0</v>
      </c>
      <c r="R68" s="23">
        <f t="shared" si="11"/>
        <v>0</v>
      </c>
      <c r="S68" s="23">
        <f t="shared" si="11"/>
        <v>0</v>
      </c>
      <c r="T68" s="16">
        <f t="shared" si="12"/>
        <v>0</v>
      </c>
      <c r="U68" s="26">
        <f t="shared" si="4"/>
        <v>0</v>
      </c>
      <c r="V68" s="9"/>
      <c r="W68" s="26">
        <v>0</v>
      </c>
      <c r="X68" s="53">
        <f t="shared" si="13"/>
        <v>0</v>
      </c>
    </row>
    <row r="69" spans="1:24" ht="12.75">
      <c r="A69" s="30">
        <f t="shared" si="24"/>
        <v>59</v>
      </c>
      <c r="B69" s="35" t="s">
        <v>43</v>
      </c>
      <c r="C69" s="36"/>
      <c r="D69" s="17">
        <f>'[2]А-4'!$F$94</f>
        <v>3</v>
      </c>
      <c r="E69" s="218">
        <v>168</v>
      </c>
      <c r="F69" s="219">
        <f t="shared" si="25"/>
        <v>129.7597140398491</v>
      </c>
      <c r="G69" s="220">
        <f t="shared" si="26"/>
        <v>83.25383252796716</v>
      </c>
      <c r="H69" s="220">
        <f t="shared" si="27"/>
        <v>46.50588151188191</v>
      </c>
      <c r="I69" s="28">
        <f t="shared" si="8"/>
        <v>32.5</v>
      </c>
      <c r="J69" s="18">
        <f>'[2]А-4'!G94</f>
        <v>10.5</v>
      </c>
      <c r="K69" s="28">
        <f>'[2]А-4'!$H$94</f>
        <v>22</v>
      </c>
      <c r="L69" s="28">
        <f>'[2]А-4'!$Q$94</f>
        <v>6</v>
      </c>
      <c r="M69" s="22">
        <f>'[2]А-4'!$AC$94</f>
        <v>11</v>
      </c>
      <c r="N69" s="22">
        <f t="shared" si="9"/>
        <v>5.714285714285714</v>
      </c>
      <c r="O69" s="22">
        <f>ROUND(M69/K69*10,3)</f>
        <v>5</v>
      </c>
      <c r="P69" s="28">
        <f t="shared" si="2"/>
        <v>3.1</v>
      </c>
      <c r="Q69" s="28">
        <f t="shared" si="2"/>
        <v>2.7</v>
      </c>
      <c r="R69" s="23">
        <f t="shared" si="11"/>
        <v>258</v>
      </c>
      <c r="S69" s="23">
        <f t="shared" si="11"/>
        <v>125</v>
      </c>
      <c r="T69" s="16">
        <f t="shared" si="12"/>
        <v>383</v>
      </c>
      <c r="U69" s="26">
        <f>ROUNDDOWN(IF(T69&lt;$O$3,"0",T69*7/100),0)</f>
        <v>26</v>
      </c>
      <c r="V69" s="9"/>
      <c r="W69" s="26">
        <v>26</v>
      </c>
      <c r="X69" s="53">
        <f t="shared" si="13"/>
        <v>2.951609463954129</v>
      </c>
    </row>
    <row r="70" spans="1:24" ht="12.75">
      <c r="A70" s="30">
        <f t="shared" si="24"/>
        <v>60</v>
      </c>
      <c r="B70" s="41" t="s">
        <v>66</v>
      </c>
      <c r="C70" s="42"/>
      <c r="D70" s="17">
        <f>'[2]А-4'!$F$95</f>
        <v>1</v>
      </c>
      <c r="E70" s="218">
        <f>'[4]Норматив и фактически 2009'!$F$87</f>
        <v>160</v>
      </c>
      <c r="F70" s="219">
        <f t="shared" si="25"/>
        <v>123.58068003795152</v>
      </c>
      <c r="G70" s="220">
        <f t="shared" si="26"/>
        <v>79.28936431234969</v>
      </c>
      <c r="H70" s="220">
        <f t="shared" si="27"/>
        <v>44.29131572560183</v>
      </c>
      <c r="I70" s="28">
        <f t="shared" si="8"/>
        <v>10.3</v>
      </c>
      <c r="J70" s="18">
        <f>'[2]А-4'!G95</f>
        <v>0</v>
      </c>
      <c r="K70" s="28">
        <f>'[2]А-4'!$H$95</f>
        <v>10.3</v>
      </c>
      <c r="L70" s="28">
        <f>'[2]А-4'!$Q$95</f>
        <v>0</v>
      </c>
      <c r="M70" s="22">
        <f>'[2]А-4'!$AC$95</f>
        <v>5</v>
      </c>
      <c r="N70" s="22">
        <v>0</v>
      </c>
      <c r="O70" s="22">
        <f>ROUND(M70/K70*10,3)</f>
        <v>4.854</v>
      </c>
      <c r="P70" s="28">
        <f t="shared" si="2"/>
        <v>0</v>
      </c>
      <c r="Q70" s="28">
        <f t="shared" si="2"/>
        <v>2.6</v>
      </c>
      <c r="R70" s="23">
        <f t="shared" si="11"/>
        <v>0</v>
      </c>
      <c r="S70" s="23">
        <f t="shared" si="11"/>
        <v>115</v>
      </c>
      <c r="T70" s="16">
        <f t="shared" si="12"/>
        <v>115</v>
      </c>
      <c r="U70" s="26">
        <f t="shared" si="4"/>
        <v>3</v>
      </c>
      <c r="V70" s="9"/>
      <c r="W70" s="26">
        <v>3</v>
      </c>
      <c r="X70" s="53">
        <f t="shared" si="13"/>
        <v>0.9305661691186972</v>
      </c>
    </row>
    <row r="71" spans="1:24" ht="12.75">
      <c r="A71" s="30">
        <f t="shared" si="24"/>
        <v>61</v>
      </c>
      <c r="B71" s="35" t="s">
        <v>21</v>
      </c>
      <c r="C71" s="40"/>
      <c r="D71" s="17">
        <f>'[2]А-4'!$F$96</f>
        <v>0</v>
      </c>
      <c r="E71" s="218">
        <v>526.4</v>
      </c>
      <c r="F71" s="219">
        <f t="shared" si="25"/>
        <v>406.5804373248605</v>
      </c>
      <c r="G71" s="220">
        <f t="shared" si="26"/>
        <v>260.8620085876305</v>
      </c>
      <c r="H71" s="220">
        <f t="shared" si="27"/>
        <v>145.71842873723</v>
      </c>
      <c r="I71" s="28">
        <f t="shared" si="8"/>
        <v>0</v>
      </c>
      <c r="J71" s="18">
        <f>'[2]А-4'!G96</f>
        <v>0</v>
      </c>
      <c r="K71" s="28">
        <f>'[2]А-4'!$H$96</f>
        <v>0</v>
      </c>
      <c r="L71" s="28">
        <f>'[2]А-4'!$Q$96</f>
        <v>0</v>
      </c>
      <c r="M71" s="22">
        <f>'[2]А-4'!$AC$96</f>
        <v>0</v>
      </c>
      <c r="N71" s="22">
        <v>0</v>
      </c>
      <c r="O71" s="22">
        <v>0</v>
      </c>
      <c r="P71" s="28">
        <f t="shared" si="2"/>
        <v>0</v>
      </c>
      <c r="Q71" s="28">
        <f t="shared" si="2"/>
        <v>0</v>
      </c>
      <c r="R71" s="23">
        <f t="shared" si="11"/>
        <v>0</v>
      </c>
      <c r="S71" s="23">
        <f t="shared" si="11"/>
        <v>0</v>
      </c>
      <c r="T71" s="16">
        <f t="shared" si="12"/>
        <v>0</v>
      </c>
      <c r="U71" s="26">
        <f t="shared" si="4"/>
        <v>0</v>
      </c>
      <c r="V71" s="9"/>
      <c r="W71" s="26">
        <v>0</v>
      </c>
      <c r="X71" s="53">
        <f t="shared" si="13"/>
        <v>0</v>
      </c>
    </row>
    <row r="72" spans="1:24" ht="12.75">
      <c r="A72" s="30">
        <f t="shared" si="24"/>
        <v>62</v>
      </c>
      <c r="B72" s="35" t="s">
        <v>35</v>
      </c>
      <c r="C72" s="36"/>
      <c r="D72" s="17">
        <f>'[2]А-4'!$F$97</f>
        <v>1</v>
      </c>
      <c r="E72" s="218">
        <v>154</v>
      </c>
      <c r="F72" s="219">
        <f t="shared" si="25"/>
        <v>118.94640453652833</v>
      </c>
      <c r="G72" s="220">
        <f t="shared" si="26"/>
        <v>76.31601315063658</v>
      </c>
      <c r="H72" s="220">
        <f t="shared" si="27"/>
        <v>42.630391385891755</v>
      </c>
      <c r="I72" s="28">
        <f t="shared" si="8"/>
        <v>11.8</v>
      </c>
      <c r="J72" s="18">
        <f>'[2]А-4'!G97</f>
        <v>7.8</v>
      </c>
      <c r="K72" s="28">
        <f>'[2]А-4'!$H$97</f>
        <v>4</v>
      </c>
      <c r="L72" s="28">
        <f>'[2]А-4'!$Q$97</f>
        <v>13</v>
      </c>
      <c r="M72" s="22">
        <f>'[2]А-4'!$AC$97</f>
        <v>6</v>
      </c>
      <c r="N72" s="22">
        <f t="shared" si="9"/>
        <v>16.666666666666668</v>
      </c>
      <c r="O72" s="22">
        <f>ROUND(M72/K72*10,3)</f>
        <v>15</v>
      </c>
      <c r="P72" s="28">
        <f aca="true" t="shared" si="28" ref="P72:Q113">ROUND(N72*$M$5,1)</f>
        <v>9</v>
      </c>
      <c r="Q72" s="28">
        <f t="shared" si="28"/>
        <v>8.1</v>
      </c>
      <c r="R72" s="23">
        <f t="shared" si="11"/>
        <v>686</v>
      </c>
      <c r="S72" s="23">
        <f t="shared" si="11"/>
        <v>345</v>
      </c>
      <c r="T72" s="16">
        <f t="shared" si="12"/>
        <v>1031</v>
      </c>
      <c r="U72" s="26">
        <f>ROUNDDOWN(IF(T72&lt;$O$3,"0",T72*12/100),0)</f>
        <v>123</v>
      </c>
      <c r="V72" s="9">
        <v>6</v>
      </c>
      <c r="W72" s="26">
        <v>6</v>
      </c>
      <c r="X72" s="53">
        <f t="shared" si="13"/>
        <v>8.66776935391419</v>
      </c>
    </row>
    <row r="73" spans="1:24" ht="15" customHeight="1">
      <c r="A73" s="30">
        <f t="shared" si="24"/>
        <v>63</v>
      </c>
      <c r="B73" s="46" t="s">
        <v>82</v>
      </c>
      <c r="C73" s="47"/>
      <c r="D73" s="17">
        <f>'[2]А-4'!$F$98</f>
        <v>6</v>
      </c>
      <c r="E73" s="218">
        <v>500.425</v>
      </c>
      <c r="F73" s="219">
        <f t="shared" si="25"/>
        <v>386.51788629994934</v>
      </c>
      <c r="G73" s="220">
        <f t="shared" si="26"/>
        <v>247.98987585004747</v>
      </c>
      <c r="H73" s="220">
        <f t="shared" si="27"/>
        <v>138.52801044990184</v>
      </c>
      <c r="I73" s="28">
        <f t="shared" si="8"/>
        <v>66.1</v>
      </c>
      <c r="J73" s="18">
        <f>'[2]А-4'!G98</f>
        <v>31.099999999999998</v>
      </c>
      <c r="K73" s="28">
        <f>'[2]А-4'!$H$98</f>
        <v>35</v>
      </c>
      <c r="L73" s="28">
        <f>'[2]А-4'!$Q$98</f>
        <v>17</v>
      </c>
      <c r="M73" s="22">
        <f>'[2]А-4'!$AC$98</f>
        <v>16</v>
      </c>
      <c r="N73" s="22">
        <f t="shared" si="9"/>
        <v>5.466237942122187</v>
      </c>
      <c r="O73" s="22">
        <f>ROUND(M73/K73*10,3)</f>
        <v>4.571</v>
      </c>
      <c r="P73" s="28">
        <f t="shared" si="28"/>
        <v>3</v>
      </c>
      <c r="Q73" s="28">
        <f t="shared" si="28"/>
        <v>2.5</v>
      </c>
      <c r="R73" s="23">
        <f t="shared" si="11"/>
        <v>743</v>
      </c>
      <c r="S73" s="23">
        <f t="shared" si="11"/>
        <v>346</v>
      </c>
      <c r="T73" s="16">
        <f t="shared" si="12"/>
        <v>1089</v>
      </c>
      <c r="U73" s="26">
        <f>ROUNDDOWN(IF(T73&lt;$O$3,"0",T73*7/100),0)</f>
        <v>76</v>
      </c>
      <c r="V73" s="9"/>
      <c r="W73" s="26">
        <v>0</v>
      </c>
      <c r="X73" s="53">
        <f t="shared" si="13"/>
        <v>2.817463404927408</v>
      </c>
    </row>
    <row r="74" spans="1:30" ht="30.75" customHeight="1">
      <c r="A74" s="249" t="s">
        <v>107</v>
      </c>
      <c r="B74" s="250"/>
      <c r="C74" s="251"/>
      <c r="D74" s="129">
        <f aca="true" t="shared" si="29" ref="D74:S74">SUM(D75:D87)</f>
        <v>69</v>
      </c>
      <c r="E74" s="125">
        <f t="shared" si="29"/>
        <v>10201.95</v>
      </c>
      <c r="F74" s="125">
        <f t="shared" si="29"/>
        <v>6324.96900117624</v>
      </c>
      <c r="G74" s="125">
        <f t="shared" si="29"/>
        <v>2154.2844418006275</v>
      </c>
      <c r="H74" s="125">
        <f t="shared" si="29"/>
        <v>4170.6845593756125</v>
      </c>
      <c r="I74" s="125">
        <f t="shared" si="29"/>
        <v>883.1999999999999</v>
      </c>
      <c r="J74" s="125">
        <f t="shared" si="29"/>
        <v>676.4300000000001</v>
      </c>
      <c r="K74" s="125">
        <f t="shared" si="29"/>
        <v>206.76999999999998</v>
      </c>
      <c r="L74" s="129">
        <f t="shared" si="29"/>
        <v>160</v>
      </c>
      <c r="M74" s="130">
        <f t="shared" si="29"/>
        <v>37</v>
      </c>
      <c r="N74" s="130">
        <f>ROUND(L74/J74*10,2)</f>
        <v>2.37</v>
      </c>
      <c r="O74" s="130">
        <f>ROUND(M74/K74*10,3)</f>
        <v>1.789</v>
      </c>
      <c r="P74" s="125">
        <f t="shared" si="28"/>
        <v>1.3</v>
      </c>
      <c r="Q74" s="125">
        <f t="shared" si="28"/>
        <v>1</v>
      </c>
      <c r="R74" s="129">
        <f t="shared" si="29"/>
        <v>1855</v>
      </c>
      <c r="S74" s="129">
        <f t="shared" si="29"/>
        <v>1564</v>
      </c>
      <c r="T74" s="129">
        <f>SUM(T75:T87)</f>
        <v>3419</v>
      </c>
      <c r="U74" s="129">
        <f>SUM(U75:U87)</f>
        <v>203</v>
      </c>
      <c r="V74" s="129">
        <f>SUM(V75:V87)</f>
        <v>70</v>
      </c>
      <c r="W74" s="129">
        <f>SUM(W75:W87)</f>
        <v>75</v>
      </c>
      <c r="X74" s="53"/>
      <c r="Y74" s="58">
        <f>6325/10202</f>
        <v>0.619976475200941</v>
      </c>
      <c r="AB74">
        <v>3408</v>
      </c>
      <c r="AD74" s="19">
        <f>AB74-T74</f>
        <v>-11</v>
      </c>
    </row>
    <row r="75" spans="1:24" ht="12.75">
      <c r="A75" s="30">
        <v>69</v>
      </c>
      <c r="B75" s="131" t="s">
        <v>37</v>
      </c>
      <c r="C75" s="132"/>
      <c r="D75" s="17">
        <f>'[2]А-4'!$F$113</f>
        <v>0</v>
      </c>
      <c r="E75" s="218">
        <f>'[5]Норматив и фактически 2011'!$F$100</f>
        <v>215</v>
      </c>
      <c r="F75" s="219">
        <f>E75*$Y$74</f>
        <v>133.2949421682023</v>
      </c>
      <c r="G75" s="220">
        <f>F75*0.3406</f>
        <v>45.400257302489706</v>
      </c>
      <c r="H75" s="220">
        <f>F75*0.6594</f>
        <v>87.8946848657126</v>
      </c>
      <c r="I75" s="28">
        <f t="shared" si="8"/>
        <v>0</v>
      </c>
      <c r="J75" s="18">
        <f>'[2]А-4'!G113</f>
        <v>0</v>
      </c>
      <c r="K75" s="28">
        <f>'[2]А-4'!$H$113</f>
        <v>0</v>
      </c>
      <c r="L75" s="28">
        <f>'[2]А-4'!$Q$113</f>
        <v>0</v>
      </c>
      <c r="M75" s="22">
        <f>'[2]А-4'!$AC$113</f>
        <v>0</v>
      </c>
      <c r="N75" s="22">
        <v>0</v>
      </c>
      <c r="O75" s="22">
        <v>0</v>
      </c>
      <c r="P75" s="28">
        <f t="shared" si="28"/>
        <v>0</v>
      </c>
      <c r="Q75" s="28">
        <f t="shared" si="28"/>
        <v>0</v>
      </c>
      <c r="R75" s="23">
        <f t="shared" si="11"/>
        <v>0</v>
      </c>
      <c r="S75" s="23">
        <f t="shared" si="11"/>
        <v>0</v>
      </c>
      <c r="T75" s="16">
        <f t="shared" si="12"/>
        <v>0</v>
      </c>
      <c r="U75" s="26">
        <f>ROUNDDOWN(IF(T75&lt;$O$3,"0",T75*3/100),0)</f>
        <v>0</v>
      </c>
      <c r="V75" s="9"/>
      <c r="W75" s="26">
        <f aca="true" t="shared" si="30" ref="W75:W91">IF(V75&lt;=U75,V75,U75)</f>
        <v>0</v>
      </c>
      <c r="X75" s="53">
        <f aca="true" t="shared" si="31" ref="X75:X113">T75/F75</f>
        <v>0</v>
      </c>
    </row>
    <row r="76" spans="1:24" ht="12.75">
      <c r="A76" s="30">
        <v>70</v>
      </c>
      <c r="B76" s="265" t="s">
        <v>88</v>
      </c>
      <c r="C76" s="266"/>
      <c r="D76" s="17">
        <f>'[2]А-4'!$F$114</f>
        <v>10</v>
      </c>
      <c r="E76" s="218">
        <v>917.285</v>
      </c>
      <c r="F76" s="219">
        <f aca="true" t="shared" si="32" ref="F76:F87">E76*$Y$74</f>
        <v>568.6951210546952</v>
      </c>
      <c r="G76" s="220">
        <f aca="true" t="shared" si="33" ref="G76:G87">F76*0.3406</f>
        <v>193.69755823122918</v>
      </c>
      <c r="H76" s="220">
        <f aca="true" t="shared" si="34" ref="H76:H87">F76*0.6594</f>
        <v>374.99756282346596</v>
      </c>
      <c r="I76" s="28">
        <f t="shared" si="8"/>
        <v>100</v>
      </c>
      <c r="J76" s="18">
        <f>'[2]А-4'!G114</f>
        <v>75.5</v>
      </c>
      <c r="K76" s="28">
        <f>'[2]А-4'!$H$114</f>
        <v>24.5</v>
      </c>
      <c r="L76" s="22">
        <f>'[2]А-4'!$Q$114</f>
        <v>19</v>
      </c>
      <c r="M76" s="22">
        <f>'[2]А-4'!$AC$114</f>
        <v>7</v>
      </c>
      <c r="N76" s="22">
        <f t="shared" si="9"/>
        <v>2.5165562913907285</v>
      </c>
      <c r="O76" s="22">
        <f aca="true" t="shared" si="35" ref="O76:O104">ROUND(M76/K76*10,3)</f>
        <v>2.857</v>
      </c>
      <c r="P76" s="28">
        <f t="shared" si="28"/>
        <v>1.4</v>
      </c>
      <c r="Q76" s="28">
        <f t="shared" si="28"/>
        <v>1.5</v>
      </c>
      <c r="R76" s="23">
        <f t="shared" si="11"/>
        <v>271</v>
      </c>
      <c r="S76" s="23">
        <f t="shared" si="11"/>
        <v>562</v>
      </c>
      <c r="T76" s="16">
        <f t="shared" si="12"/>
        <v>833</v>
      </c>
      <c r="U76" s="26">
        <f>ROUNDDOWN(IF(T76&lt;$O$3,"0",T76*5/100),0)</f>
        <v>41</v>
      </c>
      <c r="V76" s="9">
        <v>28</v>
      </c>
      <c r="W76" s="26">
        <f t="shared" si="30"/>
        <v>28</v>
      </c>
      <c r="X76" s="53">
        <f t="shared" si="31"/>
        <v>1.4647567196552138</v>
      </c>
    </row>
    <row r="77" spans="1:24" ht="12.75">
      <c r="A77" s="30">
        <v>71</v>
      </c>
      <c r="B77" s="10" t="s">
        <v>86</v>
      </c>
      <c r="C77" s="10"/>
      <c r="D77" s="17">
        <f>'[2]А-4'!$F$115</f>
        <v>4</v>
      </c>
      <c r="E77" s="218">
        <f>'[4]Норматив и фактически 2009'!$F$96</f>
        <v>307</v>
      </c>
      <c r="F77" s="219">
        <f t="shared" si="32"/>
        <v>190.3327778866889</v>
      </c>
      <c r="G77" s="220">
        <f t="shared" si="33"/>
        <v>64.82734414820624</v>
      </c>
      <c r="H77" s="220">
        <f t="shared" si="34"/>
        <v>125.50543373848265</v>
      </c>
      <c r="I77" s="28">
        <f aca="true" t="shared" si="36" ref="I77:I112">J77+K77</f>
        <v>47.699999999999996</v>
      </c>
      <c r="J77" s="18">
        <f>'[2]А-4'!G115</f>
        <v>44.599999999999994</v>
      </c>
      <c r="K77" s="28">
        <f>'[2]А-4'!$H$115</f>
        <v>3.0999999999999996</v>
      </c>
      <c r="L77" s="22">
        <f>'[2]А-4'!$Q$115</f>
        <v>5</v>
      </c>
      <c r="M77" s="22">
        <f>'[2]А-4'!$AC$115</f>
        <v>0</v>
      </c>
      <c r="N77" s="22">
        <f>L77*10/J77</f>
        <v>1.1210762331838566</v>
      </c>
      <c r="O77" s="22">
        <f t="shared" si="35"/>
        <v>0</v>
      </c>
      <c r="P77" s="28">
        <f t="shared" si="28"/>
        <v>0.6</v>
      </c>
      <c r="Q77" s="28">
        <f t="shared" si="28"/>
        <v>0</v>
      </c>
      <c r="R77" s="23">
        <f aca="true" t="shared" si="37" ref="R77:S112">ROUNDDOWN((P77*G77),0)</f>
        <v>38</v>
      </c>
      <c r="S77" s="23">
        <f t="shared" si="37"/>
        <v>0</v>
      </c>
      <c r="T77" s="16">
        <f aca="true" t="shared" si="38" ref="T77:T112">R77+S77</f>
        <v>38</v>
      </c>
      <c r="U77" s="26">
        <f>ROUNDDOWN(IF(T77&lt;$O$3,"0",T77*3/100),0)</f>
        <v>1</v>
      </c>
      <c r="V77" s="9">
        <v>3</v>
      </c>
      <c r="W77" s="26">
        <f t="shared" si="30"/>
        <v>1</v>
      </c>
      <c r="X77" s="53">
        <f t="shared" si="31"/>
        <v>0.19965031993923085</v>
      </c>
    </row>
    <row r="78" spans="1:24" ht="12.75">
      <c r="A78" s="30">
        <v>72</v>
      </c>
      <c r="B78" s="10" t="s">
        <v>85</v>
      </c>
      <c r="C78" s="10"/>
      <c r="D78" s="17">
        <f>'[2]А-4'!$F$116</f>
        <v>2</v>
      </c>
      <c r="E78" s="218">
        <f>'[4]Норматив и фактически 2009'!$F$97</f>
        <v>177</v>
      </c>
      <c r="F78" s="219">
        <f t="shared" si="32"/>
        <v>109.73583611056655</v>
      </c>
      <c r="G78" s="220">
        <f t="shared" si="33"/>
        <v>37.37602577925897</v>
      </c>
      <c r="H78" s="220">
        <f t="shared" si="34"/>
        <v>72.35981033130759</v>
      </c>
      <c r="I78" s="28">
        <f t="shared" si="36"/>
        <v>25.599999999999998</v>
      </c>
      <c r="J78" s="18">
        <f>'[2]А-4'!G116</f>
        <v>23.9</v>
      </c>
      <c r="K78" s="28">
        <f>'[2]А-4'!$H$116</f>
        <v>1.7</v>
      </c>
      <c r="L78" s="22">
        <f>'[2]А-4'!$Q$116</f>
        <v>1</v>
      </c>
      <c r="M78" s="22">
        <f>'[2]А-4'!$AC$116</f>
        <v>0</v>
      </c>
      <c r="N78" s="22">
        <f>L78*10/J78</f>
        <v>0.4184100418410042</v>
      </c>
      <c r="O78" s="22">
        <f t="shared" si="35"/>
        <v>0</v>
      </c>
      <c r="P78" s="28">
        <f t="shared" si="28"/>
        <v>0.2</v>
      </c>
      <c r="Q78" s="28">
        <f t="shared" si="28"/>
        <v>0</v>
      </c>
      <c r="R78" s="23">
        <f t="shared" si="37"/>
        <v>7</v>
      </c>
      <c r="S78" s="23">
        <f t="shared" si="37"/>
        <v>0</v>
      </c>
      <c r="T78" s="16">
        <f t="shared" si="38"/>
        <v>7</v>
      </c>
      <c r="U78" s="26">
        <f aca="true" t="shared" si="39" ref="U78:U112">ROUNDDOWN(IF(T78&lt;$O$3,"0",T78*3/100),0)</f>
        <v>0</v>
      </c>
      <c r="V78" s="9">
        <v>1</v>
      </c>
      <c r="W78" s="26">
        <f t="shared" si="30"/>
        <v>0</v>
      </c>
      <c r="X78" s="53">
        <f t="shared" si="31"/>
        <v>0.06378955360532369</v>
      </c>
    </row>
    <row r="79" spans="1:24" ht="16.5" customHeight="1">
      <c r="A79" s="14">
        <v>74</v>
      </c>
      <c r="B79" s="12" t="s">
        <v>60</v>
      </c>
      <c r="C79" s="9"/>
      <c r="D79" s="17">
        <f>'[2]А-4'!$F$117</f>
        <v>7</v>
      </c>
      <c r="E79" s="218">
        <v>345</v>
      </c>
      <c r="F79" s="219">
        <f t="shared" si="32"/>
        <v>213.89188394432466</v>
      </c>
      <c r="G79" s="220">
        <f t="shared" si="33"/>
        <v>72.85157567143698</v>
      </c>
      <c r="H79" s="220">
        <f t="shared" si="34"/>
        <v>141.04030827288767</v>
      </c>
      <c r="I79" s="28">
        <f t="shared" si="36"/>
        <v>79.5</v>
      </c>
      <c r="J79" s="18">
        <f>'[2]А-4'!G117</f>
        <v>57.4</v>
      </c>
      <c r="K79" s="28">
        <f>'[2]А-4'!$H$117</f>
        <v>22.099999999999998</v>
      </c>
      <c r="L79" s="22">
        <f>'[2]А-4'!$Q$117</f>
        <v>50</v>
      </c>
      <c r="M79" s="22">
        <f>'[2]А-4'!$AC$117</f>
        <v>10</v>
      </c>
      <c r="N79" s="22">
        <f>L79*10/J79</f>
        <v>8.710801393728223</v>
      </c>
      <c r="O79" s="22">
        <f t="shared" si="35"/>
        <v>4.525</v>
      </c>
      <c r="P79" s="28">
        <f t="shared" si="28"/>
        <v>4.7</v>
      </c>
      <c r="Q79" s="28">
        <f t="shared" si="28"/>
        <v>2.4</v>
      </c>
      <c r="R79" s="23">
        <f t="shared" si="37"/>
        <v>342</v>
      </c>
      <c r="S79" s="23">
        <f t="shared" si="37"/>
        <v>338</v>
      </c>
      <c r="T79" s="16">
        <f t="shared" si="38"/>
        <v>680</v>
      </c>
      <c r="U79" s="26">
        <f>ROUNDDOWN(IF(T79&lt;$O$3,"0",T79*7/100),0)</f>
        <v>47</v>
      </c>
      <c r="V79" s="9">
        <v>12</v>
      </c>
      <c r="W79" s="26">
        <f t="shared" si="30"/>
        <v>12</v>
      </c>
      <c r="X79" s="53">
        <f t="shared" si="31"/>
        <v>3.1791762616715356</v>
      </c>
    </row>
    <row r="80" spans="1:24" ht="15.75" customHeight="1">
      <c r="A80" s="30">
        <v>75</v>
      </c>
      <c r="B80" s="11" t="s">
        <v>61</v>
      </c>
      <c r="C80" s="7"/>
      <c r="D80" s="17">
        <f>'[2]А-4'!$F$118</f>
        <v>7</v>
      </c>
      <c r="E80" s="28">
        <v>263</v>
      </c>
      <c r="F80" s="219">
        <f t="shared" si="32"/>
        <v>163.05381297784749</v>
      </c>
      <c r="G80" s="220">
        <f t="shared" si="33"/>
        <v>55.53612870025486</v>
      </c>
      <c r="H80" s="220">
        <f t="shared" si="34"/>
        <v>107.51768427759264</v>
      </c>
      <c r="I80" s="28">
        <f t="shared" si="36"/>
        <v>72.5</v>
      </c>
      <c r="J80" s="18">
        <f>'[2]А-4'!G118</f>
        <v>53.2</v>
      </c>
      <c r="K80" s="28">
        <f>'[2]А-4'!$H$118</f>
        <v>19.299999999999997</v>
      </c>
      <c r="L80" s="22">
        <f>'[2]А-4'!$Q$118</f>
        <v>52</v>
      </c>
      <c r="M80" s="22">
        <f>'[2]А-4'!$AC$118</f>
        <v>17</v>
      </c>
      <c r="N80" s="22">
        <f>L80*10/J80</f>
        <v>9.774436090225564</v>
      </c>
      <c r="O80" s="22">
        <f t="shared" si="35"/>
        <v>8.808</v>
      </c>
      <c r="P80" s="28">
        <f t="shared" si="28"/>
        <v>5.3</v>
      </c>
      <c r="Q80" s="28">
        <f t="shared" si="28"/>
        <v>4.8</v>
      </c>
      <c r="R80" s="23">
        <f t="shared" si="37"/>
        <v>294</v>
      </c>
      <c r="S80" s="23">
        <f t="shared" si="37"/>
        <v>516</v>
      </c>
      <c r="T80" s="16">
        <f t="shared" si="38"/>
        <v>810</v>
      </c>
      <c r="U80" s="26">
        <f>ROUNDDOWN(IF(T80&lt;$O$3,"0",T80*8/100),0)</f>
        <v>64</v>
      </c>
      <c r="V80" s="9">
        <v>12</v>
      </c>
      <c r="W80" s="26">
        <f t="shared" si="30"/>
        <v>12</v>
      </c>
      <c r="X80" s="53">
        <f t="shared" si="31"/>
        <v>4.9676851169990535</v>
      </c>
    </row>
    <row r="81" spans="1:24" ht="12.75">
      <c r="A81" s="30">
        <v>76</v>
      </c>
      <c r="B81" s="131" t="s">
        <v>45</v>
      </c>
      <c r="C81" s="132"/>
      <c r="D81" s="17">
        <f>'[2]А-4'!$F$119</f>
        <v>0</v>
      </c>
      <c r="E81" s="218">
        <v>76</v>
      </c>
      <c r="F81" s="219">
        <f t="shared" si="32"/>
        <v>47.11821211527152</v>
      </c>
      <c r="G81" s="220">
        <f t="shared" si="33"/>
        <v>16.048463046461478</v>
      </c>
      <c r="H81" s="220">
        <f t="shared" si="34"/>
        <v>31.06974906881004</v>
      </c>
      <c r="I81" s="28">
        <f t="shared" si="36"/>
        <v>0</v>
      </c>
      <c r="J81" s="18">
        <f>'[2]А-4'!G119</f>
        <v>0</v>
      </c>
      <c r="K81" s="28">
        <f>'[2]А-4'!$H$119</f>
        <v>0</v>
      </c>
      <c r="L81" s="22">
        <f>'[2]А-4'!$Q$119</f>
        <v>0</v>
      </c>
      <c r="M81" s="22">
        <f>'[2]А-4'!$AC$119</f>
        <v>0</v>
      </c>
      <c r="N81" s="22">
        <v>0</v>
      </c>
      <c r="O81" s="22">
        <v>0</v>
      </c>
      <c r="P81" s="28">
        <f t="shared" si="28"/>
        <v>0</v>
      </c>
      <c r="Q81" s="28">
        <f t="shared" si="28"/>
        <v>0</v>
      </c>
      <c r="R81" s="23">
        <f t="shared" si="37"/>
        <v>0</v>
      </c>
      <c r="S81" s="23">
        <f t="shared" si="37"/>
        <v>0</v>
      </c>
      <c r="T81" s="16">
        <f t="shared" si="38"/>
        <v>0</v>
      </c>
      <c r="U81" s="26">
        <f t="shared" si="39"/>
        <v>0</v>
      </c>
      <c r="V81" s="9"/>
      <c r="W81" s="26">
        <f t="shared" si="30"/>
        <v>0</v>
      </c>
      <c r="X81" s="53">
        <f t="shared" si="31"/>
        <v>0</v>
      </c>
    </row>
    <row r="82" spans="1:24" ht="12.75">
      <c r="A82" s="30"/>
      <c r="B82" s="131" t="s">
        <v>52</v>
      </c>
      <c r="C82" s="132"/>
      <c r="D82" s="17">
        <f>'[2]А-4'!$F$120</f>
        <v>0</v>
      </c>
      <c r="E82" s="218">
        <v>243</v>
      </c>
      <c r="F82" s="219">
        <f t="shared" si="32"/>
        <v>150.65428347382866</v>
      </c>
      <c r="G82" s="220">
        <f t="shared" si="33"/>
        <v>51.31284895118604</v>
      </c>
      <c r="H82" s="220">
        <f t="shared" si="34"/>
        <v>99.34143452264261</v>
      </c>
      <c r="I82" s="28">
        <f t="shared" si="36"/>
        <v>0</v>
      </c>
      <c r="J82" s="18">
        <f>'[2]А-4'!G120</f>
        <v>0</v>
      </c>
      <c r="K82" s="28">
        <f>'[2]А-4'!$H$120</f>
        <v>0</v>
      </c>
      <c r="L82" s="22">
        <f>'[2]А-4'!$Q$120</f>
        <v>0</v>
      </c>
      <c r="M82" s="22">
        <f>'[2]А-4'!$AC$120</f>
        <v>0</v>
      </c>
      <c r="N82" s="22">
        <v>0</v>
      </c>
      <c r="O82" s="22">
        <v>0</v>
      </c>
      <c r="P82" s="28">
        <f t="shared" si="28"/>
        <v>0</v>
      </c>
      <c r="Q82" s="28">
        <f t="shared" si="28"/>
        <v>0</v>
      </c>
      <c r="R82" s="23">
        <f t="shared" si="37"/>
        <v>0</v>
      </c>
      <c r="S82" s="23">
        <f t="shared" si="37"/>
        <v>0</v>
      </c>
      <c r="T82" s="16">
        <f t="shared" si="38"/>
        <v>0</v>
      </c>
      <c r="U82" s="26">
        <f t="shared" si="39"/>
        <v>0</v>
      </c>
      <c r="V82" s="9">
        <v>3</v>
      </c>
      <c r="W82" s="26">
        <f t="shared" si="30"/>
        <v>0</v>
      </c>
      <c r="X82" s="53">
        <f t="shared" si="31"/>
        <v>0</v>
      </c>
    </row>
    <row r="83" spans="1:24" ht="12.75">
      <c r="A83" s="30"/>
      <c r="B83" s="44" t="s">
        <v>22</v>
      </c>
      <c r="C83" s="45"/>
      <c r="D83" s="17">
        <f>'[2]А-4'!$F$121</f>
        <v>4</v>
      </c>
      <c r="E83" s="218">
        <v>350</v>
      </c>
      <c r="F83" s="219">
        <f t="shared" si="32"/>
        <v>216.99176632032936</v>
      </c>
      <c r="G83" s="220">
        <f t="shared" si="33"/>
        <v>73.90739560870418</v>
      </c>
      <c r="H83" s="220">
        <f t="shared" si="34"/>
        <v>143.08437071162518</v>
      </c>
      <c r="I83" s="28">
        <f t="shared" si="36"/>
        <v>42.43</v>
      </c>
      <c r="J83" s="18">
        <f>'[2]А-4'!G121</f>
        <v>0</v>
      </c>
      <c r="K83" s="28">
        <f>'[2]А-4'!$H$121</f>
        <v>42.43</v>
      </c>
      <c r="L83" s="22">
        <f>'[2]А-4'!$Q$121</f>
        <v>0</v>
      </c>
      <c r="M83" s="22">
        <f>'[2]А-4'!$AC$121</f>
        <v>0</v>
      </c>
      <c r="N83" s="22">
        <v>0</v>
      </c>
      <c r="O83" s="22">
        <f t="shared" si="35"/>
        <v>0</v>
      </c>
      <c r="P83" s="28">
        <f t="shared" si="28"/>
        <v>0</v>
      </c>
      <c r="Q83" s="28">
        <f t="shared" si="28"/>
        <v>0</v>
      </c>
      <c r="R83" s="23">
        <f t="shared" si="37"/>
        <v>0</v>
      </c>
      <c r="S83" s="23">
        <f t="shared" si="37"/>
        <v>0</v>
      </c>
      <c r="T83" s="16">
        <f t="shared" si="38"/>
        <v>0</v>
      </c>
      <c r="U83" s="26">
        <f t="shared" si="39"/>
        <v>0</v>
      </c>
      <c r="V83" s="9"/>
      <c r="W83" s="26">
        <f t="shared" si="30"/>
        <v>0</v>
      </c>
      <c r="X83" s="53">
        <f t="shared" si="31"/>
        <v>0</v>
      </c>
    </row>
    <row r="84" spans="1:24" ht="12.75">
      <c r="A84" s="30"/>
      <c r="B84" s="8" t="s">
        <v>33</v>
      </c>
      <c r="C84" s="9"/>
      <c r="D84" s="17">
        <f>'[2]А-4'!$F$122</f>
        <v>34</v>
      </c>
      <c r="E84" s="218">
        <v>6563</v>
      </c>
      <c r="F84" s="219">
        <f t="shared" si="32"/>
        <v>4068.905606743776</v>
      </c>
      <c r="G84" s="220">
        <f t="shared" si="33"/>
        <v>1385.8692496569302</v>
      </c>
      <c r="H84" s="220">
        <f t="shared" si="34"/>
        <v>2683.036357086846</v>
      </c>
      <c r="I84" s="28">
        <f t="shared" si="36"/>
        <v>503.29999999999995</v>
      </c>
      <c r="J84" s="18">
        <f>'[2]А-4'!G122</f>
        <v>419.59999999999997</v>
      </c>
      <c r="K84" s="28">
        <f>'[2]А-4'!$H$122</f>
        <v>83.7</v>
      </c>
      <c r="L84" s="22">
        <f>'[2]А-4'!$Q$122</f>
        <v>30</v>
      </c>
      <c r="M84" s="22">
        <f>'[2]А-4'!$AC$122</f>
        <v>0</v>
      </c>
      <c r="N84" s="22">
        <f>L84*10/J84</f>
        <v>0.7149666348903718</v>
      </c>
      <c r="O84" s="22">
        <f t="shared" si="35"/>
        <v>0</v>
      </c>
      <c r="P84" s="28">
        <f t="shared" si="28"/>
        <v>0.4</v>
      </c>
      <c r="Q84" s="28">
        <f t="shared" si="28"/>
        <v>0</v>
      </c>
      <c r="R84" s="23">
        <f t="shared" si="37"/>
        <v>554</v>
      </c>
      <c r="S84" s="23">
        <f t="shared" si="37"/>
        <v>0</v>
      </c>
      <c r="T84" s="16">
        <f t="shared" si="38"/>
        <v>554</v>
      </c>
      <c r="U84" s="26">
        <f t="shared" si="39"/>
        <v>16</v>
      </c>
      <c r="V84" s="9"/>
      <c r="W84" s="24">
        <f>U84</f>
        <v>16</v>
      </c>
      <c r="X84" s="53">
        <f t="shared" si="31"/>
        <v>0.13615454708062144</v>
      </c>
    </row>
    <row r="85" spans="1:24" ht="12.75">
      <c r="A85" s="30"/>
      <c r="B85" s="138" t="s">
        <v>87</v>
      </c>
      <c r="C85" s="139"/>
      <c r="D85" s="17">
        <f>'[2]А-4'!$F$123</f>
        <v>0</v>
      </c>
      <c r="E85" s="218">
        <v>255.665</v>
      </c>
      <c r="F85" s="219">
        <f t="shared" si="32"/>
        <v>158.50628553224857</v>
      </c>
      <c r="G85" s="220">
        <f t="shared" si="33"/>
        <v>53.98724085228387</v>
      </c>
      <c r="H85" s="220">
        <f t="shared" si="34"/>
        <v>104.51904467996471</v>
      </c>
      <c r="I85" s="28">
        <f t="shared" si="36"/>
        <v>0</v>
      </c>
      <c r="J85" s="18">
        <f>'[2]А-4'!G123</f>
        <v>0</v>
      </c>
      <c r="K85" s="28">
        <f>'[2]А-4'!$H$123</f>
        <v>0</v>
      </c>
      <c r="L85" s="22">
        <f>'[2]А-4'!$Q$123</f>
        <v>0</v>
      </c>
      <c r="M85" s="22">
        <f>'[2]А-4'!$AC$123</f>
        <v>0</v>
      </c>
      <c r="N85" s="22">
        <v>0</v>
      </c>
      <c r="O85" s="22">
        <v>0</v>
      </c>
      <c r="P85" s="28">
        <f t="shared" si="28"/>
        <v>0</v>
      </c>
      <c r="Q85" s="28">
        <f t="shared" si="28"/>
        <v>0</v>
      </c>
      <c r="R85" s="23">
        <f t="shared" si="37"/>
        <v>0</v>
      </c>
      <c r="S85" s="23">
        <f t="shared" si="37"/>
        <v>0</v>
      </c>
      <c r="T85" s="16">
        <f t="shared" si="38"/>
        <v>0</v>
      </c>
      <c r="U85" s="26">
        <f t="shared" si="39"/>
        <v>0</v>
      </c>
      <c r="V85" s="9"/>
      <c r="W85" s="26">
        <f t="shared" si="30"/>
        <v>0</v>
      </c>
      <c r="X85" s="53">
        <f t="shared" si="31"/>
        <v>0</v>
      </c>
    </row>
    <row r="86" spans="1:24" ht="12.75">
      <c r="A86" s="14">
        <v>78</v>
      </c>
      <c r="B86" s="8" t="s">
        <v>49</v>
      </c>
      <c r="C86" s="9"/>
      <c r="D86" s="17">
        <f>'[2]А-4'!$F$124</f>
        <v>1</v>
      </c>
      <c r="E86" s="218">
        <v>227</v>
      </c>
      <c r="F86" s="219">
        <f t="shared" si="32"/>
        <v>140.7346598706136</v>
      </c>
      <c r="G86" s="220">
        <f t="shared" si="33"/>
        <v>47.934225151930995</v>
      </c>
      <c r="H86" s="220">
        <f t="shared" si="34"/>
        <v>92.80043471868261</v>
      </c>
      <c r="I86" s="28">
        <f t="shared" si="36"/>
        <v>12.17</v>
      </c>
      <c r="J86" s="28">
        <f>'[2]А-4'!G124</f>
        <v>2.23</v>
      </c>
      <c r="K86" s="28">
        <f>'[2]А-4'!$H$124</f>
        <v>9.94</v>
      </c>
      <c r="L86" s="22">
        <f>'[2]А-4'!$Q$124</f>
        <v>3</v>
      </c>
      <c r="M86" s="22">
        <f>'[2]А-4'!$AC$124</f>
        <v>3</v>
      </c>
      <c r="N86" s="22">
        <f>L86*10/J86</f>
        <v>13.452914798206278</v>
      </c>
      <c r="O86" s="22">
        <f t="shared" si="35"/>
        <v>3.018</v>
      </c>
      <c r="P86" s="28">
        <f t="shared" si="28"/>
        <v>7.3</v>
      </c>
      <c r="Q86" s="28">
        <f t="shared" si="28"/>
        <v>1.6</v>
      </c>
      <c r="R86" s="23">
        <f t="shared" si="37"/>
        <v>349</v>
      </c>
      <c r="S86" s="23">
        <f t="shared" si="37"/>
        <v>148</v>
      </c>
      <c r="T86" s="16">
        <f t="shared" si="38"/>
        <v>497</v>
      </c>
      <c r="U86" s="26">
        <f>ROUNDDOWN(IF(T86&lt;$O$3,"0",T86*7/100),0)</f>
        <v>34</v>
      </c>
      <c r="V86" s="9">
        <v>6</v>
      </c>
      <c r="W86" s="26">
        <f t="shared" si="30"/>
        <v>6</v>
      </c>
      <c r="X86" s="53">
        <f t="shared" si="31"/>
        <v>3.531468370740541</v>
      </c>
    </row>
    <row r="87" spans="1:24" ht="12.75">
      <c r="A87" s="14">
        <v>79</v>
      </c>
      <c r="B87" s="13" t="s">
        <v>124</v>
      </c>
      <c r="C87" s="7"/>
      <c r="D87" s="17">
        <f>'[2]А-4'!$F$125</f>
        <v>0</v>
      </c>
      <c r="E87" s="218">
        <v>263</v>
      </c>
      <c r="F87" s="219">
        <f t="shared" si="32"/>
        <v>163.05381297784749</v>
      </c>
      <c r="G87" s="220">
        <f t="shared" si="33"/>
        <v>55.53612870025486</v>
      </c>
      <c r="H87" s="220">
        <f t="shared" si="34"/>
        <v>107.51768427759264</v>
      </c>
      <c r="I87" s="28">
        <f t="shared" si="36"/>
        <v>0</v>
      </c>
      <c r="J87" s="18">
        <f>'[2]А-4'!G125</f>
        <v>0</v>
      </c>
      <c r="K87" s="28">
        <f>'[2]А-4'!$H$125</f>
        <v>0</v>
      </c>
      <c r="L87" s="22">
        <f>'[2]А-4'!$Q$125</f>
        <v>0</v>
      </c>
      <c r="M87" s="22">
        <f>'[2]А-4'!$AC$125</f>
        <v>0</v>
      </c>
      <c r="N87" s="22">
        <v>0</v>
      </c>
      <c r="O87" s="22">
        <v>0</v>
      </c>
      <c r="P87" s="28">
        <f t="shared" si="28"/>
        <v>0</v>
      </c>
      <c r="Q87" s="28">
        <f t="shared" si="28"/>
        <v>0</v>
      </c>
      <c r="R87" s="23">
        <f t="shared" si="37"/>
        <v>0</v>
      </c>
      <c r="S87" s="23">
        <f t="shared" si="37"/>
        <v>0</v>
      </c>
      <c r="T87" s="16">
        <f t="shared" si="38"/>
        <v>0</v>
      </c>
      <c r="U87" s="26">
        <f t="shared" si="39"/>
        <v>0</v>
      </c>
      <c r="V87" s="9">
        <v>5</v>
      </c>
      <c r="W87" s="26">
        <f t="shared" si="30"/>
        <v>0</v>
      </c>
      <c r="X87" s="53">
        <f t="shared" si="31"/>
        <v>0</v>
      </c>
    </row>
    <row r="88" spans="1:30" ht="24.75" customHeight="1">
      <c r="A88" s="252" t="s">
        <v>108</v>
      </c>
      <c r="B88" s="253"/>
      <c r="C88" s="254"/>
      <c r="D88" s="140">
        <f>SUM(D89:D92)</f>
        <v>56</v>
      </c>
      <c r="E88" s="217">
        <f>SUM(E89:E92)</f>
        <v>4676</v>
      </c>
      <c r="F88" s="217">
        <f>SUM(F89:F92)</f>
        <v>2947</v>
      </c>
      <c r="G88" s="217">
        <f aca="true" t="shared" si="40" ref="G88:M88">SUM(G89:G92)</f>
        <v>1757.0013999999999</v>
      </c>
      <c r="H88" s="217">
        <f t="shared" si="40"/>
        <v>1189.9986</v>
      </c>
      <c r="I88" s="217">
        <f t="shared" si="40"/>
        <v>593.6999999999999</v>
      </c>
      <c r="J88" s="217">
        <f t="shared" si="40"/>
        <v>534.34</v>
      </c>
      <c r="K88" s="217">
        <f t="shared" si="40"/>
        <v>59.36</v>
      </c>
      <c r="L88" s="141">
        <f t="shared" si="40"/>
        <v>74</v>
      </c>
      <c r="M88" s="141">
        <f t="shared" si="40"/>
        <v>4</v>
      </c>
      <c r="N88" s="130">
        <f>ROUND(L88/J88*10,2)</f>
        <v>1.38</v>
      </c>
      <c r="O88" s="130">
        <f>ROUND(M88/K88*10,2)</f>
        <v>0.67</v>
      </c>
      <c r="P88" s="125">
        <f t="shared" si="28"/>
        <v>0.7</v>
      </c>
      <c r="Q88" s="130">
        <f>ROUND(O88*$M$5,2)</f>
        <v>0.36</v>
      </c>
      <c r="R88" s="140">
        <f aca="true" t="shared" si="41" ref="R88:W88">SUM(R89:R92)</f>
        <v>1467</v>
      </c>
      <c r="S88" s="140">
        <f t="shared" si="41"/>
        <v>165</v>
      </c>
      <c r="T88" s="142">
        <f t="shared" si="41"/>
        <v>1632</v>
      </c>
      <c r="U88" s="142">
        <f t="shared" si="41"/>
        <v>48</v>
      </c>
      <c r="V88" s="142">
        <f t="shared" si="41"/>
        <v>19</v>
      </c>
      <c r="W88" s="142">
        <f t="shared" si="41"/>
        <v>42</v>
      </c>
      <c r="X88" s="53">
        <f t="shared" si="31"/>
        <v>0.5537835086528673</v>
      </c>
      <c r="Y88">
        <f>2947/E88</f>
        <v>0.6302395209580839</v>
      </c>
      <c r="AB88">
        <v>1570</v>
      </c>
      <c r="AD88" s="19">
        <f>AB88-T88</f>
        <v>-62</v>
      </c>
    </row>
    <row r="89" spans="1:24" ht="12.75">
      <c r="A89" s="30">
        <v>80</v>
      </c>
      <c r="B89" s="8" t="s">
        <v>23</v>
      </c>
      <c r="C89" s="9"/>
      <c r="D89" s="17">
        <f>'[2]А-4'!$F$135</f>
        <v>40</v>
      </c>
      <c r="E89" s="218">
        <f>'[5]Норматив и фактически 2011'!$F$116</f>
        <v>2465</v>
      </c>
      <c r="F89" s="219">
        <f>E89*$Y$88</f>
        <v>1553.5404191616767</v>
      </c>
      <c r="G89" s="220">
        <f>F89*0.5962</f>
        <v>926.2207979041916</v>
      </c>
      <c r="H89" s="220">
        <f>F89*0.4038</f>
        <v>627.3196212574851</v>
      </c>
      <c r="I89" s="28">
        <f t="shared" si="36"/>
        <v>414.48999999999995</v>
      </c>
      <c r="J89" s="28">
        <f>'[2]А-4'!G135</f>
        <v>414.48999999999995</v>
      </c>
      <c r="K89" s="28">
        <f>'[2]А-4'!$H$135</f>
        <v>0</v>
      </c>
      <c r="L89" s="22">
        <f>'[2]А-4'!$Q$135</f>
        <v>37</v>
      </c>
      <c r="M89" s="22">
        <f>'[2]А-4'!$AC$135</f>
        <v>0</v>
      </c>
      <c r="N89" s="22">
        <f>L89*10/J89</f>
        <v>0.8926632729378273</v>
      </c>
      <c r="O89" s="22">
        <v>0</v>
      </c>
      <c r="P89" s="28">
        <f t="shared" si="28"/>
        <v>0.5</v>
      </c>
      <c r="Q89" s="28">
        <f t="shared" si="28"/>
        <v>0</v>
      </c>
      <c r="R89" s="23">
        <f t="shared" si="37"/>
        <v>463</v>
      </c>
      <c r="S89" s="23">
        <f>ROUNDDOWN((Q89*H89),0)</f>
        <v>0</v>
      </c>
      <c r="T89" s="16">
        <f t="shared" si="38"/>
        <v>463</v>
      </c>
      <c r="U89" s="26">
        <f t="shared" si="39"/>
        <v>13</v>
      </c>
      <c r="V89" s="9">
        <v>12</v>
      </c>
      <c r="W89" s="26">
        <f t="shared" si="30"/>
        <v>12</v>
      </c>
      <c r="X89" s="53">
        <f t="shared" si="31"/>
        <v>0.2980289371871281</v>
      </c>
    </row>
    <row r="90" spans="1:24" ht="12.75">
      <c r="A90" s="30">
        <v>81</v>
      </c>
      <c r="B90" s="8" t="s">
        <v>44</v>
      </c>
      <c r="C90" s="9"/>
      <c r="D90" s="17">
        <f>'[2]А-4'!$F$137</f>
        <v>4</v>
      </c>
      <c r="E90" s="218">
        <v>211</v>
      </c>
      <c r="F90" s="219">
        <f>E90*$Y$88</f>
        <v>132.9805389221557</v>
      </c>
      <c r="G90" s="220">
        <f>F90*0.5962</f>
        <v>79.28299730538922</v>
      </c>
      <c r="H90" s="220">
        <f>F90*0.4038</f>
        <v>53.697541616766465</v>
      </c>
      <c r="I90" s="28">
        <f t="shared" si="36"/>
        <v>44.7</v>
      </c>
      <c r="J90" s="28">
        <f>'[2]А-4'!G137</f>
        <v>37.1</v>
      </c>
      <c r="K90" s="28">
        <f>'[2]А-4'!$H$137</f>
        <v>7.6</v>
      </c>
      <c r="L90" s="22">
        <f>'[2]А-4'!$Q$137</f>
        <v>22</v>
      </c>
      <c r="M90" s="22">
        <f>'[2]А-4'!$AC$137</f>
        <v>0</v>
      </c>
      <c r="N90" s="22">
        <f>L90*10/J90</f>
        <v>5.929919137466307</v>
      </c>
      <c r="O90" s="22">
        <f t="shared" si="35"/>
        <v>0</v>
      </c>
      <c r="P90" s="28">
        <f t="shared" si="28"/>
        <v>3.2</v>
      </c>
      <c r="Q90" s="28">
        <f t="shared" si="28"/>
        <v>0</v>
      </c>
      <c r="R90" s="23">
        <f t="shared" si="37"/>
        <v>253</v>
      </c>
      <c r="S90" s="23">
        <f>ROUNDDOWN((Q90*H90),0)</f>
        <v>0</v>
      </c>
      <c r="T90" s="16">
        <f t="shared" si="38"/>
        <v>253</v>
      </c>
      <c r="U90" s="26">
        <f>ROUNDDOWN(IF(T90&lt;$O$3,"0",T90*5/100),0)</f>
        <v>12</v>
      </c>
      <c r="V90" s="9">
        <v>7</v>
      </c>
      <c r="W90" s="26">
        <f t="shared" si="30"/>
        <v>7</v>
      </c>
      <c r="X90" s="53">
        <f t="shared" si="31"/>
        <v>1.9025340252839662</v>
      </c>
    </row>
    <row r="91" spans="1:24" ht="12.75">
      <c r="A91" s="30"/>
      <c r="B91" s="44" t="s">
        <v>24</v>
      </c>
      <c r="C91" s="45"/>
      <c r="D91" s="17">
        <f>'[2]А-4'!$F$138</f>
        <v>1</v>
      </c>
      <c r="E91" s="218">
        <v>370</v>
      </c>
      <c r="F91" s="219">
        <f>E91*$Y$88</f>
        <v>233.18862275449104</v>
      </c>
      <c r="G91" s="220">
        <f>F91*0.5962</f>
        <v>139.02705688622754</v>
      </c>
      <c r="H91" s="220">
        <f>F91*0.4038</f>
        <v>94.16156586826348</v>
      </c>
      <c r="I91" s="28">
        <f t="shared" si="36"/>
        <v>11.1</v>
      </c>
      <c r="J91" s="28">
        <f>'[2]А-4'!G138</f>
        <v>11.1</v>
      </c>
      <c r="K91" s="28">
        <f>'[2]А-4'!$H$138</f>
        <v>0</v>
      </c>
      <c r="L91" s="22">
        <f>'[2]А-4'!$Q$138</f>
        <v>2</v>
      </c>
      <c r="M91" s="22">
        <f>'[2]А-4'!$AC$138</f>
        <v>0</v>
      </c>
      <c r="N91" s="22">
        <f>L91*10/J91</f>
        <v>1.8018018018018018</v>
      </c>
      <c r="O91" s="22">
        <v>0</v>
      </c>
      <c r="P91" s="28">
        <f t="shared" si="28"/>
        <v>1</v>
      </c>
      <c r="Q91" s="28">
        <v>0</v>
      </c>
      <c r="R91" s="23">
        <f t="shared" si="37"/>
        <v>139</v>
      </c>
      <c r="S91" s="23">
        <f>ROUNDDOWN((Q91*H91),0)</f>
        <v>0</v>
      </c>
      <c r="T91" s="16">
        <f t="shared" si="38"/>
        <v>139</v>
      </c>
      <c r="U91" s="26">
        <v>0</v>
      </c>
      <c r="V91" s="9"/>
      <c r="W91" s="26">
        <f t="shared" si="30"/>
        <v>0</v>
      </c>
      <c r="X91" s="53">
        <f t="shared" si="31"/>
        <v>0.5960839699557039</v>
      </c>
    </row>
    <row r="92" spans="1:25" ht="12.75">
      <c r="A92" s="30">
        <v>82</v>
      </c>
      <c r="B92" s="8" t="s">
        <v>53</v>
      </c>
      <c r="C92" s="9"/>
      <c r="D92" s="17">
        <f>'[2]А-4'!$F$139</f>
        <v>11</v>
      </c>
      <c r="E92" s="218">
        <v>1630</v>
      </c>
      <c r="F92" s="219">
        <f>E92*$Y$88</f>
        <v>1027.2904191616767</v>
      </c>
      <c r="G92" s="220">
        <f>F92*0.5962</f>
        <v>612.4705479041916</v>
      </c>
      <c r="H92" s="220">
        <f>F92*0.4038</f>
        <v>414.81987125748503</v>
      </c>
      <c r="I92" s="28">
        <f t="shared" si="36"/>
        <v>123.41</v>
      </c>
      <c r="J92" s="28">
        <f>'[2]А-4'!G139</f>
        <v>71.65</v>
      </c>
      <c r="K92" s="28">
        <f>'[2]А-4'!$H$139</f>
        <v>51.76</v>
      </c>
      <c r="L92" s="22">
        <f>'[2]А-4'!$Q$139</f>
        <v>13</v>
      </c>
      <c r="M92" s="22">
        <f>'[2]А-4'!$AC$139</f>
        <v>4</v>
      </c>
      <c r="N92" s="22">
        <f>L92*10/J92</f>
        <v>1.8143754361479412</v>
      </c>
      <c r="O92" s="22">
        <f t="shared" si="35"/>
        <v>0.773</v>
      </c>
      <c r="P92" s="28">
        <f t="shared" si="28"/>
        <v>1</v>
      </c>
      <c r="Q92" s="28">
        <f t="shared" si="28"/>
        <v>0.4</v>
      </c>
      <c r="R92" s="23">
        <f t="shared" si="37"/>
        <v>612</v>
      </c>
      <c r="S92" s="23">
        <f>ROUNDDOWN((Q92*H92),0)</f>
        <v>165</v>
      </c>
      <c r="T92" s="16">
        <f t="shared" si="38"/>
        <v>777</v>
      </c>
      <c r="U92" s="26">
        <f t="shared" si="39"/>
        <v>23</v>
      </c>
      <c r="V92" s="9"/>
      <c r="W92" s="26">
        <f>U92</f>
        <v>23</v>
      </c>
      <c r="X92" s="53">
        <f t="shared" si="31"/>
        <v>0.7563586552613555</v>
      </c>
      <c r="Y92">
        <f>T92/E92</f>
        <v>0.4766871165644172</v>
      </c>
    </row>
    <row r="93" spans="1:30" ht="27" customHeight="1">
      <c r="A93" s="252" t="s">
        <v>109</v>
      </c>
      <c r="B93" s="253"/>
      <c r="C93" s="254"/>
      <c r="D93" s="140">
        <f>SUM(D94:D105)</f>
        <v>46</v>
      </c>
      <c r="E93" s="217">
        <f>SUM(E94:E105)</f>
        <v>3557.2599999999998</v>
      </c>
      <c r="F93" s="217">
        <f>SUM(F94:F105)</f>
        <v>2312.9999999999995</v>
      </c>
      <c r="G93" s="217">
        <f aca="true" t="shared" si="42" ref="G93:M93">SUM(G94:G105)</f>
        <v>1790.9559</v>
      </c>
      <c r="H93" s="217">
        <f t="shared" si="42"/>
        <v>522.0441000000001</v>
      </c>
      <c r="I93" s="217">
        <f t="shared" si="42"/>
        <v>511.34</v>
      </c>
      <c r="J93" s="217">
        <f t="shared" si="42"/>
        <v>463.5399999999999</v>
      </c>
      <c r="K93" s="140">
        <f t="shared" si="42"/>
        <v>47.8</v>
      </c>
      <c r="L93" s="140">
        <f t="shared" si="42"/>
        <v>100</v>
      </c>
      <c r="M93" s="141">
        <f t="shared" si="42"/>
        <v>11</v>
      </c>
      <c r="N93" s="130">
        <f>ROUND(L93/J93*10,2)</f>
        <v>2.16</v>
      </c>
      <c r="O93" s="130">
        <f>ROUND(M93/K93*10,2)</f>
        <v>2.3</v>
      </c>
      <c r="P93" s="125">
        <f t="shared" si="28"/>
        <v>1.2</v>
      </c>
      <c r="Q93" s="130">
        <f>ROUND(O93*$M$5,2)</f>
        <v>1.24</v>
      </c>
      <c r="R93" s="140">
        <f aca="true" t="shared" si="43" ref="R93:W93">SUM(R94:R105)</f>
        <v>1993</v>
      </c>
      <c r="S93" s="142">
        <f t="shared" si="43"/>
        <v>79</v>
      </c>
      <c r="T93" s="142">
        <f t="shared" si="43"/>
        <v>2072</v>
      </c>
      <c r="U93" s="142">
        <f t="shared" si="43"/>
        <v>91</v>
      </c>
      <c r="V93" s="142">
        <f t="shared" si="43"/>
        <v>47</v>
      </c>
      <c r="W93" s="142">
        <f t="shared" si="43"/>
        <v>54</v>
      </c>
      <c r="X93" s="53">
        <f t="shared" si="31"/>
        <v>0.8958063121487247</v>
      </c>
      <c r="Y93" s="60">
        <f>2313/E93</f>
        <v>0.6502195510027381</v>
      </c>
      <c r="AB93">
        <v>2546</v>
      </c>
      <c r="AD93" s="19">
        <f>AB93-T93</f>
        <v>474</v>
      </c>
    </row>
    <row r="94" spans="1:24" ht="12.75">
      <c r="A94" s="30">
        <v>85</v>
      </c>
      <c r="B94" s="8" t="s">
        <v>38</v>
      </c>
      <c r="C94" s="9"/>
      <c r="D94" s="17">
        <f>'[2]А-4'!$F$153</f>
        <v>2</v>
      </c>
      <c r="E94" s="218">
        <f>'[5]Норматив и фактически 2011'!$F$124</f>
        <v>46</v>
      </c>
      <c r="F94" s="219">
        <f>E94*$Y$93</f>
        <v>29.910099346125953</v>
      </c>
      <c r="G94" s="220">
        <f>F94*0.7743</f>
        <v>23.159389923705326</v>
      </c>
      <c r="H94" s="220">
        <f>F94*0.2257</f>
        <v>6.750709422420628</v>
      </c>
      <c r="I94" s="28">
        <f t="shared" si="36"/>
        <v>22.3</v>
      </c>
      <c r="J94" s="28">
        <f>'[2]А-4'!G153</f>
        <v>7.5</v>
      </c>
      <c r="K94" s="28">
        <f>'[2]А-4'!H153</f>
        <v>14.8</v>
      </c>
      <c r="L94" s="22">
        <f>'[2]А-4'!Q153</f>
        <v>6</v>
      </c>
      <c r="M94" s="22">
        <f>'[2]А-4'!AC153</f>
        <v>7</v>
      </c>
      <c r="N94" s="22">
        <f>ROUND(L94/J94*10,1)</f>
        <v>8</v>
      </c>
      <c r="O94" s="22">
        <f t="shared" si="35"/>
        <v>4.73</v>
      </c>
      <c r="P94" s="28">
        <f t="shared" si="28"/>
        <v>4.3</v>
      </c>
      <c r="Q94" s="28">
        <f t="shared" si="28"/>
        <v>2.6</v>
      </c>
      <c r="R94" s="23">
        <f t="shared" si="37"/>
        <v>99</v>
      </c>
      <c r="S94" s="23">
        <f>ROUNDDOWN((Q94*H94),0)</f>
        <v>17</v>
      </c>
      <c r="T94" s="16">
        <f t="shared" si="38"/>
        <v>116</v>
      </c>
      <c r="U94" s="26">
        <f>ROUNDDOWN(IF(T94&lt;$O$3,"0",T94*7/100),0)</f>
        <v>8</v>
      </c>
      <c r="V94" s="9">
        <v>3</v>
      </c>
      <c r="W94" s="26">
        <f aca="true" t="shared" si="44" ref="W94:W112">IF(V94&lt;=U94,V94,U94)</f>
        <v>3</v>
      </c>
      <c r="X94" s="53">
        <f t="shared" si="31"/>
        <v>3.878288689637023</v>
      </c>
    </row>
    <row r="95" spans="1:24" ht="12.75">
      <c r="A95" s="30">
        <v>86</v>
      </c>
      <c r="B95" s="8" t="s">
        <v>25</v>
      </c>
      <c r="C95" s="9"/>
      <c r="D95" s="17">
        <f>'[2]А-4'!$F$154</f>
        <v>3</v>
      </c>
      <c r="E95" s="218">
        <f>'[4]Норматив и фактически 2009'!$F$116</f>
        <v>37</v>
      </c>
      <c r="F95" s="219">
        <f aca="true" t="shared" si="45" ref="F95:F105">E95*$Y$93</f>
        <v>24.05812338710131</v>
      </c>
      <c r="G95" s="220">
        <f aca="true" t="shared" si="46" ref="G95:G105">F95*0.7743</f>
        <v>18.628204938632546</v>
      </c>
      <c r="H95" s="220">
        <f aca="true" t="shared" si="47" ref="H95:H105">F95*0.2257</f>
        <v>5.429918448468766</v>
      </c>
      <c r="I95" s="28">
        <f t="shared" si="36"/>
        <v>30</v>
      </c>
      <c r="J95" s="28">
        <f>'[2]А-4'!G154</f>
        <v>25.1</v>
      </c>
      <c r="K95" s="28">
        <f>'[2]А-4'!H154</f>
        <v>4.9</v>
      </c>
      <c r="L95" s="22">
        <f>'[2]А-4'!Q154</f>
        <v>11</v>
      </c>
      <c r="M95" s="22">
        <f>'[2]А-4'!AC154</f>
        <v>0</v>
      </c>
      <c r="N95" s="22">
        <f>ROUND(L95/J95*10,1)</f>
        <v>4.4</v>
      </c>
      <c r="O95" s="22">
        <f t="shared" si="35"/>
        <v>0</v>
      </c>
      <c r="P95" s="28">
        <f t="shared" si="28"/>
        <v>2.4</v>
      </c>
      <c r="Q95" s="28">
        <f t="shared" si="28"/>
        <v>0</v>
      </c>
      <c r="R95" s="23">
        <f t="shared" si="37"/>
        <v>44</v>
      </c>
      <c r="S95" s="23">
        <f t="shared" si="37"/>
        <v>0</v>
      </c>
      <c r="T95" s="16">
        <f t="shared" si="38"/>
        <v>44</v>
      </c>
      <c r="U95" s="26">
        <f>ROUNDDOWN(IF(T95&lt;$O$3,"0",T95*5/100),0)</f>
        <v>2</v>
      </c>
      <c r="V95" s="9">
        <v>1</v>
      </c>
      <c r="W95" s="26">
        <f t="shared" si="44"/>
        <v>1</v>
      </c>
      <c r="X95" s="53">
        <f t="shared" si="31"/>
        <v>1.8289040791764526</v>
      </c>
    </row>
    <row r="96" spans="1:25" ht="12.75">
      <c r="A96" s="30"/>
      <c r="B96" s="247" t="s">
        <v>89</v>
      </c>
      <c r="C96" s="248"/>
      <c r="D96" s="17">
        <f>'[2]А-4'!$F$155</f>
        <v>12</v>
      </c>
      <c r="E96" s="218">
        <v>1241</v>
      </c>
      <c r="F96" s="219">
        <f t="shared" si="45"/>
        <v>806.922462794398</v>
      </c>
      <c r="G96" s="220">
        <f t="shared" si="46"/>
        <v>624.8000629417024</v>
      </c>
      <c r="H96" s="220">
        <f t="shared" si="47"/>
        <v>182.12239985269565</v>
      </c>
      <c r="I96" s="28">
        <f t="shared" si="36"/>
        <v>148.2</v>
      </c>
      <c r="J96" s="28">
        <f>'[2]А-4'!G155</f>
        <v>148.2</v>
      </c>
      <c r="K96" s="28">
        <f>'[2]А-4'!H155</f>
        <v>0</v>
      </c>
      <c r="L96" s="22">
        <f>'[2]А-4'!Q155</f>
        <v>21</v>
      </c>
      <c r="M96" s="22">
        <f>'[2]А-4'!AC155</f>
        <v>0</v>
      </c>
      <c r="N96" s="22">
        <f>ROUND(L96/J96*10,1)</f>
        <v>1.4</v>
      </c>
      <c r="O96" s="22">
        <v>0</v>
      </c>
      <c r="P96" s="28">
        <f t="shared" si="28"/>
        <v>0.8</v>
      </c>
      <c r="Q96" s="28">
        <f t="shared" si="28"/>
        <v>0</v>
      </c>
      <c r="R96" s="23">
        <f t="shared" si="37"/>
        <v>499</v>
      </c>
      <c r="S96" s="23">
        <f t="shared" si="37"/>
        <v>0</v>
      </c>
      <c r="T96" s="16">
        <f t="shared" si="38"/>
        <v>499</v>
      </c>
      <c r="U96" s="26">
        <f t="shared" si="39"/>
        <v>14</v>
      </c>
      <c r="V96" s="9"/>
      <c r="W96" s="26">
        <f>U96</f>
        <v>14</v>
      </c>
      <c r="X96" s="53">
        <f t="shared" si="31"/>
        <v>0.6183989453855916</v>
      </c>
      <c r="Y96">
        <f>T96/E96</f>
        <v>0.40209508460918614</v>
      </c>
    </row>
    <row r="97" spans="1:24" ht="12.75">
      <c r="A97" s="30"/>
      <c r="B97" s="8" t="s">
        <v>54</v>
      </c>
      <c r="C97" s="9"/>
      <c r="D97" s="17">
        <f>'[2]А-4'!$F$156</f>
        <v>3</v>
      </c>
      <c r="E97" s="218">
        <v>165</v>
      </c>
      <c r="F97" s="219">
        <f t="shared" si="45"/>
        <v>107.28622591545178</v>
      </c>
      <c r="G97" s="220">
        <f t="shared" si="46"/>
        <v>83.07172472633431</v>
      </c>
      <c r="H97" s="220">
        <f t="shared" si="47"/>
        <v>24.214501189117467</v>
      </c>
      <c r="I97" s="28">
        <f t="shared" si="36"/>
        <v>31.099999999999998</v>
      </c>
      <c r="J97" s="28">
        <f>'[2]А-4'!G156</f>
        <v>22.4</v>
      </c>
      <c r="K97" s="28">
        <f>'[2]А-4'!H156</f>
        <v>8.7</v>
      </c>
      <c r="L97" s="22">
        <f>'[2]А-4'!Q156</f>
        <v>7</v>
      </c>
      <c r="M97" s="22">
        <f>'[2]А-4'!AC156</f>
        <v>2</v>
      </c>
      <c r="N97" s="22">
        <f>ROUND(L97/J97*10,1)</f>
        <v>3.1</v>
      </c>
      <c r="O97" s="22">
        <f>ROUND(M97/K97*10,1)</f>
        <v>2.3</v>
      </c>
      <c r="P97" s="28">
        <f t="shared" si="28"/>
        <v>1.7</v>
      </c>
      <c r="Q97" s="28">
        <f t="shared" si="28"/>
        <v>1.2</v>
      </c>
      <c r="R97" s="23">
        <f t="shared" si="37"/>
        <v>141</v>
      </c>
      <c r="S97" s="23">
        <f t="shared" si="37"/>
        <v>29</v>
      </c>
      <c r="T97" s="16">
        <f t="shared" si="38"/>
        <v>170</v>
      </c>
      <c r="U97" s="26">
        <f>ROUNDDOWN(IF(T97&lt;$O$3,"0",T97*5/100),0)</f>
        <v>8</v>
      </c>
      <c r="V97" s="9">
        <v>9</v>
      </c>
      <c r="W97" s="26">
        <f t="shared" si="44"/>
        <v>8</v>
      </c>
      <c r="X97" s="53">
        <f t="shared" si="31"/>
        <v>1.5845463716280836</v>
      </c>
    </row>
    <row r="98" spans="1:24" ht="12.75">
      <c r="A98" s="30"/>
      <c r="B98" s="8" t="s">
        <v>55</v>
      </c>
      <c r="C98" s="9"/>
      <c r="D98" s="17">
        <f>'[2]А-4'!$F$157</f>
        <v>2</v>
      </c>
      <c r="E98" s="218">
        <v>175</v>
      </c>
      <c r="F98" s="219">
        <f t="shared" si="45"/>
        <v>113.78842142547917</v>
      </c>
      <c r="G98" s="220">
        <f t="shared" si="46"/>
        <v>88.10637470974852</v>
      </c>
      <c r="H98" s="220">
        <f t="shared" si="47"/>
        <v>25.68204671573065</v>
      </c>
      <c r="I98" s="28">
        <f t="shared" si="36"/>
        <v>21.299999999999997</v>
      </c>
      <c r="J98" s="28">
        <f>'[2]А-4'!G157</f>
        <v>13.1</v>
      </c>
      <c r="K98" s="28">
        <f>'[2]А-4'!H157</f>
        <v>8.2</v>
      </c>
      <c r="L98" s="22">
        <f>'[2]А-4'!Q157</f>
        <v>11</v>
      </c>
      <c r="M98" s="22">
        <f>'[2]А-4'!AC157</f>
        <v>2</v>
      </c>
      <c r="N98" s="22">
        <f>ROUND(L98/J98*10,1)</f>
        <v>8.4</v>
      </c>
      <c r="O98" s="22">
        <f>ROUND(M98/K98*10,1)</f>
        <v>2.4</v>
      </c>
      <c r="P98" s="28">
        <f t="shared" si="28"/>
        <v>4.5</v>
      </c>
      <c r="Q98" s="28">
        <f t="shared" si="28"/>
        <v>1.3</v>
      </c>
      <c r="R98" s="23">
        <f t="shared" si="37"/>
        <v>396</v>
      </c>
      <c r="S98" s="23">
        <f t="shared" si="37"/>
        <v>33</v>
      </c>
      <c r="T98" s="16">
        <f t="shared" si="38"/>
        <v>429</v>
      </c>
      <c r="U98" s="26">
        <f>ROUNDDOWN(IF(T98&lt;$O$3,"0",T98*7/100),0)</f>
        <v>30</v>
      </c>
      <c r="V98" s="9">
        <v>6</v>
      </c>
      <c r="W98" s="26">
        <f t="shared" si="44"/>
        <v>6</v>
      </c>
      <c r="X98" s="53">
        <f t="shared" si="31"/>
        <v>3.7701551232166013</v>
      </c>
    </row>
    <row r="99" spans="1:24" ht="12.75">
      <c r="A99" s="30"/>
      <c r="B99" s="8" t="s">
        <v>56</v>
      </c>
      <c r="C99" s="9"/>
      <c r="D99" s="17">
        <f>'[2]А-4'!$F$158</f>
        <v>3</v>
      </c>
      <c r="E99" s="218">
        <v>338</v>
      </c>
      <c r="F99" s="219">
        <f t="shared" si="45"/>
        <v>219.77420823892547</v>
      </c>
      <c r="G99" s="220">
        <f t="shared" si="46"/>
        <v>170.1711694394</v>
      </c>
      <c r="H99" s="220">
        <f t="shared" si="47"/>
        <v>49.60303879952548</v>
      </c>
      <c r="I99" s="28">
        <f t="shared" si="36"/>
        <v>30</v>
      </c>
      <c r="J99" s="28">
        <f>'[2]А-4'!G158</f>
        <v>30</v>
      </c>
      <c r="K99" s="28">
        <f>'[2]А-4'!H158</f>
        <v>0</v>
      </c>
      <c r="L99" s="22">
        <f>'[2]А-4'!Q158</f>
        <v>6</v>
      </c>
      <c r="M99" s="22">
        <f>'[2]А-4'!AC158</f>
        <v>0</v>
      </c>
      <c r="N99" s="22">
        <f aca="true" t="shared" si="48" ref="N99:N105">ROUND(L99/J99*10,1)</f>
        <v>2</v>
      </c>
      <c r="O99" s="22">
        <v>0</v>
      </c>
      <c r="P99" s="28">
        <f t="shared" si="28"/>
        <v>1.1</v>
      </c>
      <c r="Q99" s="28">
        <f t="shared" si="28"/>
        <v>0</v>
      </c>
      <c r="R99" s="23">
        <f t="shared" si="37"/>
        <v>187</v>
      </c>
      <c r="S99" s="23">
        <f t="shared" si="37"/>
        <v>0</v>
      </c>
      <c r="T99" s="16">
        <f t="shared" si="38"/>
        <v>187</v>
      </c>
      <c r="U99" s="26">
        <f t="shared" si="39"/>
        <v>5</v>
      </c>
      <c r="V99" s="9">
        <v>3</v>
      </c>
      <c r="W99" s="26">
        <f t="shared" si="44"/>
        <v>3</v>
      </c>
      <c r="X99" s="53">
        <f t="shared" si="31"/>
        <v>0.850873273522181</v>
      </c>
    </row>
    <row r="100" spans="1:24" ht="12.75">
      <c r="A100" s="30">
        <v>87</v>
      </c>
      <c r="B100" s="8" t="s">
        <v>57</v>
      </c>
      <c r="C100" s="9"/>
      <c r="D100" s="17">
        <f>'[2]А-4'!$F$159</f>
        <v>10</v>
      </c>
      <c r="E100" s="218">
        <v>623</v>
      </c>
      <c r="F100" s="219">
        <f t="shared" si="45"/>
        <v>405.08678027470586</v>
      </c>
      <c r="G100" s="220">
        <f t="shared" si="46"/>
        <v>313.65869396670473</v>
      </c>
      <c r="H100" s="220">
        <f t="shared" si="47"/>
        <v>91.42808630800111</v>
      </c>
      <c r="I100" s="28">
        <f t="shared" si="36"/>
        <v>100</v>
      </c>
      <c r="J100" s="28">
        <f>'[2]А-4'!G159</f>
        <v>100</v>
      </c>
      <c r="K100" s="28">
        <f>'[2]А-4'!H159</f>
        <v>0</v>
      </c>
      <c r="L100" s="22">
        <f>'[2]А-4'!Q159</f>
        <v>10</v>
      </c>
      <c r="M100" s="22">
        <f>'[2]А-4'!AC159</f>
        <v>0</v>
      </c>
      <c r="N100" s="22">
        <f t="shared" si="48"/>
        <v>1</v>
      </c>
      <c r="O100" s="22">
        <v>0</v>
      </c>
      <c r="P100" s="28">
        <f t="shared" si="28"/>
        <v>0.5</v>
      </c>
      <c r="Q100" s="28">
        <f t="shared" si="28"/>
        <v>0</v>
      </c>
      <c r="R100" s="23">
        <f t="shared" si="37"/>
        <v>156</v>
      </c>
      <c r="S100" s="23">
        <f t="shared" si="37"/>
        <v>0</v>
      </c>
      <c r="T100" s="16">
        <f t="shared" si="38"/>
        <v>156</v>
      </c>
      <c r="U100" s="26">
        <f t="shared" si="39"/>
        <v>4</v>
      </c>
      <c r="V100" s="9">
        <v>4</v>
      </c>
      <c r="W100" s="26">
        <f>IF(V100&lt;=U100,U100,U100)</f>
        <v>4</v>
      </c>
      <c r="X100" s="53">
        <f t="shared" si="31"/>
        <v>0.3851026683571605</v>
      </c>
    </row>
    <row r="101" spans="1:24" ht="12.75">
      <c r="A101" s="30"/>
      <c r="B101" s="44" t="s">
        <v>67</v>
      </c>
      <c r="C101" s="45"/>
      <c r="D101" s="17">
        <f>'[2]А-4'!$F$160</f>
        <v>0</v>
      </c>
      <c r="E101" s="218">
        <v>225</v>
      </c>
      <c r="F101" s="219">
        <f t="shared" si="45"/>
        <v>146.29939897561607</v>
      </c>
      <c r="G101" s="220">
        <f t="shared" si="46"/>
        <v>113.27962462681953</v>
      </c>
      <c r="H101" s="220">
        <f t="shared" si="47"/>
        <v>33.01977434879655</v>
      </c>
      <c r="I101" s="28">
        <f t="shared" si="36"/>
        <v>0</v>
      </c>
      <c r="J101" s="28">
        <f>'[2]А-4'!G160</f>
        <v>0</v>
      </c>
      <c r="K101" s="28">
        <f>'[2]А-4'!H160</f>
        <v>0</v>
      </c>
      <c r="L101" s="22">
        <f>'[2]А-4'!Q160</f>
        <v>0</v>
      </c>
      <c r="M101" s="22">
        <f>'[2]А-4'!AC160</f>
        <v>0</v>
      </c>
      <c r="N101" s="22">
        <v>0</v>
      </c>
      <c r="O101" s="22">
        <v>0</v>
      </c>
      <c r="P101" s="28">
        <f t="shared" si="28"/>
        <v>0</v>
      </c>
      <c r="Q101" s="28">
        <f t="shared" si="28"/>
        <v>0</v>
      </c>
      <c r="R101" s="23">
        <f t="shared" si="37"/>
        <v>0</v>
      </c>
      <c r="S101" s="23">
        <f t="shared" si="37"/>
        <v>0</v>
      </c>
      <c r="T101" s="16">
        <f t="shared" si="38"/>
        <v>0</v>
      </c>
      <c r="U101" s="26">
        <f t="shared" si="39"/>
        <v>0</v>
      </c>
      <c r="V101" s="9">
        <v>3</v>
      </c>
      <c r="W101" s="26">
        <f>IF(V101&lt;=U101,U101,U101)</f>
        <v>0</v>
      </c>
      <c r="X101" s="53">
        <f t="shared" si="31"/>
        <v>0</v>
      </c>
    </row>
    <row r="102" spans="1:24" ht="12.75">
      <c r="A102" s="30"/>
      <c r="B102" s="44" t="s">
        <v>68</v>
      </c>
      <c r="C102" s="45"/>
      <c r="D102" s="17">
        <f>'[2]А-4'!$F$161</f>
        <v>4</v>
      </c>
      <c r="E102" s="218">
        <v>296.7</v>
      </c>
      <c r="F102" s="219">
        <f t="shared" si="45"/>
        <v>192.9201407825124</v>
      </c>
      <c r="G102" s="220">
        <f t="shared" si="46"/>
        <v>149.37806500789935</v>
      </c>
      <c r="H102" s="220">
        <f t="shared" si="47"/>
        <v>43.542075774613046</v>
      </c>
      <c r="I102" s="28">
        <f t="shared" si="36"/>
        <v>46.6</v>
      </c>
      <c r="J102" s="28">
        <f>'[2]А-4'!G161</f>
        <v>37.7</v>
      </c>
      <c r="K102" s="28">
        <f>'[2]А-4'!H161</f>
        <v>8.899999999999999</v>
      </c>
      <c r="L102" s="22">
        <f>'[2]А-4'!Q161</f>
        <v>10</v>
      </c>
      <c r="M102" s="22">
        <f>'[2]А-4'!AC161</f>
        <v>0</v>
      </c>
      <c r="N102" s="22">
        <f t="shared" si="48"/>
        <v>2.7</v>
      </c>
      <c r="O102" s="22">
        <f t="shared" si="35"/>
        <v>0</v>
      </c>
      <c r="P102" s="28">
        <f t="shared" si="28"/>
        <v>1.5</v>
      </c>
      <c r="Q102" s="28">
        <f t="shared" si="28"/>
        <v>0</v>
      </c>
      <c r="R102" s="23">
        <f t="shared" si="37"/>
        <v>224</v>
      </c>
      <c r="S102" s="23">
        <f t="shared" si="37"/>
        <v>0</v>
      </c>
      <c r="T102" s="16">
        <f t="shared" si="38"/>
        <v>224</v>
      </c>
      <c r="U102" s="26">
        <f>ROUNDDOWN(IF(T102&lt;$O$3,"0",T102*5/100),0)</f>
        <v>11</v>
      </c>
      <c r="V102" s="9">
        <v>6</v>
      </c>
      <c r="W102" s="26">
        <f t="shared" si="44"/>
        <v>6</v>
      </c>
      <c r="X102" s="53">
        <f t="shared" si="31"/>
        <v>1.1611022005863314</v>
      </c>
    </row>
    <row r="103" spans="1:24" ht="12.75">
      <c r="A103" s="30"/>
      <c r="B103" s="143" t="s">
        <v>69</v>
      </c>
      <c r="C103" s="144"/>
      <c r="D103" s="17">
        <f>'[2]А-4'!$F$162</f>
        <v>0</v>
      </c>
      <c r="E103" s="218">
        <v>14</v>
      </c>
      <c r="F103" s="219">
        <f t="shared" si="45"/>
        <v>9.103073714038333</v>
      </c>
      <c r="G103" s="220">
        <f t="shared" si="46"/>
        <v>7.048509976779881</v>
      </c>
      <c r="H103" s="220">
        <f t="shared" si="47"/>
        <v>2.054563737258452</v>
      </c>
      <c r="I103" s="28">
        <f t="shared" si="36"/>
        <v>0</v>
      </c>
      <c r="J103" s="28">
        <f>'[2]А-4'!G162</f>
        <v>0</v>
      </c>
      <c r="K103" s="28">
        <f>'[2]А-4'!H162</f>
        <v>0</v>
      </c>
      <c r="L103" s="22">
        <f>'[2]А-4'!Q162</f>
        <v>0</v>
      </c>
      <c r="M103" s="22">
        <f>'[2]А-4'!AC162</f>
        <v>0</v>
      </c>
      <c r="N103" s="22">
        <v>0</v>
      </c>
      <c r="O103" s="22">
        <v>0</v>
      </c>
      <c r="P103" s="28">
        <f t="shared" si="28"/>
        <v>0</v>
      </c>
      <c r="Q103" s="28">
        <f t="shared" si="28"/>
        <v>0</v>
      </c>
      <c r="R103" s="23">
        <f t="shared" si="37"/>
        <v>0</v>
      </c>
      <c r="S103" s="23">
        <f t="shared" si="37"/>
        <v>0</v>
      </c>
      <c r="T103" s="16">
        <f t="shared" si="38"/>
        <v>0</v>
      </c>
      <c r="U103" s="26">
        <f t="shared" si="39"/>
        <v>0</v>
      </c>
      <c r="V103" s="9"/>
      <c r="W103" s="26">
        <f t="shared" si="44"/>
        <v>0</v>
      </c>
      <c r="X103" s="53">
        <f t="shared" si="31"/>
        <v>0</v>
      </c>
    </row>
    <row r="104" spans="1:24" ht="12.75">
      <c r="A104" s="30"/>
      <c r="B104" s="46" t="s">
        <v>90</v>
      </c>
      <c r="C104" s="47"/>
      <c r="D104" s="17">
        <f>'[2]А-4'!$F$163</f>
        <v>3</v>
      </c>
      <c r="E104" s="227">
        <v>139.56</v>
      </c>
      <c r="F104" s="219">
        <f t="shared" si="45"/>
        <v>90.74464053794213</v>
      </c>
      <c r="G104" s="220">
        <f t="shared" si="46"/>
        <v>70.26357516852859</v>
      </c>
      <c r="H104" s="220">
        <f t="shared" si="47"/>
        <v>20.48106536941354</v>
      </c>
      <c r="I104" s="28">
        <f t="shared" si="36"/>
        <v>35.89999999999999</v>
      </c>
      <c r="J104" s="28">
        <f>'[2]А-4'!G163</f>
        <v>33.599999999999994</v>
      </c>
      <c r="K104" s="28">
        <f>'[2]А-4'!H163</f>
        <v>2.3</v>
      </c>
      <c r="L104" s="22">
        <f>'[2]А-4'!$Q$163</f>
        <v>9</v>
      </c>
      <c r="M104" s="22">
        <f>'[2]А-4'!AC163</f>
        <v>0</v>
      </c>
      <c r="N104" s="22">
        <f t="shared" si="48"/>
        <v>2.7</v>
      </c>
      <c r="O104" s="22">
        <f t="shared" si="35"/>
        <v>0</v>
      </c>
      <c r="P104" s="28">
        <f t="shared" si="28"/>
        <v>1.5</v>
      </c>
      <c r="Q104" s="28">
        <f t="shared" si="28"/>
        <v>0</v>
      </c>
      <c r="R104" s="23">
        <f t="shared" si="37"/>
        <v>105</v>
      </c>
      <c r="S104" s="23">
        <f t="shared" si="37"/>
        <v>0</v>
      </c>
      <c r="T104" s="16">
        <f t="shared" si="38"/>
        <v>105</v>
      </c>
      <c r="U104" s="26">
        <f>ROUNDDOWN(IF(T104&lt;$O$3,"0",T104*5/100),0)</f>
        <v>5</v>
      </c>
      <c r="V104" s="9">
        <v>7</v>
      </c>
      <c r="W104" s="26">
        <f t="shared" si="44"/>
        <v>5</v>
      </c>
      <c r="X104" s="53">
        <f t="shared" si="31"/>
        <v>1.1570931283384986</v>
      </c>
    </row>
    <row r="105" spans="2:24" ht="12.75">
      <c r="B105" s="257" t="s">
        <v>91</v>
      </c>
      <c r="C105" s="258"/>
      <c r="D105" s="17">
        <f>'[2]А-4'!$F$164</f>
        <v>4</v>
      </c>
      <c r="E105" s="227">
        <v>257</v>
      </c>
      <c r="F105" s="219">
        <f t="shared" si="45"/>
        <v>167.1064246077037</v>
      </c>
      <c r="G105" s="220">
        <f t="shared" si="46"/>
        <v>129.39050457374498</v>
      </c>
      <c r="H105" s="220">
        <f t="shared" si="47"/>
        <v>37.715920033958724</v>
      </c>
      <c r="I105" s="28">
        <f t="shared" si="36"/>
        <v>45.94</v>
      </c>
      <c r="J105" s="28">
        <f>'[2]А-4'!G164</f>
        <v>45.94</v>
      </c>
      <c r="K105" s="28">
        <f>'[2]А-4'!H164</f>
        <v>0</v>
      </c>
      <c r="L105" s="22">
        <f>'[2]А-4'!$Q$164</f>
        <v>9</v>
      </c>
      <c r="M105" s="22">
        <f>'[2]А-4'!AC164</f>
        <v>0</v>
      </c>
      <c r="N105" s="22">
        <f t="shared" si="48"/>
        <v>2</v>
      </c>
      <c r="O105" s="22">
        <v>0</v>
      </c>
      <c r="P105" s="28">
        <f t="shared" si="28"/>
        <v>1.1</v>
      </c>
      <c r="Q105" s="28">
        <f t="shared" si="28"/>
        <v>0</v>
      </c>
      <c r="R105" s="23">
        <f t="shared" si="37"/>
        <v>142</v>
      </c>
      <c r="S105" s="23">
        <f t="shared" si="37"/>
        <v>0</v>
      </c>
      <c r="T105" s="16">
        <f t="shared" si="38"/>
        <v>142</v>
      </c>
      <c r="U105" s="26">
        <f t="shared" si="39"/>
        <v>4</v>
      </c>
      <c r="V105" s="9">
        <v>5</v>
      </c>
      <c r="W105" s="26">
        <f t="shared" si="44"/>
        <v>4</v>
      </c>
      <c r="X105" s="53">
        <f t="shared" si="31"/>
        <v>0.8497578733633783</v>
      </c>
    </row>
    <row r="106" spans="1:25" ht="18">
      <c r="A106" s="252" t="s">
        <v>110</v>
      </c>
      <c r="B106" s="253"/>
      <c r="C106" s="254"/>
      <c r="D106" s="140">
        <f>SUM(D107:D108)</f>
        <v>37</v>
      </c>
      <c r="E106" s="217">
        <f>SUM(E107:E108)</f>
        <v>1925</v>
      </c>
      <c r="F106" s="217">
        <f>SUM(F107:F108)</f>
        <v>1521</v>
      </c>
      <c r="G106" s="217">
        <f aca="true" t="shared" si="49" ref="G106:M106">SUM(G107:G108)</f>
        <v>1082.0394000000001</v>
      </c>
      <c r="H106" s="217">
        <f t="shared" si="49"/>
        <v>438.96060000000006</v>
      </c>
      <c r="I106" s="217">
        <f t="shared" si="49"/>
        <v>372.27</v>
      </c>
      <c r="J106" s="217">
        <f t="shared" si="49"/>
        <v>307.26</v>
      </c>
      <c r="K106" s="140">
        <f t="shared" si="49"/>
        <v>65.01</v>
      </c>
      <c r="L106" s="141">
        <f t="shared" si="49"/>
        <v>21</v>
      </c>
      <c r="M106" s="141">
        <f t="shared" si="49"/>
        <v>0</v>
      </c>
      <c r="N106" s="130">
        <f>ROUND(L106/J106*10,2)</f>
        <v>0.68</v>
      </c>
      <c r="O106" s="141">
        <f>ROUND(M106/K106*10,2)</f>
        <v>0</v>
      </c>
      <c r="P106" s="125">
        <f t="shared" si="28"/>
        <v>0.4</v>
      </c>
      <c r="Q106" s="141">
        <f aca="true" t="shared" si="50" ref="Q106:Q113">ROUND(O106*$M$5,2)</f>
        <v>0</v>
      </c>
      <c r="R106" s="140">
        <f aca="true" t="shared" si="51" ref="R106:W106">SUM(R107:R108)</f>
        <v>377</v>
      </c>
      <c r="S106" s="140">
        <f t="shared" si="51"/>
        <v>0</v>
      </c>
      <c r="T106" s="142">
        <f t="shared" si="51"/>
        <v>377</v>
      </c>
      <c r="U106" s="142">
        <f t="shared" si="51"/>
        <v>11</v>
      </c>
      <c r="V106" s="142">
        <f t="shared" si="51"/>
        <v>8</v>
      </c>
      <c r="W106" s="142">
        <f t="shared" si="51"/>
        <v>8</v>
      </c>
      <c r="X106" s="53">
        <f t="shared" si="31"/>
        <v>0.24786324786324787</v>
      </c>
      <c r="Y106">
        <f>1521/E106</f>
        <v>0.7901298701298701</v>
      </c>
    </row>
    <row r="107" spans="1:24" ht="12.75">
      <c r="A107" s="30">
        <v>88</v>
      </c>
      <c r="B107" s="8" t="s">
        <v>26</v>
      </c>
      <c r="C107" s="9"/>
      <c r="D107" s="17">
        <f>'[2]А-4'!$F$173</f>
        <v>32</v>
      </c>
      <c r="E107" s="218">
        <f>'[4]Норматив и фактически 2009'!$F$121</f>
        <v>1679</v>
      </c>
      <c r="F107" s="219">
        <f>E107*$Y$106</f>
        <v>1326.628051948052</v>
      </c>
      <c r="G107" s="220">
        <f>F107*0.7114</f>
        <v>943.7631961558442</v>
      </c>
      <c r="H107" s="220">
        <f>F107*0.2886</f>
        <v>382.86485579220783</v>
      </c>
      <c r="I107" s="28">
        <f t="shared" si="36"/>
        <v>319.97999999999996</v>
      </c>
      <c r="J107" s="28">
        <f>'[2]А-4'!G173</f>
        <v>290.2</v>
      </c>
      <c r="K107" s="28">
        <f>'[2]А-4'!$H$173</f>
        <v>29.779999999999998</v>
      </c>
      <c r="L107" s="22">
        <f>'[2]А-4'!Q173</f>
        <v>21</v>
      </c>
      <c r="M107" s="22">
        <f>'[2]А-4'!AC173</f>
        <v>0</v>
      </c>
      <c r="N107" s="22">
        <f>L107*10/J107</f>
        <v>0.7236388697450035</v>
      </c>
      <c r="O107" s="22">
        <f>ROUND(M107/K107*10,3)</f>
        <v>0</v>
      </c>
      <c r="P107" s="28">
        <f t="shared" si="28"/>
        <v>0.4</v>
      </c>
      <c r="Q107" s="22">
        <f t="shared" si="50"/>
        <v>0</v>
      </c>
      <c r="R107" s="23">
        <f t="shared" si="37"/>
        <v>377</v>
      </c>
      <c r="S107" s="23">
        <f t="shared" si="37"/>
        <v>0</v>
      </c>
      <c r="T107" s="16">
        <f t="shared" si="38"/>
        <v>377</v>
      </c>
      <c r="U107" s="26">
        <f t="shared" si="39"/>
        <v>11</v>
      </c>
      <c r="V107" s="9">
        <v>8</v>
      </c>
      <c r="W107" s="26">
        <f t="shared" si="44"/>
        <v>8</v>
      </c>
      <c r="X107" s="53">
        <f t="shared" si="31"/>
        <v>0.28417912575149024</v>
      </c>
    </row>
    <row r="108" spans="1:24" ht="12.75">
      <c r="A108" s="30">
        <v>89</v>
      </c>
      <c r="B108" s="8" t="s">
        <v>33</v>
      </c>
      <c r="C108" s="8"/>
      <c r="D108" s="17">
        <f>'[2]А-4'!$F$174</f>
        <v>5</v>
      </c>
      <c r="E108" s="218">
        <f>'[6]Реестр действующих пользователе'!$I$127</f>
        <v>246</v>
      </c>
      <c r="F108" s="219">
        <f>E108*$Y$106</f>
        <v>194.37194805194804</v>
      </c>
      <c r="G108" s="220">
        <f>F108*0.7114</f>
        <v>138.27620384415584</v>
      </c>
      <c r="H108" s="220">
        <f>F108*0.2886</f>
        <v>56.09574420779221</v>
      </c>
      <c r="I108" s="28">
        <f t="shared" si="36"/>
        <v>52.290000000000006</v>
      </c>
      <c r="J108" s="28">
        <f>'[2]А-4'!G174</f>
        <v>17.06</v>
      </c>
      <c r="K108" s="28">
        <f>'[2]А-4'!$H$174</f>
        <v>35.230000000000004</v>
      </c>
      <c r="L108" s="22">
        <f>'[2]А-4'!Q174</f>
        <v>0</v>
      </c>
      <c r="M108" s="22">
        <f>'[2]А-4'!AC174</f>
        <v>0</v>
      </c>
      <c r="N108" s="22">
        <f>L108*10/J108</f>
        <v>0</v>
      </c>
      <c r="O108" s="22">
        <f>ROUND(M108/K108*10,3)</f>
        <v>0</v>
      </c>
      <c r="P108" s="28">
        <f t="shared" si="28"/>
        <v>0</v>
      </c>
      <c r="Q108" s="22">
        <f t="shared" si="50"/>
        <v>0</v>
      </c>
      <c r="R108" s="23">
        <f t="shared" si="37"/>
        <v>0</v>
      </c>
      <c r="S108" s="23">
        <f t="shared" si="37"/>
        <v>0</v>
      </c>
      <c r="T108" s="16">
        <f t="shared" si="38"/>
        <v>0</v>
      </c>
      <c r="U108" s="26">
        <f t="shared" si="39"/>
        <v>0</v>
      </c>
      <c r="V108" s="9"/>
      <c r="W108" s="26">
        <f t="shared" si="44"/>
        <v>0</v>
      </c>
      <c r="X108" s="53">
        <f t="shared" si="31"/>
        <v>0</v>
      </c>
    </row>
    <row r="109" spans="1:37" ht="18">
      <c r="A109" s="252" t="s">
        <v>111</v>
      </c>
      <c r="B109" s="253"/>
      <c r="C109" s="254"/>
      <c r="D109" s="140">
        <f>SUM(D110:D112)</f>
        <v>57</v>
      </c>
      <c r="E109" s="217">
        <f>SUM(E110:E112)</f>
        <v>2956</v>
      </c>
      <c r="F109" s="217">
        <f>SUM(F110:F112)</f>
        <v>1714.0000000000002</v>
      </c>
      <c r="G109" s="217">
        <f aca="true" t="shared" si="52" ref="G109:M109">SUM(G110:G112)</f>
        <v>1329.0356000000002</v>
      </c>
      <c r="H109" s="217">
        <f t="shared" si="52"/>
        <v>384.9644</v>
      </c>
      <c r="I109" s="217">
        <f t="shared" si="52"/>
        <v>1060.04</v>
      </c>
      <c r="J109" s="217">
        <f t="shared" si="52"/>
        <v>516.9200000000001</v>
      </c>
      <c r="K109" s="140">
        <f t="shared" si="52"/>
        <v>543.12</v>
      </c>
      <c r="L109" s="141">
        <f t="shared" si="52"/>
        <v>89</v>
      </c>
      <c r="M109" s="141">
        <f t="shared" si="52"/>
        <v>13</v>
      </c>
      <c r="N109" s="130">
        <f>ROUND(L109/J109*10,2)</f>
        <v>1.72</v>
      </c>
      <c r="O109" s="141">
        <f>ROUND(M109/K109*10,2)</f>
        <v>0.24</v>
      </c>
      <c r="P109" s="125">
        <f t="shared" si="28"/>
        <v>0.9</v>
      </c>
      <c r="Q109" s="141">
        <f t="shared" si="50"/>
        <v>0.13</v>
      </c>
      <c r="R109" s="140">
        <f>SUM(R110:R112)</f>
        <v>1340</v>
      </c>
      <c r="S109" s="140">
        <f>SUM(S110:S112)</f>
        <v>47</v>
      </c>
      <c r="T109" s="142">
        <f>SUM(T110:T112)</f>
        <v>1387</v>
      </c>
      <c r="U109" s="142">
        <f>SUM(U110:U112)</f>
        <v>71</v>
      </c>
      <c r="V109" s="142">
        <f>SUM(V110:V111)</f>
        <v>21</v>
      </c>
      <c r="W109" s="142">
        <f>SUM(W110:W111)</f>
        <v>21</v>
      </c>
      <c r="X109" s="53">
        <f t="shared" si="31"/>
        <v>0.8092182030338388</v>
      </c>
      <c r="Y109">
        <f>1714/E109</f>
        <v>0.5798376184032477</v>
      </c>
      <c r="AB109">
        <v>1580</v>
      </c>
      <c r="AD109" s="19">
        <f>AB109-T109</f>
        <v>193</v>
      </c>
      <c r="AK109">
        <f>2956-R109</f>
        <v>1616</v>
      </c>
    </row>
    <row r="110" spans="1:24" ht="12.75">
      <c r="A110" s="30">
        <v>90</v>
      </c>
      <c r="B110" s="8" t="s">
        <v>27</v>
      </c>
      <c r="C110" s="9"/>
      <c r="D110" s="17">
        <f>'[2]А-4'!$F$178</f>
        <v>44</v>
      </c>
      <c r="E110" s="218">
        <f>'[4]Норматив и фактически 2009'!$F$126</f>
        <v>2316</v>
      </c>
      <c r="F110" s="219">
        <f>E110*$Y$109</f>
        <v>1342.9039242219217</v>
      </c>
      <c r="G110" s="220">
        <f>F110*0.7754</f>
        <v>1041.287702841678</v>
      </c>
      <c r="H110" s="220">
        <f>F110*0.2246</f>
        <v>301.6162213802436</v>
      </c>
      <c r="I110" s="28">
        <f t="shared" si="36"/>
        <v>882.44</v>
      </c>
      <c r="J110" s="28">
        <f>'[2]А-4'!G178</f>
        <v>441.22</v>
      </c>
      <c r="K110" s="28">
        <f>'[2]А-4'!$J$178</f>
        <v>441.22</v>
      </c>
      <c r="L110" s="22">
        <f>'[2]А-4'!Q178</f>
        <v>47</v>
      </c>
      <c r="M110" s="22">
        <f>'[2]А-4'!AC178</f>
        <v>0</v>
      </c>
      <c r="N110" s="22">
        <f>L110*10/J110</f>
        <v>1.0652282308145595</v>
      </c>
      <c r="O110" s="22">
        <f>ROUND(M110/K110*10,3)</f>
        <v>0</v>
      </c>
      <c r="P110" s="28">
        <f t="shared" si="28"/>
        <v>0.6</v>
      </c>
      <c r="Q110" s="22">
        <f t="shared" si="50"/>
        <v>0</v>
      </c>
      <c r="R110" s="23">
        <f t="shared" si="37"/>
        <v>624</v>
      </c>
      <c r="S110" s="23">
        <f t="shared" si="37"/>
        <v>0</v>
      </c>
      <c r="T110" s="16">
        <f t="shared" si="38"/>
        <v>624</v>
      </c>
      <c r="U110" s="26">
        <f t="shared" si="39"/>
        <v>18</v>
      </c>
      <c r="V110" s="9">
        <v>11</v>
      </c>
      <c r="W110" s="26">
        <f t="shared" si="44"/>
        <v>11</v>
      </c>
      <c r="X110" s="53">
        <f t="shared" si="31"/>
        <v>0.4646646634542717</v>
      </c>
    </row>
    <row r="111" spans="1:24" ht="12.75">
      <c r="A111" s="30"/>
      <c r="B111" s="8" t="s">
        <v>44</v>
      </c>
      <c r="C111" s="9"/>
      <c r="D111" s="17">
        <f>'[2]А-4'!$F$179</f>
        <v>13</v>
      </c>
      <c r="E111" s="218">
        <v>531</v>
      </c>
      <c r="F111" s="219">
        <f>E111*$Y$109</f>
        <v>307.8937753721245</v>
      </c>
      <c r="G111" s="220">
        <f>F111*0.7754</f>
        <v>238.74083342354533</v>
      </c>
      <c r="H111" s="220">
        <f>F111*0.2246</f>
        <v>69.15294194857915</v>
      </c>
      <c r="I111" s="28">
        <f t="shared" si="36"/>
        <v>177.60000000000002</v>
      </c>
      <c r="J111" s="28">
        <f>'[2]А-4'!G179</f>
        <v>75.7</v>
      </c>
      <c r="K111" s="28">
        <f>'[2]А-4'!$J$179</f>
        <v>101.9</v>
      </c>
      <c r="L111" s="22">
        <f>'[2]А-4'!Q179</f>
        <v>42</v>
      </c>
      <c r="M111" s="22">
        <f>'[2]А-4'!AC179</f>
        <v>13</v>
      </c>
      <c r="N111" s="22">
        <f>L111*10/J111</f>
        <v>5.5482166446499335</v>
      </c>
      <c r="O111" s="22">
        <f>ROUND(M111/K111*10,3)</f>
        <v>1.276</v>
      </c>
      <c r="P111" s="28">
        <f t="shared" si="28"/>
        <v>3</v>
      </c>
      <c r="Q111" s="22">
        <f t="shared" si="50"/>
        <v>0.69</v>
      </c>
      <c r="R111" s="23">
        <f t="shared" si="37"/>
        <v>716</v>
      </c>
      <c r="S111" s="23">
        <f t="shared" si="37"/>
        <v>47</v>
      </c>
      <c r="T111" s="16">
        <f t="shared" si="38"/>
        <v>763</v>
      </c>
      <c r="U111" s="26">
        <f>ROUNDDOWN(IF(T111&lt;$O$3,"0",T111*7/100),0)</f>
        <v>53</v>
      </c>
      <c r="V111" s="9">
        <v>10</v>
      </c>
      <c r="W111" s="26">
        <f t="shared" si="44"/>
        <v>10</v>
      </c>
      <c r="X111" s="53">
        <f t="shared" si="31"/>
        <v>2.4781273966251125</v>
      </c>
    </row>
    <row r="112" spans="1:24" ht="12.75">
      <c r="A112" s="30"/>
      <c r="B112" s="282" t="s">
        <v>126</v>
      </c>
      <c r="C112" s="283"/>
      <c r="D112" s="17">
        <v>0</v>
      </c>
      <c r="E112" s="218">
        <v>109</v>
      </c>
      <c r="F112" s="219">
        <f>E112*$Y$109</f>
        <v>63.20230040595399</v>
      </c>
      <c r="G112" s="220">
        <f>F112*0.7754</f>
        <v>49.00706373477672</v>
      </c>
      <c r="H112" s="220">
        <f>F112*0.2246</f>
        <v>14.195236671177266</v>
      </c>
      <c r="I112" s="28">
        <f t="shared" si="36"/>
        <v>0</v>
      </c>
      <c r="J112" s="28">
        <f>'[2]А-4'!G180</f>
        <v>0</v>
      </c>
      <c r="K112" s="28">
        <v>0</v>
      </c>
      <c r="L112" s="22">
        <f>'[2]А-4'!Q180</f>
        <v>0</v>
      </c>
      <c r="M112" s="22">
        <f>'[2]А-4'!AC180</f>
        <v>0</v>
      </c>
      <c r="N112" s="22">
        <v>0</v>
      </c>
      <c r="O112" s="22">
        <v>0</v>
      </c>
      <c r="P112" s="28">
        <f t="shared" si="28"/>
        <v>0</v>
      </c>
      <c r="Q112" s="22">
        <f t="shared" si="50"/>
        <v>0</v>
      </c>
      <c r="R112" s="23">
        <f t="shared" si="37"/>
        <v>0</v>
      </c>
      <c r="S112" s="23">
        <f t="shared" si="37"/>
        <v>0</v>
      </c>
      <c r="T112" s="16">
        <f t="shared" si="38"/>
        <v>0</v>
      </c>
      <c r="U112" s="26">
        <f t="shared" si="39"/>
        <v>0</v>
      </c>
      <c r="V112" s="9"/>
      <c r="W112" s="26">
        <f t="shared" si="44"/>
        <v>0</v>
      </c>
      <c r="X112" s="53">
        <f t="shared" si="31"/>
        <v>0</v>
      </c>
    </row>
    <row r="113" spans="1:24" ht="39.75" customHeight="1">
      <c r="A113" s="9"/>
      <c r="B113" s="297" t="s">
        <v>28</v>
      </c>
      <c r="C113" s="298"/>
      <c r="D113" s="34">
        <f>D109+D106+D93+D88+D74+D56+D45+D9+D7</f>
        <v>495</v>
      </c>
      <c r="E113" s="222">
        <f>E109+E106+E93+E88+E74+E56+E45+E9+E7</f>
        <v>44250.02</v>
      </c>
      <c r="F113" s="222">
        <f>F109+F106+F93+F88+F74+F56+F45+F9+F7</f>
        <v>31292.025795131605</v>
      </c>
      <c r="G113" s="223">
        <f aca="true" t="shared" si="53" ref="G113:M113">G109+G106+G93+G88+G74+G56+G45+G9+G7</f>
        <v>18161.33667579653</v>
      </c>
      <c r="H113" s="223">
        <f t="shared" si="53"/>
        <v>13130.689119335077</v>
      </c>
      <c r="I113" s="223">
        <f t="shared" si="53"/>
        <v>5902.63</v>
      </c>
      <c r="J113" s="223">
        <f t="shared" si="53"/>
        <v>4459.08</v>
      </c>
      <c r="K113" s="223">
        <f t="shared" si="53"/>
        <v>1443.5500000000002</v>
      </c>
      <c r="L113" s="78">
        <f t="shared" si="53"/>
        <v>737</v>
      </c>
      <c r="M113" s="78">
        <f t="shared" si="53"/>
        <v>151</v>
      </c>
      <c r="N113" s="85">
        <f>L113*10/J113</f>
        <v>1.6528073055428474</v>
      </c>
      <c r="O113" s="85">
        <f>ROUND(M113/K113*10,3)</f>
        <v>1.046</v>
      </c>
      <c r="P113" s="84">
        <f t="shared" si="28"/>
        <v>0.9</v>
      </c>
      <c r="Q113" s="85">
        <f t="shared" si="50"/>
        <v>0.56</v>
      </c>
      <c r="R113" s="78">
        <f aca="true" t="shared" si="54" ref="R113:W113">R109+R106+R93+R88+R74+R56+R45+R9+R7</f>
        <v>13799</v>
      </c>
      <c r="S113" s="78">
        <f t="shared" si="54"/>
        <v>3669</v>
      </c>
      <c r="T113" s="34">
        <f t="shared" si="54"/>
        <v>17468</v>
      </c>
      <c r="U113" s="34">
        <f t="shared" si="54"/>
        <v>866</v>
      </c>
      <c r="V113" s="34">
        <f t="shared" si="54"/>
        <v>294</v>
      </c>
      <c r="W113" s="34">
        <f t="shared" si="54"/>
        <v>393</v>
      </c>
      <c r="X113" s="53">
        <f t="shared" si="31"/>
        <v>0.5582252844338912</v>
      </c>
    </row>
  </sheetData>
  <sheetProtection selectLockedCells="1" selectUnlockedCells="1"/>
  <mergeCells count="25">
    <mergeCell ref="L3:M3"/>
    <mergeCell ref="O5:P5"/>
    <mergeCell ref="B7:C7"/>
    <mergeCell ref="C1:W1"/>
    <mergeCell ref="B96:C96"/>
    <mergeCell ref="A74:C74"/>
    <mergeCell ref="B27:C27"/>
    <mergeCell ref="B33:C33"/>
    <mergeCell ref="A93:C93"/>
    <mergeCell ref="B44:C44"/>
    <mergeCell ref="B113:C113"/>
    <mergeCell ref="B9:C9"/>
    <mergeCell ref="B6:C6"/>
    <mergeCell ref="B105:C105"/>
    <mergeCell ref="A106:C106"/>
    <mergeCell ref="A109:C109"/>
    <mergeCell ref="B112:C112"/>
    <mergeCell ref="B16:C16"/>
    <mergeCell ref="B22:C22"/>
    <mergeCell ref="B23:C23"/>
    <mergeCell ref="B45:C45"/>
    <mergeCell ref="B36:C36"/>
    <mergeCell ref="A88:C88"/>
    <mergeCell ref="B76:C76"/>
    <mergeCell ref="B56:C56"/>
  </mergeCells>
  <printOptions/>
  <pageMargins left="0" right="0" top="0.1968503937007874" bottom="0.1968503937007874" header="0" footer="0"/>
  <pageSetup horizontalDpi="600" verticalDpi="600" orientation="landscape" paperSize="9" scale="63" r:id="rId1"/>
  <rowBreaks count="2" manualBreakCount="2">
    <brk id="55" max="24" man="1"/>
    <brk id="113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127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5.28125" style="0" customWidth="1"/>
    <col min="2" max="2" width="42.00390625" style="0" customWidth="1"/>
    <col min="3" max="3" width="12.7109375" style="0" customWidth="1"/>
    <col min="9" max="9" width="9.140625" style="29" customWidth="1"/>
    <col min="11" max="11" width="9.140625" style="29" customWidth="1"/>
  </cols>
  <sheetData>
    <row r="2" spans="2:12" ht="18.75">
      <c r="B2" s="302" t="s">
        <v>152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2:12" ht="19.5" thickBot="1">
      <c r="B3" s="302" t="s">
        <v>180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2" ht="25.5" customHeight="1" thickBot="1">
      <c r="A4" s="90" t="s">
        <v>9</v>
      </c>
      <c r="B4" s="305" t="s">
        <v>11</v>
      </c>
      <c r="C4" s="303" t="s">
        <v>40</v>
      </c>
      <c r="D4" s="304"/>
      <c r="E4" s="303" t="s">
        <v>92</v>
      </c>
      <c r="F4" s="304"/>
      <c r="G4" s="303" t="s">
        <v>10</v>
      </c>
      <c r="H4" s="304"/>
      <c r="I4" s="303" t="s">
        <v>148</v>
      </c>
      <c r="J4" s="304"/>
      <c r="K4" s="303" t="s">
        <v>149</v>
      </c>
      <c r="L4" s="304"/>
    </row>
    <row r="5" spans="1:12" ht="16.5" customHeight="1" thickBot="1">
      <c r="A5" s="91"/>
      <c r="B5" s="306"/>
      <c r="C5" s="107" t="s">
        <v>150</v>
      </c>
      <c r="D5" s="108" t="s">
        <v>151</v>
      </c>
      <c r="E5" s="108" t="s">
        <v>150</v>
      </c>
      <c r="F5" s="108" t="s">
        <v>151</v>
      </c>
      <c r="G5" s="108" t="s">
        <v>150</v>
      </c>
      <c r="H5" s="108" t="s">
        <v>151</v>
      </c>
      <c r="I5" s="187" t="s">
        <v>150</v>
      </c>
      <c r="J5" s="108" t="s">
        <v>151</v>
      </c>
      <c r="K5" s="187" t="s">
        <v>150</v>
      </c>
      <c r="L5" s="108" t="s">
        <v>151</v>
      </c>
    </row>
    <row r="6" spans="1:12" ht="16.5" customHeight="1" thickBot="1">
      <c r="A6" s="91"/>
      <c r="B6" s="92" t="s">
        <v>104</v>
      </c>
      <c r="C6" s="200"/>
      <c r="D6" s="201"/>
      <c r="E6" s="200">
        <f>'Расчет ДСО 16 Новая форма '!W12</f>
        <v>0</v>
      </c>
      <c r="F6" s="202"/>
      <c r="G6" s="200">
        <f aca="true" t="shared" si="0" ref="G6:L6">G7</f>
        <v>0</v>
      </c>
      <c r="H6" s="200">
        <f t="shared" si="0"/>
        <v>0</v>
      </c>
      <c r="I6" s="203">
        <f t="shared" si="0"/>
        <v>0</v>
      </c>
      <c r="J6" s="200">
        <f t="shared" si="0"/>
        <v>0</v>
      </c>
      <c r="K6" s="203">
        <f t="shared" si="0"/>
        <v>0</v>
      </c>
      <c r="L6" s="200">
        <f t="shared" si="0"/>
        <v>0</v>
      </c>
    </row>
    <row r="7" spans="1:12" ht="13.5" thickBot="1">
      <c r="A7" s="93">
        <v>1</v>
      </c>
      <c r="B7" s="109" t="s">
        <v>99</v>
      </c>
      <c r="C7" s="167">
        <f>'Расчет Лось 16 Новая форма'!W8</f>
        <v>0</v>
      </c>
      <c r="D7" s="168"/>
      <c r="E7" s="172">
        <f>'Расчет ДСО 16 Новая форма '!W13</f>
        <v>0</v>
      </c>
      <c r="F7" s="169"/>
      <c r="G7" s="173">
        <f>'Расчет СОБОЛЬ 16 Новая форма  '!W12</f>
        <v>0</v>
      </c>
      <c r="H7" s="169"/>
      <c r="I7" s="188">
        <v>0</v>
      </c>
      <c r="J7" s="169">
        <v>0</v>
      </c>
      <c r="K7" s="188">
        <v>0</v>
      </c>
      <c r="L7" s="188">
        <v>0</v>
      </c>
    </row>
    <row r="8" spans="1:12" ht="16.5" thickBot="1">
      <c r="A8" s="93"/>
      <c r="B8" s="94" t="s">
        <v>103</v>
      </c>
      <c r="C8" s="171">
        <f aca="true" t="shared" si="1" ref="C8:L8">SUM(C9:C43)</f>
        <v>33</v>
      </c>
      <c r="D8" s="180">
        <f t="shared" si="1"/>
        <v>0</v>
      </c>
      <c r="E8" s="180">
        <f t="shared" si="1"/>
        <v>136</v>
      </c>
      <c r="F8" s="184">
        <f t="shared" si="1"/>
        <v>0.8796980559448664</v>
      </c>
      <c r="G8" s="180">
        <f t="shared" si="1"/>
        <v>1238</v>
      </c>
      <c r="H8" s="185">
        <f t="shared" si="1"/>
        <v>0.6461487150251679</v>
      </c>
      <c r="I8" s="189">
        <f t="shared" si="1"/>
        <v>228</v>
      </c>
      <c r="J8" s="185">
        <f t="shared" si="1"/>
        <v>0</v>
      </c>
      <c r="K8" s="189">
        <f t="shared" si="1"/>
        <v>55</v>
      </c>
      <c r="L8" s="185">
        <f t="shared" si="1"/>
        <v>0</v>
      </c>
    </row>
    <row r="9" spans="1:12" ht="12.75">
      <c r="A9" s="93">
        <f>A7+1</f>
        <v>2</v>
      </c>
      <c r="B9" s="109" t="s">
        <v>96</v>
      </c>
      <c r="C9" s="167">
        <f>'Расчет Лось 16 Новая форма'!W10</f>
        <v>3</v>
      </c>
      <c r="D9" s="170"/>
      <c r="E9" s="216">
        <f>'Расчет ДСО 16 Новая форма '!W15</f>
        <v>0</v>
      </c>
      <c r="F9" s="212">
        <v>0</v>
      </c>
      <c r="G9" s="216">
        <f>'Расчет СОБОЛЬ 16 Новая форма  '!W14</f>
        <v>90</v>
      </c>
      <c r="H9" s="170"/>
      <c r="I9" s="190">
        <v>35</v>
      </c>
      <c r="J9" s="170"/>
      <c r="K9" s="190">
        <v>2</v>
      </c>
      <c r="L9" s="170"/>
    </row>
    <row r="10" spans="1:12" ht="12.75">
      <c r="A10" s="93">
        <f>A9+1</f>
        <v>3</v>
      </c>
      <c r="B10" s="109" t="s">
        <v>97</v>
      </c>
      <c r="C10" s="209">
        <f>'Расчет Лось 16 Новая форма'!W11</f>
        <v>4</v>
      </c>
      <c r="D10" s="117"/>
      <c r="E10" s="204">
        <f>'Расчет ДСО 16 Новая форма '!W16</f>
        <v>10</v>
      </c>
      <c r="F10" s="213"/>
      <c r="G10" s="204">
        <f>'Расчет СОБОЛЬ 16 Новая форма  '!W15</f>
        <v>94</v>
      </c>
      <c r="H10" s="117"/>
      <c r="I10" s="191">
        <v>25</v>
      </c>
      <c r="J10" s="117"/>
      <c r="K10" s="191">
        <v>1</v>
      </c>
      <c r="L10" s="117"/>
    </row>
    <row r="11" spans="1:12" ht="12.75">
      <c r="A11" s="93">
        <f aca="true" t="shared" si="2" ref="A11:A43">A10+1</f>
        <v>4</v>
      </c>
      <c r="B11" s="109" t="s">
        <v>98</v>
      </c>
      <c r="C11" s="209">
        <f>'Расчет Лось 16 Новая форма'!W12</f>
        <v>1</v>
      </c>
      <c r="D11" s="117"/>
      <c r="E11" s="204">
        <f>'Расчет ДСО 16 Новая форма '!W17</f>
        <v>7</v>
      </c>
      <c r="F11" s="213"/>
      <c r="G11" s="204">
        <f>'Расчет СОБОЛЬ 16 Новая форма  '!W16</f>
        <v>17</v>
      </c>
      <c r="H11" s="117"/>
      <c r="I11" s="191">
        <v>0</v>
      </c>
      <c r="J11" s="191">
        <v>0</v>
      </c>
      <c r="K11" s="191">
        <v>0</v>
      </c>
      <c r="L11" s="191">
        <v>0</v>
      </c>
    </row>
    <row r="12" spans="1:12" ht="12.75">
      <c r="A12" s="93">
        <f t="shared" si="2"/>
        <v>5</v>
      </c>
      <c r="B12" s="109" t="s">
        <v>100</v>
      </c>
      <c r="C12" s="209">
        <f>'Расчет Лось 16 Новая форма'!W13</f>
        <v>2</v>
      </c>
      <c r="D12" s="117"/>
      <c r="E12" s="204">
        <f>'Расчет ДСО 16 Новая форма '!W18</f>
        <v>12</v>
      </c>
      <c r="F12" s="213"/>
      <c r="G12" s="204">
        <f>'Расчет СОБОЛЬ 16 Новая форма  '!W17</f>
        <v>34</v>
      </c>
      <c r="H12" s="117"/>
      <c r="I12" s="191">
        <v>1</v>
      </c>
      <c r="J12" s="117"/>
      <c r="K12" s="191">
        <v>0</v>
      </c>
      <c r="L12" s="191">
        <v>0</v>
      </c>
    </row>
    <row r="13" spans="1:12" ht="12.75">
      <c r="A13" s="93">
        <f t="shared" si="2"/>
        <v>6</v>
      </c>
      <c r="B13" s="109" t="s">
        <v>101</v>
      </c>
      <c r="C13" s="209">
        <f>'Расчет Лось 16 Новая форма'!W14</f>
        <v>2</v>
      </c>
      <c r="D13" s="117"/>
      <c r="E13" s="204">
        <f>'Расчет ДСО 16 Новая форма '!W19</f>
        <v>17</v>
      </c>
      <c r="F13" s="213"/>
      <c r="G13" s="204">
        <f>'Расчет СОБОЛЬ 16 Новая форма  '!W18</f>
        <v>68</v>
      </c>
      <c r="H13" s="117"/>
      <c r="I13" s="191">
        <v>0</v>
      </c>
      <c r="J13" s="191">
        <v>0</v>
      </c>
      <c r="K13" s="191">
        <v>0</v>
      </c>
      <c r="L13" s="191">
        <v>0</v>
      </c>
    </row>
    <row r="14" spans="1:12" ht="12.75">
      <c r="A14" s="93">
        <f t="shared" si="2"/>
        <v>7</v>
      </c>
      <c r="B14" s="109" t="s">
        <v>102</v>
      </c>
      <c r="C14" s="209">
        <f>'Расчет Лось 16 Новая форма'!W15</f>
        <v>3</v>
      </c>
      <c r="D14" s="117"/>
      <c r="E14" s="204">
        <f>'Расчет ДСО 16 Новая форма '!W20</f>
        <v>18</v>
      </c>
      <c r="F14" s="213"/>
      <c r="G14" s="204">
        <f>'Расчет СОБОЛЬ 16 Новая форма  '!W19</f>
        <v>49</v>
      </c>
      <c r="H14" s="117"/>
      <c r="I14" s="191">
        <v>1</v>
      </c>
      <c r="J14" s="117"/>
      <c r="K14" s="191">
        <v>0</v>
      </c>
      <c r="L14" s="191">
        <v>0</v>
      </c>
    </row>
    <row r="15" spans="1:12" ht="12.75">
      <c r="A15" s="93">
        <f t="shared" si="2"/>
        <v>8</v>
      </c>
      <c r="B15" s="95" t="s">
        <v>93</v>
      </c>
      <c r="C15" s="209">
        <f>'Расчет Лось 16 Новая форма'!W16</f>
        <v>0</v>
      </c>
      <c r="D15" s="207">
        <v>0</v>
      </c>
      <c r="E15" s="204">
        <f>'Расчет ДСО 16 Новая форма '!W21</f>
        <v>0</v>
      </c>
      <c r="F15" s="214">
        <f>'Расчет ДСО 16 Новая форма '!X21</f>
        <v>0.12295356540880836</v>
      </c>
      <c r="G15" s="204">
        <f>'Расчет СОБОЛЬ 16 Новая форма  '!W20</f>
        <v>9</v>
      </c>
      <c r="H15" s="117"/>
      <c r="I15" s="191">
        <v>9</v>
      </c>
      <c r="J15" s="117"/>
      <c r="K15" s="191">
        <v>4</v>
      </c>
      <c r="L15" s="117"/>
    </row>
    <row r="16" spans="1:12" ht="12.75">
      <c r="A16" s="93">
        <f t="shared" si="2"/>
        <v>9</v>
      </c>
      <c r="B16" s="95" t="s">
        <v>94</v>
      </c>
      <c r="C16" s="209">
        <f>'Расчет Лось 16 Новая форма'!W17</f>
        <v>0</v>
      </c>
      <c r="D16" s="207">
        <v>0</v>
      </c>
      <c r="E16" s="204">
        <f>'Расчет ДСО 16 Новая форма '!W22</f>
        <v>0</v>
      </c>
      <c r="F16" s="214">
        <f>'Расчет ДСО 16 Новая форма '!X22</f>
        <v>0.1202333537847197</v>
      </c>
      <c r="G16" s="204">
        <f>'Расчет СОБОЛЬ 16 Новая форма  '!W21</f>
        <v>8</v>
      </c>
      <c r="H16" s="117"/>
      <c r="I16" s="191">
        <v>9</v>
      </c>
      <c r="J16" s="117"/>
      <c r="K16" s="191">
        <v>3</v>
      </c>
      <c r="L16" s="117"/>
    </row>
    <row r="17" spans="1:12" ht="12.75">
      <c r="A17" s="93">
        <f t="shared" si="2"/>
        <v>10</v>
      </c>
      <c r="B17" s="95" t="s">
        <v>95</v>
      </c>
      <c r="C17" s="209">
        <f>'Расчет Лось 16 Новая форма'!W18</f>
        <v>0</v>
      </c>
      <c r="D17" s="207">
        <v>0</v>
      </c>
      <c r="E17" s="204">
        <f>'Расчет ДСО 16 Новая форма '!W23</f>
        <v>0</v>
      </c>
      <c r="F17" s="214">
        <f>'Расчет ДСО 16 Новая форма '!X23</f>
        <v>0.16313838922534576</v>
      </c>
      <c r="G17" s="204">
        <f>'Расчет СОБОЛЬ 16 Новая форма  '!W22</f>
        <v>54</v>
      </c>
      <c r="H17" s="117"/>
      <c r="I17" s="191">
        <v>21</v>
      </c>
      <c r="J17" s="117"/>
      <c r="K17" s="191">
        <v>3</v>
      </c>
      <c r="L17" s="117"/>
    </row>
    <row r="18" spans="1:12" ht="12.75">
      <c r="A18" s="93">
        <f t="shared" si="2"/>
        <v>11</v>
      </c>
      <c r="B18" s="106" t="s">
        <v>42</v>
      </c>
      <c r="C18" s="209">
        <f>'Расчет Лось 16 Новая форма'!W19</f>
        <v>0</v>
      </c>
      <c r="D18" s="207">
        <v>0</v>
      </c>
      <c r="E18" s="204">
        <f>'Расчет ДСО 16 Новая форма '!W24</f>
        <v>0</v>
      </c>
      <c r="F18" s="214">
        <f>'Расчет ДСО 16 Новая форма '!X24</f>
        <v>0</v>
      </c>
      <c r="G18" s="204">
        <f>'Расчет СОБОЛЬ 16 Новая форма  '!W23</f>
        <v>0</v>
      </c>
      <c r="H18" s="117">
        <v>0</v>
      </c>
      <c r="I18" s="191">
        <v>0</v>
      </c>
      <c r="J18" s="191">
        <v>0</v>
      </c>
      <c r="K18" s="191">
        <v>0</v>
      </c>
      <c r="L18" s="191">
        <v>0</v>
      </c>
    </row>
    <row r="19" spans="1:12" ht="12.75">
      <c r="A19" s="93">
        <f t="shared" si="2"/>
        <v>12</v>
      </c>
      <c r="B19" s="110" t="s">
        <v>12</v>
      </c>
      <c r="C19" s="209">
        <f>'Расчет Лось 16 Новая форма'!W20</f>
        <v>3</v>
      </c>
      <c r="D19" s="117"/>
      <c r="E19" s="204">
        <f>'Расчет ДСО 16 Новая форма '!W25</f>
        <v>10</v>
      </c>
      <c r="F19" s="213"/>
      <c r="G19" s="204">
        <f>'Расчет СОБОЛЬ 16 Новая форма  '!W24</f>
        <v>120</v>
      </c>
      <c r="H19" s="117"/>
      <c r="I19" s="191">
        <v>10</v>
      </c>
      <c r="J19" s="117"/>
      <c r="K19" s="191">
        <v>11</v>
      </c>
      <c r="L19" s="117"/>
    </row>
    <row r="20" spans="1:12" ht="12.75">
      <c r="A20" s="93">
        <f t="shared" si="2"/>
        <v>13</v>
      </c>
      <c r="B20" s="95" t="s">
        <v>30</v>
      </c>
      <c r="C20" s="209">
        <f>'Расчет Лось 16 Новая форма'!W21</f>
        <v>1</v>
      </c>
      <c r="D20" s="117"/>
      <c r="E20" s="204">
        <f>'Расчет ДСО 16 Новая форма '!W26</f>
        <v>0</v>
      </c>
      <c r="F20" s="214">
        <f>'Расчет ДСО 16 Новая форма '!X26</f>
        <v>0</v>
      </c>
      <c r="G20" s="204">
        <f>'Расчет СОБОЛЬ 16 Новая форма  '!W25</f>
        <v>50</v>
      </c>
      <c r="H20" s="177"/>
      <c r="I20" s="191">
        <v>0</v>
      </c>
      <c r="J20" s="191">
        <v>0</v>
      </c>
      <c r="K20" s="191">
        <v>0</v>
      </c>
      <c r="L20" s="117">
        <v>0</v>
      </c>
    </row>
    <row r="21" spans="1:12" ht="12.75">
      <c r="A21" s="93">
        <f t="shared" si="2"/>
        <v>14</v>
      </c>
      <c r="B21" s="122" t="s">
        <v>62</v>
      </c>
      <c r="C21" s="209">
        <f>'Расчет Лось 16 Новая форма'!W22</f>
        <v>0</v>
      </c>
      <c r="D21" s="207">
        <v>0</v>
      </c>
      <c r="E21" s="204">
        <f>'Расчет ДСО 16 Новая форма '!W27</f>
        <v>0</v>
      </c>
      <c r="F21" s="214">
        <f>'Расчет ДСО 16 Новая форма '!X27</f>
        <v>0</v>
      </c>
      <c r="G21" s="204">
        <f>'Расчет СОБОЛЬ 16 Новая форма  '!W26</f>
        <v>0</v>
      </c>
      <c r="H21" s="215">
        <v>0</v>
      </c>
      <c r="I21" s="191">
        <v>4</v>
      </c>
      <c r="J21" s="117"/>
      <c r="K21" s="191">
        <v>4</v>
      </c>
      <c r="L21" s="117"/>
    </row>
    <row r="22" spans="1:12" ht="12.75">
      <c r="A22" s="93">
        <f t="shared" si="2"/>
        <v>15</v>
      </c>
      <c r="B22" s="164" t="s">
        <v>63</v>
      </c>
      <c r="C22" s="209">
        <f>'Расчет Лось 16 Новая форма'!W23</f>
        <v>0</v>
      </c>
      <c r="D22" s="207">
        <v>0</v>
      </c>
      <c r="E22" s="204">
        <f>'Расчет ДСО 16 Новая форма '!W28</f>
        <v>0</v>
      </c>
      <c r="F22" s="214">
        <f>'Расчет ДСО 16 Новая форма '!X28</f>
        <v>0.24834185488511792</v>
      </c>
      <c r="G22" s="204">
        <f>'Расчет СОБОЛЬ 16 Новая форма  '!W27</f>
        <v>0</v>
      </c>
      <c r="H22" s="215">
        <f>'Расчет СОБОЛЬ 16 Новая форма  '!X27</f>
        <v>0.41390309147519655</v>
      </c>
      <c r="I22" s="191">
        <v>6</v>
      </c>
      <c r="J22" s="117"/>
      <c r="K22" s="191">
        <v>3</v>
      </c>
      <c r="L22" s="117"/>
    </row>
    <row r="23" spans="1:12" ht="12.75">
      <c r="A23" s="93">
        <f t="shared" si="2"/>
        <v>16</v>
      </c>
      <c r="B23" s="97" t="s">
        <v>71</v>
      </c>
      <c r="C23" s="209">
        <f>'Расчет Лось 16 Новая форма'!W24</f>
        <v>0</v>
      </c>
      <c r="D23" s="207">
        <v>0</v>
      </c>
      <c r="E23" s="204">
        <f>'Расчет ДСО 16 Новая форма '!W29</f>
        <v>0</v>
      </c>
      <c r="F23" s="214">
        <f>'Расчет ДСО 16 Новая форма '!X29</f>
        <v>0.05806140588749285</v>
      </c>
      <c r="G23" s="204">
        <f>'Расчет СОБОЛЬ 16 Новая форма  '!W28</f>
        <v>0</v>
      </c>
      <c r="H23" s="215">
        <f>'Расчет СОБОЛЬ 16 Новая форма  '!X28</f>
        <v>0.2322456235499714</v>
      </c>
      <c r="I23" s="191">
        <v>2</v>
      </c>
      <c r="J23" s="117"/>
      <c r="K23" s="191">
        <v>0</v>
      </c>
      <c r="L23" s="191">
        <v>0</v>
      </c>
    </row>
    <row r="24" spans="1:12" ht="12.75">
      <c r="A24" s="93">
        <f t="shared" si="2"/>
        <v>17</v>
      </c>
      <c r="B24" s="106" t="s">
        <v>13</v>
      </c>
      <c r="C24" s="209">
        <f>'Расчет Лось 16 Новая форма'!W25</f>
        <v>0</v>
      </c>
      <c r="D24" s="207">
        <v>0</v>
      </c>
      <c r="E24" s="204">
        <f>'Расчет ДСО 16 Новая форма '!W30</f>
        <v>0</v>
      </c>
      <c r="F24" s="214">
        <f>'Расчет ДСО 16 Новая форма '!X30</f>
        <v>0</v>
      </c>
      <c r="G24" s="204">
        <f>'Расчет СОБОЛЬ 16 Новая форма  '!W29</f>
        <v>0</v>
      </c>
      <c r="H24" s="215">
        <f>'Расчет СОБОЛЬ 16 Новая форма  '!X29</f>
        <v>0</v>
      </c>
      <c r="I24" s="191">
        <v>0</v>
      </c>
      <c r="J24" s="191">
        <v>0</v>
      </c>
      <c r="K24" s="191">
        <v>0</v>
      </c>
      <c r="L24" s="191">
        <v>0</v>
      </c>
    </row>
    <row r="25" spans="1:12" ht="12.75">
      <c r="A25" s="93">
        <f t="shared" si="2"/>
        <v>18</v>
      </c>
      <c r="B25" s="106" t="s">
        <v>14</v>
      </c>
      <c r="C25" s="209">
        <f>'Расчет Лось 16 Новая форма'!W26</f>
        <v>0</v>
      </c>
      <c r="D25" s="207">
        <v>0</v>
      </c>
      <c r="E25" s="204">
        <f>'Расчет ДСО 16 Новая форма '!W31</f>
        <v>0</v>
      </c>
      <c r="F25" s="214">
        <f>'Расчет ДСО 16 Новая форма '!X31</f>
        <v>0</v>
      </c>
      <c r="G25" s="204">
        <f>'Расчет СОБОЛЬ 16 Новая форма  '!W30</f>
        <v>0</v>
      </c>
      <c r="H25" s="215">
        <f>'Расчет СОБОЛЬ 16 Новая форма  '!X30</f>
        <v>0</v>
      </c>
      <c r="I25" s="191">
        <v>0</v>
      </c>
      <c r="J25" s="191">
        <v>0</v>
      </c>
      <c r="K25" s="191">
        <v>0</v>
      </c>
      <c r="L25" s="191">
        <v>0</v>
      </c>
    </row>
    <row r="26" spans="1:12" ht="12.75">
      <c r="A26" s="93">
        <f t="shared" si="2"/>
        <v>19</v>
      </c>
      <c r="B26" s="165" t="s">
        <v>175</v>
      </c>
      <c r="C26" s="209">
        <f>'Расчет Лось 16 Новая форма'!W27</f>
        <v>0</v>
      </c>
      <c r="D26" s="207">
        <v>0</v>
      </c>
      <c r="E26" s="204">
        <f>'Расчет ДСО 16 Новая форма '!W32</f>
        <v>0</v>
      </c>
      <c r="F26" s="214">
        <f>'Расчет ДСО 16 Новая форма '!X32</f>
        <v>0</v>
      </c>
      <c r="G26" s="204">
        <f>'Расчет СОБОЛЬ 16 Новая форма  '!W31</f>
        <v>0</v>
      </c>
      <c r="H26" s="215">
        <f>'Расчет СОБОЛЬ 16 Новая форма  '!X31</f>
        <v>0</v>
      </c>
      <c r="I26" s="191">
        <v>0</v>
      </c>
      <c r="J26" s="191">
        <v>0</v>
      </c>
      <c r="K26" s="191">
        <v>0</v>
      </c>
      <c r="L26" s="191">
        <v>0</v>
      </c>
    </row>
    <row r="27" spans="1:12" ht="12.75">
      <c r="A27" s="93">
        <f t="shared" si="2"/>
        <v>20</v>
      </c>
      <c r="B27" s="101" t="s">
        <v>75</v>
      </c>
      <c r="C27" s="209">
        <f>'Расчет Лось 16 Новая форма'!W28</f>
        <v>2</v>
      </c>
      <c r="D27" s="117"/>
      <c r="E27" s="204">
        <f>'Расчет ДСО 16 Новая форма '!W33</f>
        <v>0</v>
      </c>
      <c r="F27" s="214">
        <f>'Расчет ДСО 16 Новая форма '!X33</f>
        <v>0</v>
      </c>
      <c r="G27" s="204">
        <f>'Расчет СОБОЛЬ 16 Новая форма  '!W32</f>
        <v>52</v>
      </c>
      <c r="H27" s="117"/>
      <c r="I27" s="191">
        <v>18</v>
      </c>
      <c r="J27" s="117"/>
      <c r="K27" s="191">
        <v>5</v>
      </c>
      <c r="L27" s="117"/>
    </row>
    <row r="28" spans="1:12" ht="12.75">
      <c r="A28" s="93">
        <f t="shared" si="2"/>
        <v>21</v>
      </c>
      <c r="B28" s="101" t="s">
        <v>64</v>
      </c>
      <c r="C28" s="209">
        <f>'Расчет Лось 16 Новая форма'!W29</f>
        <v>0</v>
      </c>
      <c r="D28" s="207">
        <v>0</v>
      </c>
      <c r="E28" s="204">
        <f>'Расчет ДСО 16 Новая форма '!W34</f>
        <v>6</v>
      </c>
      <c r="F28" s="213"/>
      <c r="G28" s="204">
        <f>'Расчет СОБОЛЬ 16 Новая форма  '!W33</f>
        <v>73</v>
      </c>
      <c r="H28" s="117"/>
      <c r="I28" s="191">
        <v>9</v>
      </c>
      <c r="J28" s="117"/>
      <c r="K28" s="191">
        <v>0</v>
      </c>
      <c r="L28" s="117">
        <v>0</v>
      </c>
    </row>
    <row r="29" spans="1:12" ht="12.75">
      <c r="A29" s="93">
        <f t="shared" si="2"/>
        <v>22</v>
      </c>
      <c r="B29" s="106" t="s">
        <v>29</v>
      </c>
      <c r="C29" s="209">
        <f>'Расчет Лось 16 Новая форма'!W30</f>
        <v>0</v>
      </c>
      <c r="D29" s="207">
        <v>0</v>
      </c>
      <c r="E29" s="204">
        <f>'Расчет ДСО 16 Новая форма '!W35</f>
        <v>0</v>
      </c>
      <c r="F29" s="214">
        <f>'Расчет ДСО 16 Новая форма '!X35</f>
        <v>0</v>
      </c>
      <c r="G29" s="204">
        <f>'Расчет СОБОЛЬ 16 Новая форма  '!W34</f>
        <v>0</v>
      </c>
      <c r="H29" s="215">
        <f>'Расчет СОБОЛЬ 16 Новая форма  '!X34</f>
        <v>0</v>
      </c>
      <c r="I29" s="191">
        <v>0</v>
      </c>
      <c r="J29" s="117">
        <v>0</v>
      </c>
      <c r="K29" s="191">
        <v>0</v>
      </c>
      <c r="L29" s="117">
        <v>0</v>
      </c>
    </row>
    <row r="30" spans="1:12" ht="12.75">
      <c r="A30" s="93">
        <f t="shared" si="2"/>
        <v>23</v>
      </c>
      <c r="B30" s="101" t="s">
        <v>15</v>
      </c>
      <c r="C30" s="209">
        <f>'Расчет Лось 16 Новая форма'!W31</f>
        <v>3</v>
      </c>
      <c r="D30" s="117"/>
      <c r="E30" s="204">
        <f>'Расчет ДСО 16 Новая форма '!W36</f>
        <v>8</v>
      </c>
      <c r="F30" s="213"/>
      <c r="G30" s="204">
        <f>'Расчет СОБОЛЬ 16 Новая форма  '!W35</f>
        <v>115</v>
      </c>
      <c r="H30" s="117"/>
      <c r="I30" s="191">
        <v>10</v>
      </c>
      <c r="J30" s="117"/>
      <c r="K30" s="191">
        <v>6</v>
      </c>
      <c r="L30" s="117"/>
    </row>
    <row r="31" spans="1:12" ht="12.75">
      <c r="A31" s="93">
        <f t="shared" si="2"/>
        <v>24</v>
      </c>
      <c r="B31" s="101" t="s">
        <v>73</v>
      </c>
      <c r="C31" s="209">
        <f>'Расчет Лось 16 Новая форма'!W32</f>
        <v>0</v>
      </c>
      <c r="D31" s="207">
        <v>0</v>
      </c>
      <c r="E31" s="204">
        <f>'Расчет ДСО 16 Новая форма '!W37</f>
        <v>0</v>
      </c>
      <c r="F31" s="214">
        <f>'Расчет ДСО 16 Новая форма '!X37</f>
        <v>0</v>
      </c>
      <c r="G31" s="204">
        <f>'Расчет СОБОЛЬ 16 Новая форма  '!W36</f>
        <v>21</v>
      </c>
      <c r="H31" s="117"/>
      <c r="I31" s="191">
        <v>0</v>
      </c>
      <c r="J31" s="117">
        <v>0</v>
      </c>
      <c r="K31" s="191">
        <v>0</v>
      </c>
      <c r="L31" s="191">
        <v>0</v>
      </c>
    </row>
    <row r="32" spans="1:12" ht="12.75">
      <c r="A32" s="93">
        <f t="shared" si="2"/>
        <v>25</v>
      </c>
      <c r="B32" s="166" t="s">
        <v>174</v>
      </c>
      <c r="C32" s="209">
        <f>'Расчет Лось 16 Новая форма'!W33</f>
        <v>0</v>
      </c>
      <c r="D32" s="207">
        <v>0</v>
      </c>
      <c r="E32" s="204">
        <f>'Расчет ДСО 16 Новая форма '!W38</f>
        <v>0</v>
      </c>
      <c r="F32" s="214">
        <v>0</v>
      </c>
      <c r="G32" s="204">
        <f>'Расчет СОБОЛЬ 16 Новая форма  '!W37</f>
        <v>0</v>
      </c>
      <c r="H32" s="215">
        <v>0</v>
      </c>
      <c r="I32" s="191">
        <v>0</v>
      </c>
      <c r="J32" s="117">
        <v>0</v>
      </c>
      <c r="K32" s="191">
        <v>0</v>
      </c>
      <c r="L32" s="191">
        <v>0</v>
      </c>
    </row>
    <row r="33" spans="1:12" ht="12.75">
      <c r="A33" s="93">
        <f t="shared" si="2"/>
        <v>26</v>
      </c>
      <c r="B33" s="101" t="s">
        <v>31</v>
      </c>
      <c r="C33" s="209">
        <f>'Расчет Лось 16 Новая форма'!W34</f>
        <v>1</v>
      </c>
      <c r="D33" s="117"/>
      <c r="E33" s="204">
        <f>'Расчет ДСО 16 Новая форма '!W39</f>
        <v>6</v>
      </c>
      <c r="F33" s="213"/>
      <c r="G33" s="204">
        <f>'Расчет СОБОЛЬ 16 Новая форма  '!W38</f>
        <v>45</v>
      </c>
      <c r="H33" s="117"/>
      <c r="I33" s="191">
        <v>2</v>
      </c>
      <c r="J33" s="117"/>
      <c r="K33" s="191">
        <v>3</v>
      </c>
      <c r="L33" s="117"/>
    </row>
    <row r="34" spans="1:12" ht="12.75">
      <c r="A34" s="93">
        <f t="shared" si="2"/>
        <v>27</v>
      </c>
      <c r="B34" s="101" t="s">
        <v>59</v>
      </c>
      <c r="C34" s="209">
        <f>'Расчет Лось 16 Новая форма'!W35</f>
        <v>3</v>
      </c>
      <c r="D34" s="117"/>
      <c r="E34" s="204">
        <f>'Расчет ДСО 16 Новая форма '!W40</f>
        <v>14</v>
      </c>
      <c r="F34" s="213"/>
      <c r="G34" s="204">
        <f>'Расчет СОБОЛЬ 16 Новая форма  '!W39</f>
        <v>109</v>
      </c>
      <c r="H34" s="117"/>
      <c r="I34" s="191">
        <v>0</v>
      </c>
      <c r="J34" s="117">
        <v>0</v>
      </c>
      <c r="K34" s="191">
        <v>0</v>
      </c>
      <c r="L34" s="191">
        <v>0</v>
      </c>
    </row>
    <row r="35" spans="1:12" ht="12.75">
      <c r="A35" s="93">
        <f t="shared" si="2"/>
        <v>28</v>
      </c>
      <c r="B35" s="96" t="s">
        <v>74</v>
      </c>
      <c r="C35" s="209">
        <f>'Расчет Лось 16 Новая форма'!W36</f>
        <v>0</v>
      </c>
      <c r="D35" s="207">
        <v>0</v>
      </c>
      <c r="E35" s="204">
        <f>'Расчет ДСО 16 Новая форма '!W41</f>
        <v>0</v>
      </c>
      <c r="F35" s="214">
        <f>'Расчет ДСО 16 Новая форма '!X41</f>
        <v>0</v>
      </c>
      <c r="G35" s="204">
        <f>'Расчет СОБОЛЬ 16 Новая форма  '!W40</f>
        <v>0</v>
      </c>
      <c r="H35" s="215">
        <f>'Расчет СОБОЛЬ 16 Новая форма  '!X40</f>
        <v>0</v>
      </c>
      <c r="I35" s="191">
        <v>0</v>
      </c>
      <c r="J35" s="117">
        <v>0</v>
      </c>
      <c r="K35" s="191">
        <v>0</v>
      </c>
      <c r="L35" s="191">
        <v>0</v>
      </c>
    </row>
    <row r="36" spans="1:12" ht="12.75">
      <c r="A36" s="93">
        <f t="shared" si="2"/>
        <v>29</v>
      </c>
      <c r="B36" s="101" t="s">
        <v>114</v>
      </c>
      <c r="C36" s="209">
        <f>'Расчет Лось 16 Новая форма'!W37</f>
        <v>2</v>
      </c>
      <c r="D36" s="117"/>
      <c r="E36" s="204">
        <f>'Расчет ДСО 16 Новая форма '!W42</f>
        <v>4</v>
      </c>
      <c r="F36" s="213"/>
      <c r="G36" s="204">
        <f>'Расчет СОБОЛЬ 16 Новая форма  '!W41</f>
        <v>20</v>
      </c>
      <c r="H36" s="117"/>
      <c r="I36" s="191">
        <v>8</v>
      </c>
      <c r="J36" s="117"/>
      <c r="K36" s="191">
        <v>3</v>
      </c>
      <c r="L36" s="117"/>
    </row>
    <row r="37" spans="1:12" ht="12.75">
      <c r="A37" s="93">
        <f t="shared" si="2"/>
        <v>30</v>
      </c>
      <c r="B37" s="111" t="s">
        <v>113</v>
      </c>
      <c r="C37" s="209">
        <f>'Расчет Лось 16 Новая форма'!W38</f>
        <v>0</v>
      </c>
      <c r="D37" s="207">
        <v>0</v>
      </c>
      <c r="E37" s="204">
        <f>'Расчет ДСО 16 Новая форма '!W43</f>
        <v>6</v>
      </c>
      <c r="F37" s="213"/>
      <c r="G37" s="204">
        <f>'Расчет СОБОЛЬ 16 Новая форма  '!W42</f>
        <v>30</v>
      </c>
      <c r="H37" s="117"/>
      <c r="I37" s="191">
        <v>8</v>
      </c>
      <c r="J37" s="117"/>
      <c r="K37" s="191">
        <v>0</v>
      </c>
      <c r="L37" s="191">
        <v>0</v>
      </c>
    </row>
    <row r="38" spans="1:12" ht="12.75">
      <c r="A38" s="93">
        <f t="shared" si="2"/>
        <v>31</v>
      </c>
      <c r="B38" s="101" t="s">
        <v>32</v>
      </c>
      <c r="C38" s="209">
        <f>'Расчет Лось 16 Новая форма'!W39</f>
        <v>1</v>
      </c>
      <c r="D38" s="117"/>
      <c r="E38" s="204">
        <f>'Расчет ДСО 16 Новая форма '!W44</f>
        <v>5</v>
      </c>
      <c r="F38" s="213"/>
      <c r="G38" s="204">
        <f>'Расчет СОБОЛЬ 16 Новая форма  '!W43</f>
        <v>47</v>
      </c>
      <c r="H38" s="117"/>
      <c r="I38" s="191">
        <v>6</v>
      </c>
      <c r="J38" s="117"/>
      <c r="K38" s="191">
        <v>2</v>
      </c>
      <c r="L38" s="117"/>
    </row>
    <row r="39" spans="1:12" ht="12.75">
      <c r="A39" s="93">
        <f t="shared" si="2"/>
        <v>32</v>
      </c>
      <c r="B39" s="101" t="s">
        <v>176</v>
      </c>
      <c r="C39" s="209">
        <f>'Расчет Лось 16 Новая форма'!W40</f>
        <v>1</v>
      </c>
      <c r="D39" s="117"/>
      <c r="E39" s="204">
        <f>'Расчет ДСО 16 Новая форма '!W45</f>
        <v>13</v>
      </c>
      <c r="F39" s="213"/>
      <c r="G39" s="204">
        <f>'Расчет СОБОЛЬ 16 Новая форма  '!W44</f>
        <v>62</v>
      </c>
      <c r="H39" s="117"/>
      <c r="I39" s="191">
        <v>0</v>
      </c>
      <c r="J39" s="117">
        <v>0</v>
      </c>
      <c r="K39" s="191">
        <v>5</v>
      </c>
      <c r="L39" s="117"/>
    </row>
    <row r="40" spans="1:12" ht="12.75">
      <c r="A40" s="93">
        <f t="shared" si="2"/>
        <v>33</v>
      </c>
      <c r="B40" s="101" t="s">
        <v>72</v>
      </c>
      <c r="C40" s="209">
        <f>'Расчет Лось 16 Новая форма'!W41</f>
        <v>0</v>
      </c>
      <c r="D40" s="207">
        <v>0</v>
      </c>
      <c r="E40" s="204">
        <f>'Расчет ДСО 16 Новая форма '!W46</f>
        <v>0</v>
      </c>
      <c r="F40" s="214">
        <f>'Расчет ДСО 16 Новая форма '!X46</f>
        <v>0</v>
      </c>
      <c r="G40" s="204">
        <f>'Расчет СОБОЛЬ 16 Новая форма  '!W45</f>
        <v>31</v>
      </c>
      <c r="H40" s="117"/>
      <c r="I40" s="191">
        <v>42</v>
      </c>
      <c r="J40" s="117"/>
      <c r="K40" s="191">
        <v>0</v>
      </c>
      <c r="L40" s="191">
        <v>0</v>
      </c>
    </row>
    <row r="41" spans="1:12" ht="12.75">
      <c r="A41" s="93">
        <f t="shared" si="2"/>
        <v>34</v>
      </c>
      <c r="B41" s="101" t="s">
        <v>58</v>
      </c>
      <c r="C41" s="209">
        <f>'Расчет Лось 16 Новая форма'!W42</f>
        <v>1</v>
      </c>
      <c r="D41" s="117"/>
      <c r="E41" s="204">
        <f>'Расчет ДСО 16 Новая форма '!W47</f>
        <v>0</v>
      </c>
      <c r="F41" s="214">
        <f>'Расчет ДСО 16 Новая форма '!X47</f>
        <v>0.16696948675338177</v>
      </c>
      <c r="G41" s="204">
        <f>'Расчет СОБОЛЬ 16 Новая форма  '!W46</f>
        <v>40</v>
      </c>
      <c r="H41" s="117"/>
      <c r="I41" s="191">
        <v>2</v>
      </c>
      <c r="J41" s="117"/>
      <c r="K41" s="191">
        <v>0</v>
      </c>
      <c r="L41" s="191">
        <v>0</v>
      </c>
    </row>
    <row r="42" spans="1:12" ht="13.5" thickBot="1">
      <c r="A42" s="93">
        <f t="shared" si="2"/>
        <v>35</v>
      </c>
      <c r="B42" s="101" t="s">
        <v>76</v>
      </c>
      <c r="C42" s="210">
        <f>'Расчет Лось 16 Новая форма'!W43</f>
        <v>0</v>
      </c>
      <c r="D42" s="207">
        <v>0</v>
      </c>
      <c r="E42" s="204">
        <f>'Расчет ДСО 16 Новая форма '!W48</f>
        <v>0</v>
      </c>
      <c r="F42" s="214">
        <f>'Расчет ДСО 16 Новая форма '!X48</f>
        <v>0</v>
      </c>
      <c r="G42" s="204">
        <f>'Расчет СОБОЛЬ 16 Новая форма  '!W47</f>
        <v>0</v>
      </c>
      <c r="H42" s="117">
        <v>0</v>
      </c>
      <c r="I42" s="191">
        <v>0</v>
      </c>
      <c r="J42" s="117">
        <v>0</v>
      </c>
      <c r="K42" s="191">
        <v>0</v>
      </c>
      <c r="L42" s="191">
        <v>0</v>
      </c>
    </row>
    <row r="43" spans="1:12" ht="13.5" thickBot="1">
      <c r="A43" s="93">
        <f t="shared" si="2"/>
        <v>36</v>
      </c>
      <c r="B43" s="97" t="s">
        <v>164</v>
      </c>
      <c r="C43" s="206">
        <f>'Расчет Лось 16 Новая форма'!W44</f>
        <v>0</v>
      </c>
      <c r="D43" s="208">
        <v>0</v>
      </c>
      <c r="E43" s="211">
        <f>'Расчет ДСО 16 Новая форма '!W49</f>
        <v>0</v>
      </c>
      <c r="F43" s="205">
        <f>'Расчет ДСО 16 Новая форма '!X49</f>
        <v>0</v>
      </c>
      <c r="G43" s="198">
        <f>'Расчет СОБОЛЬ 16 Новая форма  '!W48</f>
        <v>0</v>
      </c>
      <c r="H43" s="177">
        <v>0</v>
      </c>
      <c r="I43" s="195">
        <v>0</v>
      </c>
      <c r="J43" s="177">
        <v>0</v>
      </c>
      <c r="K43" s="195">
        <v>0</v>
      </c>
      <c r="L43" s="195">
        <v>0</v>
      </c>
    </row>
    <row r="44" spans="1:12" ht="16.5" thickBot="1">
      <c r="A44" s="98"/>
      <c r="B44" s="89" t="s">
        <v>105</v>
      </c>
      <c r="C44" s="180">
        <f aca="true" t="shared" si="3" ref="C44:L44">SUM(C45:C54)</f>
        <v>52</v>
      </c>
      <c r="D44" s="180">
        <f t="shared" si="3"/>
        <v>0</v>
      </c>
      <c r="E44" s="180">
        <f t="shared" si="3"/>
        <v>357</v>
      </c>
      <c r="F44" s="180">
        <f t="shared" si="3"/>
        <v>0</v>
      </c>
      <c r="G44" s="180">
        <f t="shared" si="3"/>
        <v>829</v>
      </c>
      <c r="H44" s="180">
        <f t="shared" si="3"/>
        <v>0</v>
      </c>
      <c r="I44" s="194">
        <f t="shared" si="3"/>
        <v>323</v>
      </c>
      <c r="J44" s="180">
        <f t="shared" si="3"/>
        <v>0</v>
      </c>
      <c r="K44" s="194">
        <f t="shared" si="3"/>
        <v>27</v>
      </c>
      <c r="L44" s="180">
        <f t="shared" si="3"/>
        <v>0</v>
      </c>
    </row>
    <row r="45" spans="1:12" ht="13.5" thickBot="1">
      <c r="A45" s="93">
        <f>A43+1</f>
        <v>37</v>
      </c>
      <c r="B45" s="106" t="s">
        <v>42</v>
      </c>
      <c r="C45" s="196">
        <f>'Расчет Лось 16 Новая форма'!W46</f>
        <v>0</v>
      </c>
      <c r="D45" s="196">
        <v>0</v>
      </c>
      <c r="E45" s="197">
        <f>'Расчет ДСО 16 Новая форма '!W51</f>
        <v>0</v>
      </c>
      <c r="F45" s="197">
        <f>'Расчет ДСО 16 Новая форма '!X51</f>
        <v>0</v>
      </c>
      <c r="G45" s="198">
        <f>'Расчет СОБОЛЬ 16 Новая форма  '!W50</f>
        <v>0</v>
      </c>
      <c r="H45" s="198">
        <f>'Расчет СОБОЛЬ 16 Новая форма  '!X50</f>
        <v>0</v>
      </c>
      <c r="I45" s="190">
        <v>0</v>
      </c>
      <c r="J45" s="190">
        <v>0</v>
      </c>
      <c r="K45" s="190">
        <v>0</v>
      </c>
      <c r="L45" s="190">
        <v>0</v>
      </c>
    </row>
    <row r="46" spans="1:12" ht="13.5" thickBot="1">
      <c r="A46" s="93">
        <f>A45+1</f>
        <v>38</v>
      </c>
      <c r="B46" s="100" t="s">
        <v>18</v>
      </c>
      <c r="C46" s="167">
        <f>'Расчет Лось 16 Новая форма'!W47</f>
        <v>1</v>
      </c>
      <c r="D46" s="117"/>
      <c r="E46" s="182">
        <f>'Расчет ДСО 16 Новая форма '!W52</f>
        <v>5</v>
      </c>
      <c r="F46" s="117"/>
      <c r="G46" s="178">
        <f>'Расчет СОБОЛЬ 16 Новая форма  '!W51</f>
        <v>36</v>
      </c>
      <c r="H46" s="117"/>
      <c r="I46" s="191">
        <v>6</v>
      </c>
      <c r="J46" s="117"/>
      <c r="K46" s="191">
        <v>6</v>
      </c>
      <c r="L46" s="117"/>
    </row>
    <row r="47" spans="1:12" ht="13.5" thickBot="1">
      <c r="A47" s="93">
        <f aca="true" t="shared" si="4" ref="A47:A54">A46+1</f>
        <v>39</v>
      </c>
      <c r="B47" s="112" t="s">
        <v>83</v>
      </c>
      <c r="C47" s="167">
        <f>'Расчет Лось 16 Новая форма'!W48</f>
        <v>0</v>
      </c>
      <c r="D47" s="117">
        <v>0</v>
      </c>
      <c r="E47" s="182">
        <f>'Расчет ДСО 16 Новая форма '!W53</f>
        <v>0</v>
      </c>
      <c r="F47" s="117"/>
      <c r="G47" s="178">
        <f>'Расчет СОБОЛЬ 16 Новая форма  '!W52</f>
        <v>27</v>
      </c>
      <c r="H47" s="117"/>
      <c r="I47" s="191">
        <v>0</v>
      </c>
      <c r="J47" s="117">
        <v>0</v>
      </c>
      <c r="K47" s="191">
        <v>2</v>
      </c>
      <c r="L47" s="117"/>
    </row>
    <row r="48" spans="1:12" ht="13.5" thickBot="1">
      <c r="A48" s="93">
        <f t="shared" si="4"/>
        <v>40</v>
      </c>
      <c r="B48" s="112" t="s">
        <v>84</v>
      </c>
      <c r="C48" s="167">
        <f>'Расчет Лось 16 Новая форма'!W49</f>
        <v>14</v>
      </c>
      <c r="D48" s="117"/>
      <c r="E48" s="182">
        <f>'Расчет ДСО 16 Новая форма '!W54</f>
        <v>14</v>
      </c>
      <c r="F48" s="117"/>
      <c r="G48" s="178">
        <f>'Расчет СОБОЛЬ 16 Новая форма  '!W53</f>
        <v>8</v>
      </c>
      <c r="H48" s="117"/>
      <c r="I48" s="191">
        <v>0</v>
      </c>
      <c r="J48" s="117">
        <v>0</v>
      </c>
      <c r="K48" s="191">
        <v>5</v>
      </c>
      <c r="L48" s="117"/>
    </row>
    <row r="49" spans="1:12" ht="13.5" thickBot="1">
      <c r="A49" s="93">
        <f t="shared" si="4"/>
        <v>41</v>
      </c>
      <c r="B49" s="113" t="s">
        <v>34</v>
      </c>
      <c r="C49" s="167">
        <f>'Расчет Лось 16 Новая форма'!W50</f>
        <v>6</v>
      </c>
      <c r="D49" s="117"/>
      <c r="E49" s="182">
        <f>'Расчет ДСО 16 Новая форма '!W55</f>
        <v>15</v>
      </c>
      <c r="F49" s="117"/>
      <c r="G49" s="178">
        <f>'Расчет СОБОЛЬ 16 Новая форма  '!W54</f>
        <v>100</v>
      </c>
      <c r="H49" s="117"/>
      <c r="I49" s="191">
        <v>0</v>
      </c>
      <c r="J49" s="117">
        <v>0</v>
      </c>
      <c r="K49" s="191">
        <v>0</v>
      </c>
      <c r="L49" s="117">
        <v>0</v>
      </c>
    </row>
    <row r="50" spans="1:12" ht="13.5" thickBot="1">
      <c r="A50" s="93">
        <f t="shared" si="4"/>
        <v>42</v>
      </c>
      <c r="B50" s="95" t="s">
        <v>115</v>
      </c>
      <c r="C50" s="167">
        <f>'Расчет Лось 16 Новая форма'!W51</f>
        <v>3</v>
      </c>
      <c r="D50" s="117"/>
      <c r="E50" s="182">
        <f>'Расчет ДСО 16 Новая форма '!W56</f>
        <v>9</v>
      </c>
      <c r="F50" s="117"/>
      <c r="G50" s="178">
        <f>'Расчет СОБОЛЬ 16 Новая форма  '!W55</f>
        <v>60</v>
      </c>
      <c r="H50" s="117"/>
      <c r="I50" s="191">
        <v>0</v>
      </c>
      <c r="J50" s="117">
        <v>0</v>
      </c>
      <c r="K50" s="191">
        <v>0</v>
      </c>
      <c r="L50" s="117">
        <v>0</v>
      </c>
    </row>
    <row r="51" spans="1:12" ht="13.5" thickBot="1">
      <c r="A51" s="93">
        <f t="shared" si="4"/>
        <v>43</v>
      </c>
      <c r="B51" s="110" t="s">
        <v>51</v>
      </c>
      <c r="C51" s="167">
        <f>'Расчет Лось 16 Новая форма'!W52</f>
        <v>4</v>
      </c>
      <c r="D51" s="117"/>
      <c r="E51" s="182">
        <f>'Расчет ДСО 16 Новая форма '!W57</f>
        <v>17</v>
      </c>
      <c r="F51" s="117"/>
      <c r="G51" s="178">
        <f>'Расчет СОБОЛЬ 16 Новая форма  '!W56</f>
        <v>113</v>
      </c>
      <c r="H51" s="117"/>
      <c r="I51" s="191">
        <v>4</v>
      </c>
      <c r="J51" s="117"/>
      <c r="K51" s="191">
        <v>0</v>
      </c>
      <c r="L51" s="117">
        <v>0</v>
      </c>
    </row>
    <row r="52" spans="1:12" ht="13.5" thickBot="1">
      <c r="A52" s="93">
        <f t="shared" si="4"/>
        <v>44</v>
      </c>
      <c r="B52" s="99" t="s">
        <v>77</v>
      </c>
      <c r="C52" s="167">
        <f>'Расчет Лось 16 Новая форма'!W53</f>
        <v>0</v>
      </c>
      <c r="D52" s="117">
        <v>0</v>
      </c>
      <c r="E52" s="182">
        <f>'Расчет ДСО 16 Новая форма '!W58</f>
        <v>0</v>
      </c>
      <c r="F52" s="117"/>
      <c r="G52" s="178">
        <f>'Расчет СОБОЛЬ 16 Новая форма  '!W57</f>
        <v>0</v>
      </c>
      <c r="H52" s="117">
        <v>0</v>
      </c>
      <c r="I52" s="191">
        <v>0</v>
      </c>
      <c r="J52" s="117">
        <v>0</v>
      </c>
      <c r="K52" s="191">
        <v>0</v>
      </c>
      <c r="L52" s="117">
        <v>0</v>
      </c>
    </row>
    <row r="53" spans="1:12" ht="13.5" thickBot="1">
      <c r="A53" s="93">
        <f t="shared" si="4"/>
        <v>45</v>
      </c>
      <c r="B53" s="100" t="s">
        <v>78</v>
      </c>
      <c r="C53" s="167">
        <v>0</v>
      </c>
      <c r="D53" s="117">
        <v>0</v>
      </c>
      <c r="E53" s="182">
        <f>'Расчет ДСО 16 Новая форма '!W59</f>
        <v>0</v>
      </c>
      <c r="F53" s="117">
        <v>0</v>
      </c>
      <c r="G53" s="178">
        <f>'Расчет СОБОЛЬ 16 Новая форма  '!W58</f>
        <v>31</v>
      </c>
      <c r="H53" s="117"/>
      <c r="I53" s="191">
        <v>0</v>
      </c>
      <c r="J53" s="117">
        <v>0</v>
      </c>
      <c r="K53" s="191">
        <v>4</v>
      </c>
      <c r="L53" s="117"/>
    </row>
    <row r="54" spans="1:12" ht="13.5" thickBot="1">
      <c r="A54" s="93">
        <f t="shared" si="4"/>
        <v>46</v>
      </c>
      <c r="B54" s="100" t="s">
        <v>177</v>
      </c>
      <c r="C54" s="176">
        <f>'Расчет Лось 16 Новая форма'!W55</f>
        <v>24</v>
      </c>
      <c r="D54" s="177"/>
      <c r="E54" s="183">
        <f>'Расчет ДСО 16 Новая форма '!W60</f>
        <v>297</v>
      </c>
      <c r="F54" s="177"/>
      <c r="G54" s="178">
        <f>'Расчет СОБОЛЬ 16 Новая форма  '!W59</f>
        <v>454</v>
      </c>
      <c r="H54" s="177"/>
      <c r="I54" s="195">
        <v>313</v>
      </c>
      <c r="J54" s="177"/>
      <c r="K54" s="195">
        <v>10</v>
      </c>
      <c r="L54" s="177"/>
    </row>
    <row r="55" spans="1:12" ht="16.5" thickBot="1">
      <c r="A55" s="98"/>
      <c r="B55" s="89" t="s">
        <v>106</v>
      </c>
      <c r="C55" s="180">
        <f>SUM(C56:C72)</f>
        <v>108</v>
      </c>
      <c r="D55" s="199"/>
      <c r="E55" s="180">
        <f aca="true" t="shared" si="5" ref="E55:L55">SUM(E56:E72)</f>
        <v>316</v>
      </c>
      <c r="F55" s="180">
        <f t="shared" si="5"/>
        <v>0</v>
      </c>
      <c r="G55" s="180">
        <f t="shared" si="5"/>
        <v>1139</v>
      </c>
      <c r="H55" s="180">
        <f t="shared" si="5"/>
        <v>0</v>
      </c>
      <c r="I55" s="194">
        <f t="shared" si="5"/>
        <v>95</v>
      </c>
      <c r="J55" s="180">
        <f t="shared" si="5"/>
        <v>0</v>
      </c>
      <c r="K55" s="194">
        <f t="shared" si="5"/>
        <v>0</v>
      </c>
      <c r="L55" s="180">
        <f t="shared" si="5"/>
        <v>0</v>
      </c>
    </row>
    <row r="56" spans="1:12" ht="13.5" thickBot="1">
      <c r="A56" s="93">
        <f>A54+1</f>
        <v>47</v>
      </c>
      <c r="B56" s="114" t="s">
        <v>119</v>
      </c>
      <c r="C56" s="196">
        <f>'Расчет Лось 16 Новая форма'!W57</f>
        <v>2</v>
      </c>
      <c r="D56" s="170"/>
      <c r="E56" s="197">
        <f>'Расчет ДСО 16 Новая форма '!W62</f>
        <v>0</v>
      </c>
      <c r="F56" s="170">
        <v>0</v>
      </c>
      <c r="G56" s="198">
        <f>'Расчет СОБОЛЬ 16 Новая форма  '!W61</f>
        <v>38</v>
      </c>
      <c r="H56" s="170"/>
      <c r="I56" s="190">
        <v>0</v>
      </c>
      <c r="J56" s="170">
        <v>0</v>
      </c>
      <c r="K56" s="190">
        <v>0</v>
      </c>
      <c r="L56" s="190">
        <v>0</v>
      </c>
    </row>
    <row r="57" spans="1:12" ht="13.5" thickBot="1">
      <c r="A57" s="93">
        <f aca="true" t="shared" si="6" ref="A57:A72">A56+1</f>
        <v>48</v>
      </c>
      <c r="B57" s="114" t="s">
        <v>120</v>
      </c>
      <c r="C57" s="167">
        <f>'Расчет Лось 16 Новая форма'!W58</f>
        <v>2</v>
      </c>
      <c r="D57" s="117"/>
      <c r="E57" s="182">
        <f>'Расчет ДСО 16 Новая форма '!W63</f>
        <v>0</v>
      </c>
      <c r="F57" s="117">
        <v>0</v>
      </c>
      <c r="G57" s="178">
        <f>'Расчет СОБОЛЬ 16 Новая форма  '!W62</f>
        <v>53</v>
      </c>
      <c r="H57" s="117"/>
      <c r="I57" s="191">
        <v>0</v>
      </c>
      <c r="J57" s="117">
        <v>0</v>
      </c>
      <c r="K57" s="191">
        <v>0</v>
      </c>
      <c r="L57" s="191">
        <v>0</v>
      </c>
    </row>
    <row r="58" spans="1:12" ht="13.5" thickBot="1">
      <c r="A58" s="93">
        <f t="shared" si="6"/>
        <v>49</v>
      </c>
      <c r="B58" s="114" t="s">
        <v>121</v>
      </c>
      <c r="C58" s="167">
        <f>'Расчет Лось 16 Новая форма'!W59</f>
        <v>10</v>
      </c>
      <c r="D58" s="117"/>
      <c r="E58" s="182">
        <f>'Расчет ДСО 16 Новая форма '!W64</f>
        <v>40</v>
      </c>
      <c r="F58" s="117"/>
      <c r="G58" s="178">
        <f>'Расчет СОБОЛЬ 16 Новая форма  '!W63</f>
        <v>470</v>
      </c>
      <c r="H58" s="117"/>
      <c r="I58" s="191">
        <v>10</v>
      </c>
      <c r="J58" s="117"/>
      <c r="K58" s="191">
        <v>0</v>
      </c>
      <c r="L58" s="191">
        <v>0</v>
      </c>
    </row>
    <row r="59" spans="1:12" ht="13.5" thickBot="1">
      <c r="A59" s="93">
        <f t="shared" si="6"/>
        <v>50</v>
      </c>
      <c r="B59" s="114" t="s">
        <v>122</v>
      </c>
      <c r="C59" s="167">
        <f>'Расчет Лось 16 Новая форма'!W60</f>
        <v>4</v>
      </c>
      <c r="D59" s="117"/>
      <c r="E59" s="182">
        <f>'Расчет ДСО 16 Новая форма '!W65</f>
        <v>10</v>
      </c>
      <c r="F59" s="117"/>
      <c r="G59" s="178">
        <f>'Расчет СОБОЛЬ 16 Новая форма  '!W64</f>
        <v>45</v>
      </c>
      <c r="H59" s="117"/>
      <c r="I59" s="191">
        <v>0</v>
      </c>
      <c r="J59" s="117">
        <v>0</v>
      </c>
      <c r="K59" s="191">
        <v>0</v>
      </c>
      <c r="L59" s="191">
        <v>0</v>
      </c>
    </row>
    <row r="60" spans="1:12" ht="13.5" thickBot="1">
      <c r="A60" s="93">
        <f t="shared" si="6"/>
        <v>51</v>
      </c>
      <c r="B60" s="106" t="s">
        <v>19</v>
      </c>
      <c r="C60" s="167">
        <f>'Расчет Лось 16 Новая форма'!W61</f>
        <v>0</v>
      </c>
      <c r="D60" s="117">
        <v>0</v>
      </c>
      <c r="E60" s="182">
        <f>'Расчет ДСО 16 Новая форма '!W66</f>
        <v>0</v>
      </c>
      <c r="F60" s="117"/>
      <c r="G60" s="178">
        <f>'Расчет СОБОЛЬ 16 Новая форма  '!W65</f>
        <v>0</v>
      </c>
      <c r="H60" s="117">
        <v>0</v>
      </c>
      <c r="I60" s="191">
        <v>0</v>
      </c>
      <c r="J60" s="117">
        <v>0</v>
      </c>
      <c r="K60" s="191">
        <v>0</v>
      </c>
      <c r="L60" s="191">
        <v>0</v>
      </c>
    </row>
    <row r="61" spans="1:12" ht="13.5" thickBot="1">
      <c r="A61" s="93">
        <f t="shared" si="6"/>
        <v>52</v>
      </c>
      <c r="B61" s="100" t="s">
        <v>79</v>
      </c>
      <c r="C61" s="167">
        <f>'Расчет Лось 16 Новая форма'!W62</f>
        <v>25</v>
      </c>
      <c r="D61" s="117"/>
      <c r="E61" s="182">
        <f>'Расчет ДСО 16 Новая форма '!W67</f>
        <v>76</v>
      </c>
      <c r="F61" s="117"/>
      <c r="G61" s="178">
        <f>'Расчет СОБОЛЬ 16 Новая форма  '!W66</f>
        <v>111</v>
      </c>
      <c r="H61" s="117"/>
      <c r="I61" s="191">
        <v>0</v>
      </c>
      <c r="J61" s="117">
        <v>0</v>
      </c>
      <c r="K61" s="191">
        <v>0</v>
      </c>
      <c r="L61" s="191">
        <v>0</v>
      </c>
    </row>
    <row r="62" spans="1:12" ht="13.5" thickBot="1">
      <c r="A62" s="93">
        <f t="shared" si="6"/>
        <v>53</v>
      </c>
      <c r="B62" s="106" t="s">
        <v>20</v>
      </c>
      <c r="C62" s="167">
        <f>'Расчет Лось 16 Новая форма'!W63</f>
        <v>0</v>
      </c>
      <c r="D62" s="117">
        <v>0</v>
      </c>
      <c r="E62" s="182">
        <f>'Расчет ДСО 16 Новая форма '!W68</f>
        <v>0</v>
      </c>
      <c r="F62" s="117">
        <v>0</v>
      </c>
      <c r="G62" s="178">
        <f>'Расчет СОБОЛЬ 16 Новая форма  '!W67</f>
        <v>0</v>
      </c>
      <c r="H62" s="117">
        <v>0</v>
      </c>
      <c r="I62" s="191">
        <v>0</v>
      </c>
      <c r="J62" s="117">
        <v>0</v>
      </c>
      <c r="K62" s="191">
        <v>0</v>
      </c>
      <c r="L62" s="191">
        <v>0</v>
      </c>
    </row>
    <row r="63" spans="1:12" ht="13.5" thickBot="1">
      <c r="A63" s="93">
        <f t="shared" si="6"/>
        <v>54</v>
      </c>
      <c r="B63" s="106" t="s">
        <v>36</v>
      </c>
      <c r="C63" s="167">
        <f>'Расчет Лось 16 Новая форма'!W64</f>
        <v>0</v>
      </c>
      <c r="D63" s="117">
        <v>0</v>
      </c>
      <c r="E63" s="182">
        <f>'Расчет ДСО 16 Новая форма '!W69</f>
        <v>0</v>
      </c>
      <c r="F63" s="117">
        <v>0</v>
      </c>
      <c r="G63" s="178">
        <f>'Расчет СОБОЛЬ 16 Новая форма  '!W68</f>
        <v>0</v>
      </c>
      <c r="H63" s="117">
        <v>0</v>
      </c>
      <c r="I63" s="191">
        <v>0</v>
      </c>
      <c r="J63" s="117">
        <v>0</v>
      </c>
      <c r="K63" s="191">
        <v>0</v>
      </c>
      <c r="L63" s="191">
        <v>0</v>
      </c>
    </row>
    <row r="64" spans="1:12" ht="13.5" thickBot="1">
      <c r="A64" s="93">
        <f t="shared" si="6"/>
        <v>55</v>
      </c>
      <c r="B64" s="186" t="s">
        <v>80</v>
      </c>
      <c r="C64" s="167">
        <f>'Расчет Лось 16 Новая форма'!W65</f>
        <v>0</v>
      </c>
      <c r="D64" s="117">
        <v>0</v>
      </c>
      <c r="E64" s="182">
        <f>'Расчет ДСО 16 Новая форма '!W70</f>
        <v>0</v>
      </c>
      <c r="F64" s="117">
        <v>0</v>
      </c>
      <c r="G64" s="178">
        <f>'Расчет СОБОЛЬ 16 Новая форма  '!W69</f>
        <v>0</v>
      </c>
      <c r="H64" s="117">
        <v>0</v>
      </c>
      <c r="I64" s="191">
        <v>33</v>
      </c>
      <c r="J64" s="117"/>
      <c r="K64" s="191">
        <v>0</v>
      </c>
      <c r="L64" s="191">
        <v>0</v>
      </c>
    </row>
    <row r="65" spans="1:12" ht="13.5" thickBot="1">
      <c r="A65" s="93">
        <f t="shared" si="6"/>
        <v>56</v>
      </c>
      <c r="B65" s="100" t="s">
        <v>81</v>
      </c>
      <c r="C65" s="167">
        <f>'Расчет Лось 16 Новая форма'!W66</f>
        <v>2</v>
      </c>
      <c r="D65" s="117"/>
      <c r="E65" s="182">
        <f>'Расчет ДСО 16 Новая форма '!W71</f>
        <v>15</v>
      </c>
      <c r="F65" s="117"/>
      <c r="G65" s="178">
        <f>'Расчет СОБОЛЬ 16 Новая форма  '!W70</f>
        <v>21</v>
      </c>
      <c r="H65" s="117"/>
      <c r="I65" s="191">
        <v>0</v>
      </c>
      <c r="J65" s="117">
        <v>0</v>
      </c>
      <c r="K65" s="191">
        <v>0</v>
      </c>
      <c r="L65" s="191">
        <v>0</v>
      </c>
    </row>
    <row r="66" spans="1:12" ht="13.5" thickBot="1">
      <c r="A66" s="93">
        <f>A65+1</f>
        <v>57</v>
      </c>
      <c r="B66" s="186" t="s">
        <v>123</v>
      </c>
      <c r="C66" s="167">
        <f>'Расчет Лось 16 Новая форма'!W67</f>
        <v>28</v>
      </c>
      <c r="D66" s="117"/>
      <c r="E66" s="182">
        <f>'Расчет ДСО 16 Новая форма '!W72</f>
        <v>114</v>
      </c>
      <c r="F66" s="117"/>
      <c r="G66" s="178">
        <f>'Расчет СОБОЛЬ 16 Новая форма  '!W71</f>
        <v>161</v>
      </c>
      <c r="H66" s="117"/>
      <c r="I66" s="191">
        <v>41</v>
      </c>
      <c r="J66" s="117"/>
      <c r="K66" s="191">
        <v>0</v>
      </c>
      <c r="L66" s="191">
        <v>0</v>
      </c>
    </row>
    <row r="67" spans="1:12" ht="13.5" thickBot="1">
      <c r="A67" s="93">
        <f t="shared" si="6"/>
        <v>58</v>
      </c>
      <c r="B67" s="96" t="s">
        <v>50</v>
      </c>
      <c r="C67" s="167">
        <f>'Расчет Лось 16 Новая форма'!W68</f>
        <v>0</v>
      </c>
      <c r="D67" s="117">
        <v>0</v>
      </c>
      <c r="E67" s="182">
        <f>'Расчет ДСО 16 Новая форма '!W73</f>
        <v>0</v>
      </c>
      <c r="F67" s="117">
        <v>0</v>
      </c>
      <c r="G67" s="178">
        <f>'Расчет СОБОЛЬ 16 Новая форма  '!W72</f>
        <v>0</v>
      </c>
      <c r="H67" s="117">
        <v>0</v>
      </c>
      <c r="I67" s="191">
        <v>0</v>
      </c>
      <c r="J67" s="117">
        <v>0</v>
      </c>
      <c r="K67" s="191">
        <v>0</v>
      </c>
      <c r="L67" s="191">
        <v>0</v>
      </c>
    </row>
    <row r="68" spans="1:12" ht="13.5" thickBot="1">
      <c r="A68" s="93">
        <f t="shared" si="6"/>
        <v>59</v>
      </c>
      <c r="B68" s="186" t="s">
        <v>43</v>
      </c>
      <c r="C68" s="167">
        <f>'Расчет Лось 16 Новая форма'!W69</f>
        <v>26</v>
      </c>
      <c r="D68" s="117"/>
      <c r="E68" s="182">
        <f>'Расчет ДСО 16 Новая форма '!W74</f>
        <v>50</v>
      </c>
      <c r="F68" s="117"/>
      <c r="G68" s="178">
        <f>'Расчет СОБОЛЬ 16 Новая форма  '!W73</f>
        <v>105</v>
      </c>
      <c r="H68" s="117"/>
      <c r="I68" s="191">
        <v>8</v>
      </c>
      <c r="J68" s="117"/>
      <c r="K68" s="191">
        <v>0</v>
      </c>
      <c r="L68" s="191">
        <v>0</v>
      </c>
    </row>
    <row r="69" spans="1:12" ht="13.5" thickBot="1">
      <c r="A69" s="93">
        <f t="shared" si="6"/>
        <v>60</v>
      </c>
      <c r="B69" s="186" t="s">
        <v>66</v>
      </c>
      <c r="C69" s="167">
        <f>'Расчет Лось 16 Новая форма'!W70</f>
        <v>3</v>
      </c>
      <c r="D69" s="117"/>
      <c r="E69" s="182">
        <f>'Расчет ДСО 16 Новая форма '!W75</f>
        <v>7</v>
      </c>
      <c r="F69" s="117"/>
      <c r="G69" s="178">
        <f>'Расчет СОБОЛЬ 16 Новая форма  '!W74</f>
        <v>35</v>
      </c>
      <c r="H69" s="117"/>
      <c r="I69" s="191">
        <v>0</v>
      </c>
      <c r="J69" s="117">
        <v>0</v>
      </c>
      <c r="K69" s="191">
        <v>0</v>
      </c>
      <c r="L69" s="191">
        <v>0</v>
      </c>
    </row>
    <row r="70" spans="1:12" ht="13.5" thickBot="1">
      <c r="A70" s="93">
        <f t="shared" si="6"/>
        <v>61</v>
      </c>
      <c r="B70" s="101" t="s">
        <v>173</v>
      </c>
      <c r="C70" s="167">
        <f>'Расчет Лось 16 Новая форма'!W71</f>
        <v>0</v>
      </c>
      <c r="D70" s="117">
        <v>0</v>
      </c>
      <c r="E70" s="182">
        <f>'Расчет ДСО 16 Новая форма '!W76</f>
        <v>0</v>
      </c>
      <c r="F70" s="117">
        <v>0</v>
      </c>
      <c r="G70" s="178">
        <f>'Расчет СОБОЛЬ 16 Новая форма  '!W75</f>
        <v>0</v>
      </c>
      <c r="H70" s="117">
        <v>0</v>
      </c>
      <c r="I70" s="191">
        <v>0</v>
      </c>
      <c r="J70" s="117">
        <v>0</v>
      </c>
      <c r="K70" s="191">
        <v>0</v>
      </c>
      <c r="L70" s="191">
        <v>0</v>
      </c>
    </row>
    <row r="71" spans="1:12" ht="13.5" thickBot="1">
      <c r="A71" s="93">
        <f t="shared" si="6"/>
        <v>62</v>
      </c>
      <c r="B71" s="101" t="s">
        <v>35</v>
      </c>
      <c r="C71" s="167">
        <f>'Расчет Лось 16 Новая форма'!W72</f>
        <v>6</v>
      </c>
      <c r="D71" s="117"/>
      <c r="E71" s="182">
        <f>'Расчет ДСО 16 Новая форма '!W77</f>
        <v>4</v>
      </c>
      <c r="F71" s="117"/>
      <c r="G71" s="178">
        <f>'Расчет СОБОЛЬ 16 Новая форма  '!W76</f>
        <v>100</v>
      </c>
      <c r="H71" s="117"/>
      <c r="I71" s="191">
        <v>3</v>
      </c>
      <c r="J71" s="117"/>
      <c r="K71" s="191">
        <v>0</v>
      </c>
      <c r="L71" s="191">
        <v>0</v>
      </c>
    </row>
    <row r="72" spans="1:12" ht="13.5" thickBot="1">
      <c r="A72" s="93">
        <f t="shared" si="6"/>
        <v>63</v>
      </c>
      <c r="B72" s="102" t="s">
        <v>82</v>
      </c>
      <c r="C72" s="176">
        <f>'Расчет Лось 16 Новая форма'!W73</f>
        <v>0</v>
      </c>
      <c r="D72" s="177">
        <v>0</v>
      </c>
      <c r="E72" s="183">
        <f>'Расчет ДСО 16 Новая форма '!W78</f>
        <v>0</v>
      </c>
      <c r="F72" s="177">
        <v>0</v>
      </c>
      <c r="G72" s="178">
        <f>'Расчет СОБОЛЬ 16 Новая форма  '!W77</f>
        <v>0</v>
      </c>
      <c r="H72" s="177">
        <v>0</v>
      </c>
      <c r="I72" s="195">
        <v>0</v>
      </c>
      <c r="J72" s="177">
        <v>0</v>
      </c>
      <c r="K72" s="195">
        <v>0</v>
      </c>
      <c r="L72" s="195">
        <v>0</v>
      </c>
    </row>
    <row r="73" spans="1:12" ht="16.5" thickBot="1">
      <c r="A73" s="249" t="s">
        <v>107</v>
      </c>
      <c r="B73" s="250"/>
      <c r="C73" s="180">
        <f>SUM(C74:C86)</f>
        <v>75</v>
      </c>
      <c r="D73" s="199"/>
      <c r="E73" s="180">
        <f aca="true" t="shared" si="7" ref="E73:L73">SUM(E74:E86)</f>
        <v>51</v>
      </c>
      <c r="F73" s="180">
        <f t="shared" si="7"/>
        <v>0</v>
      </c>
      <c r="G73" s="180">
        <f t="shared" si="7"/>
        <v>837</v>
      </c>
      <c r="H73" s="180">
        <f t="shared" si="7"/>
        <v>0</v>
      </c>
      <c r="I73" s="194">
        <f t="shared" si="7"/>
        <v>131</v>
      </c>
      <c r="J73" s="180">
        <f t="shared" si="7"/>
        <v>0</v>
      </c>
      <c r="K73" s="194">
        <f t="shared" si="7"/>
        <v>85</v>
      </c>
      <c r="L73" s="180">
        <f t="shared" si="7"/>
        <v>0</v>
      </c>
    </row>
    <row r="74" spans="1:12" ht="13.5" thickBot="1">
      <c r="A74" s="93">
        <f>A72+1</f>
        <v>64</v>
      </c>
      <c r="B74" s="106" t="s">
        <v>37</v>
      </c>
      <c r="C74" s="196">
        <f>'Расчет Лось 16 Новая форма'!W75</f>
        <v>0</v>
      </c>
      <c r="D74" s="170">
        <v>0</v>
      </c>
      <c r="E74" s="197">
        <f>'Расчет ДСО 16 Новая форма '!W80</f>
        <v>0</v>
      </c>
      <c r="F74" s="170">
        <v>0</v>
      </c>
      <c r="G74" s="198">
        <f>'Расчет СОБОЛЬ 16 Новая форма  '!W79</f>
        <v>0</v>
      </c>
      <c r="H74" s="170">
        <v>0</v>
      </c>
      <c r="I74" s="190">
        <v>0</v>
      </c>
      <c r="J74" s="170">
        <v>0</v>
      </c>
      <c r="K74" s="190">
        <v>0</v>
      </c>
      <c r="L74" s="170">
        <v>0</v>
      </c>
    </row>
    <row r="75" spans="1:12" ht="13.5" thickBot="1">
      <c r="A75" s="93">
        <f>A74+1</f>
        <v>65</v>
      </c>
      <c r="B75" s="103" t="s">
        <v>88</v>
      </c>
      <c r="C75" s="167">
        <f>'Расчет Лось 16 Новая форма'!W76</f>
        <v>28</v>
      </c>
      <c r="D75" s="117"/>
      <c r="E75" s="182">
        <f>'Расчет ДСО 16 Новая форма '!W81</f>
        <v>36</v>
      </c>
      <c r="F75" s="117"/>
      <c r="G75" s="178">
        <f>'Расчет СОБОЛЬ 16 Новая форма  '!W80</f>
        <v>276</v>
      </c>
      <c r="H75" s="117"/>
      <c r="I75" s="191">
        <v>0</v>
      </c>
      <c r="J75" s="117">
        <v>0</v>
      </c>
      <c r="K75" s="191">
        <v>5</v>
      </c>
      <c r="L75" s="117"/>
    </row>
    <row r="76" spans="1:12" ht="13.5" thickBot="1">
      <c r="A76" s="93">
        <f aca="true" t="shared" si="8" ref="A76:A86">A75+1</f>
        <v>66</v>
      </c>
      <c r="B76" s="115" t="s">
        <v>86</v>
      </c>
      <c r="C76" s="167">
        <f>'Расчет Лось 16 Новая форма'!W77</f>
        <v>1</v>
      </c>
      <c r="D76" s="117"/>
      <c r="E76" s="182">
        <f>'Расчет ДСО 16 Новая форма '!W82</f>
        <v>6</v>
      </c>
      <c r="F76" s="117"/>
      <c r="G76" s="178">
        <f>'Расчет СОБОЛЬ 16 Новая форма  '!W81</f>
        <v>42</v>
      </c>
      <c r="H76" s="117"/>
      <c r="I76" s="191">
        <v>7</v>
      </c>
      <c r="J76" s="117"/>
      <c r="K76" s="191">
        <v>4</v>
      </c>
      <c r="L76" s="117"/>
    </row>
    <row r="77" spans="1:12" ht="13.5" thickBot="1">
      <c r="A77" s="93">
        <f t="shared" si="8"/>
        <v>67</v>
      </c>
      <c r="B77" s="115" t="s">
        <v>85</v>
      </c>
      <c r="C77" s="167">
        <f>'Расчет Лось 16 Новая форма'!W78</f>
        <v>0</v>
      </c>
      <c r="D77" s="117">
        <v>0</v>
      </c>
      <c r="E77" s="182">
        <f>'Расчет ДСО 16 Новая форма '!W83</f>
        <v>0</v>
      </c>
      <c r="F77" s="117">
        <v>0</v>
      </c>
      <c r="G77" s="178">
        <f>'Расчет СОБОЛЬ 16 Новая форма  '!W82</f>
        <v>15</v>
      </c>
      <c r="H77" s="117"/>
      <c r="I77" s="191">
        <v>7</v>
      </c>
      <c r="J77" s="117"/>
      <c r="K77" s="191">
        <v>3</v>
      </c>
      <c r="L77" s="117"/>
    </row>
    <row r="78" spans="1:12" ht="13.5" thickBot="1">
      <c r="A78" s="93">
        <f t="shared" si="8"/>
        <v>68</v>
      </c>
      <c r="B78" s="95" t="s">
        <v>60</v>
      </c>
      <c r="C78" s="167">
        <f>'Расчет Лось 16 Новая форма'!W79</f>
        <v>12</v>
      </c>
      <c r="D78" s="117"/>
      <c r="E78" s="182">
        <f>'Расчет ДСО 16 Новая форма '!W84</f>
        <v>5</v>
      </c>
      <c r="F78" s="117"/>
      <c r="G78" s="178">
        <f>'Расчет СОБОЛЬ 16 Новая форма  '!W83</f>
        <v>60</v>
      </c>
      <c r="H78" s="117"/>
      <c r="I78" s="191">
        <v>4</v>
      </c>
      <c r="J78" s="117"/>
      <c r="K78" s="191">
        <v>3</v>
      </c>
      <c r="L78" s="117"/>
    </row>
    <row r="79" spans="1:12" ht="13.5" thickBot="1">
      <c r="A79" s="93">
        <f t="shared" si="8"/>
        <v>69</v>
      </c>
      <c r="B79" s="110" t="s">
        <v>61</v>
      </c>
      <c r="C79" s="167">
        <f>'Расчет Лось 16 Новая форма'!W80</f>
        <v>12</v>
      </c>
      <c r="D79" s="117"/>
      <c r="E79" s="182">
        <f>'Расчет ДСО 16 Новая форма '!W85</f>
        <v>4</v>
      </c>
      <c r="F79" s="117"/>
      <c r="G79" s="178">
        <f>'Расчет СОБОЛЬ 16 Новая форма  '!W84</f>
        <v>60</v>
      </c>
      <c r="H79" s="117"/>
      <c r="I79" s="191">
        <v>4</v>
      </c>
      <c r="J79" s="117"/>
      <c r="K79" s="191">
        <v>5</v>
      </c>
      <c r="L79" s="117"/>
    </row>
    <row r="80" spans="1:12" ht="13.5" thickBot="1">
      <c r="A80" s="93">
        <f t="shared" si="8"/>
        <v>70</v>
      </c>
      <c r="B80" s="106" t="s">
        <v>45</v>
      </c>
      <c r="C80" s="167">
        <f>'Расчет Лось 16 Новая форма'!W81</f>
        <v>0</v>
      </c>
      <c r="D80" s="117">
        <v>0</v>
      </c>
      <c r="E80" s="182">
        <f>'Расчет ДСО 16 Новая форма '!W86</f>
        <v>0</v>
      </c>
      <c r="F80" s="117">
        <v>0</v>
      </c>
      <c r="G80" s="178">
        <f>'Расчет СОБОЛЬ 16 Новая форма  '!W85</f>
        <v>0</v>
      </c>
      <c r="H80" s="117">
        <v>0</v>
      </c>
      <c r="I80" s="191">
        <v>0</v>
      </c>
      <c r="J80" s="117">
        <v>0</v>
      </c>
      <c r="K80" s="191">
        <v>0</v>
      </c>
      <c r="L80" s="117">
        <v>0</v>
      </c>
    </row>
    <row r="81" spans="1:12" ht="13.5" thickBot="1">
      <c r="A81" s="93">
        <f t="shared" si="8"/>
        <v>71</v>
      </c>
      <c r="B81" s="110" t="s">
        <v>52</v>
      </c>
      <c r="C81" s="167">
        <f>'Расчет Лось 16 Новая форма'!W82</f>
        <v>0</v>
      </c>
      <c r="D81" s="117">
        <v>0</v>
      </c>
      <c r="E81" s="182">
        <f>'Расчет ДСО 16 Новая форма '!W87</f>
        <v>0</v>
      </c>
      <c r="F81" s="117">
        <v>0</v>
      </c>
      <c r="G81" s="178">
        <f>'Расчет СОБОЛЬ 16 Новая форма  '!W86</f>
        <v>0</v>
      </c>
      <c r="H81" s="117">
        <v>0</v>
      </c>
      <c r="I81" s="191">
        <v>5</v>
      </c>
      <c r="J81" s="117"/>
      <c r="K81" s="191">
        <v>0</v>
      </c>
      <c r="L81" s="117">
        <v>0</v>
      </c>
    </row>
    <row r="82" spans="1:12" ht="13.5" thickBot="1">
      <c r="A82" s="93">
        <f t="shared" si="8"/>
        <v>72</v>
      </c>
      <c r="B82" s="104" t="s">
        <v>172</v>
      </c>
      <c r="C82" s="167">
        <f>'Расчет Лось 16 Новая форма'!W83</f>
        <v>0</v>
      </c>
      <c r="D82" s="117">
        <v>0</v>
      </c>
      <c r="E82" s="182">
        <f>'Расчет ДСО 16 Новая форма '!W88</f>
        <v>0</v>
      </c>
      <c r="F82" s="117">
        <v>0</v>
      </c>
      <c r="G82" s="178">
        <f>'Расчет СОБОЛЬ 16 Новая форма  '!W87</f>
        <v>0</v>
      </c>
      <c r="H82" s="117">
        <v>0</v>
      </c>
      <c r="I82" s="191">
        <v>0</v>
      </c>
      <c r="J82" s="117">
        <v>0</v>
      </c>
      <c r="K82" s="191">
        <v>0</v>
      </c>
      <c r="L82" s="117">
        <v>0</v>
      </c>
    </row>
    <row r="83" spans="1:12" ht="26.25" thickBot="1">
      <c r="A83" s="93">
        <f t="shared" si="8"/>
        <v>73</v>
      </c>
      <c r="B83" s="100" t="s">
        <v>169</v>
      </c>
      <c r="C83" s="167">
        <f>'Расчет Лось 16 Новая форма'!W84</f>
        <v>16</v>
      </c>
      <c r="D83" s="117"/>
      <c r="E83" s="182">
        <f>'Расчет ДСО 16 Новая форма '!W89</f>
        <v>0</v>
      </c>
      <c r="F83" s="117">
        <v>0</v>
      </c>
      <c r="G83" s="178">
        <f>'Расчет СОБОЛЬ 16 Новая форма  '!W88</f>
        <v>384</v>
      </c>
      <c r="H83" s="117"/>
      <c r="I83" s="191">
        <v>104</v>
      </c>
      <c r="J83" s="117"/>
      <c r="K83" s="191">
        <v>65</v>
      </c>
      <c r="L83" s="117"/>
    </row>
    <row r="84" spans="1:12" ht="13.5" thickBot="1">
      <c r="A84" s="93">
        <f t="shared" si="8"/>
        <v>74</v>
      </c>
      <c r="B84" s="105" t="s">
        <v>87</v>
      </c>
      <c r="C84" s="167">
        <f>'Расчет Лось 16 Новая форма'!W85</f>
        <v>0</v>
      </c>
      <c r="D84" s="117">
        <v>0</v>
      </c>
      <c r="E84" s="182">
        <f>'Расчет ДСО 16 Новая форма '!W90</f>
        <v>0</v>
      </c>
      <c r="F84" s="117">
        <v>0</v>
      </c>
      <c r="G84" s="178">
        <f>'Расчет СОБОЛЬ 16 Новая форма  '!W89</f>
        <v>0</v>
      </c>
      <c r="H84" s="117">
        <v>0</v>
      </c>
      <c r="I84" s="191">
        <v>0</v>
      </c>
      <c r="J84" s="117">
        <v>0</v>
      </c>
      <c r="K84" s="191">
        <v>0</v>
      </c>
      <c r="L84" s="117">
        <v>0</v>
      </c>
    </row>
    <row r="85" spans="1:12" ht="13.5" thickBot="1">
      <c r="A85" s="93">
        <f t="shared" si="8"/>
        <v>75</v>
      </c>
      <c r="B85" s="100" t="s">
        <v>49</v>
      </c>
      <c r="C85" s="167">
        <f>'Расчет Лось 16 Новая форма'!W86</f>
        <v>6</v>
      </c>
      <c r="D85" s="117"/>
      <c r="E85" s="182">
        <f>'Расчет ДСО 16 Новая форма '!W91</f>
        <v>0</v>
      </c>
      <c r="F85" s="117">
        <v>0</v>
      </c>
      <c r="G85" s="178">
        <f>'Расчет СОБОЛЬ 16 Новая форма  '!W90</f>
        <v>0</v>
      </c>
      <c r="H85" s="117">
        <v>0</v>
      </c>
      <c r="I85" s="191">
        <v>0</v>
      </c>
      <c r="J85" s="117">
        <v>0</v>
      </c>
      <c r="K85" s="191">
        <v>0</v>
      </c>
      <c r="L85" s="117">
        <v>0</v>
      </c>
    </row>
    <row r="86" spans="1:12" ht="13.5" thickBot="1">
      <c r="A86" s="93">
        <f t="shared" si="8"/>
        <v>76</v>
      </c>
      <c r="B86" s="116" t="s">
        <v>124</v>
      </c>
      <c r="C86" s="176">
        <f>'Расчет Лось 16 Новая форма'!W87</f>
        <v>0</v>
      </c>
      <c r="D86" s="177">
        <v>0</v>
      </c>
      <c r="E86" s="183">
        <f>'Расчет ДСО 16 Новая форма '!W92</f>
        <v>0</v>
      </c>
      <c r="F86" s="177">
        <v>0</v>
      </c>
      <c r="G86" s="178">
        <f>'Расчет СОБОЛЬ 16 Новая форма  '!W91</f>
        <v>0</v>
      </c>
      <c r="H86" s="177">
        <v>0</v>
      </c>
      <c r="I86" s="195">
        <v>0</v>
      </c>
      <c r="J86" s="177">
        <v>0</v>
      </c>
      <c r="K86" s="195">
        <v>0</v>
      </c>
      <c r="L86" s="177">
        <v>0</v>
      </c>
    </row>
    <row r="87" spans="1:12" ht="18.75" thickBot="1">
      <c r="A87" s="300" t="s">
        <v>108</v>
      </c>
      <c r="B87" s="301"/>
      <c r="C87" s="180">
        <f>SUM(C88:C91)</f>
        <v>42</v>
      </c>
      <c r="D87" s="199"/>
      <c r="E87" s="180">
        <f aca="true" t="shared" si="9" ref="E87:L87">SUM(E88:E91)</f>
        <v>192</v>
      </c>
      <c r="F87" s="180">
        <f t="shared" si="9"/>
        <v>0</v>
      </c>
      <c r="G87" s="180">
        <f t="shared" si="9"/>
        <v>236</v>
      </c>
      <c r="H87" s="180">
        <f t="shared" si="9"/>
        <v>0.2358605636515375</v>
      </c>
      <c r="I87" s="194">
        <f t="shared" si="9"/>
        <v>43</v>
      </c>
      <c r="J87" s="180">
        <f t="shared" si="9"/>
        <v>0</v>
      </c>
      <c r="K87" s="194">
        <f t="shared" si="9"/>
        <v>6</v>
      </c>
      <c r="L87" s="180">
        <f t="shared" si="9"/>
        <v>0</v>
      </c>
    </row>
    <row r="88" spans="1:12" ht="13.5" thickBot="1">
      <c r="A88" s="93">
        <f>A86+1</f>
        <v>77</v>
      </c>
      <c r="B88" s="100" t="s">
        <v>23</v>
      </c>
      <c r="C88" s="196">
        <f>'Расчет Лось 16 Новая форма'!W89</f>
        <v>12</v>
      </c>
      <c r="D88" s="170"/>
      <c r="E88" s="197">
        <f>'Расчет ДСО 16 Новая форма '!W94</f>
        <v>74</v>
      </c>
      <c r="F88" s="170"/>
      <c r="G88" s="198">
        <f>'Расчет СОБОЛЬ 16 Новая форма  '!W93</f>
        <v>64</v>
      </c>
      <c r="H88" s="170"/>
      <c r="I88" s="190">
        <v>10</v>
      </c>
      <c r="J88" s="170"/>
      <c r="K88" s="190">
        <v>4</v>
      </c>
      <c r="L88" s="170"/>
    </row>
    <row r="89" spans="1:12" ht="13.5" thickBot="1">
      <c r="A89" s="93">
        <f>A88+1</f>
        <v>78</v>
      </c>
      <c r="B89" s="100" t="s">
        <v>44</v>
      </c>
      <c r="C89" s="167">
        <f>'Расчет Лось 16 Новая форма'!W90</f>
        <v>7</v>
      </c>
      <c r="D89" s="117"/>
      <c r="E89" s="182">
        <f>'Расчет ДСО 16 Новая форма '!W95</f>
        <v>4</v>
      </c>
      <c r="F89" s="117"/>
      <c r="G89" s="178">
        <f>'Расчет СОБОЛЬ 16 Новая форма  '!W94</f>
        <v>22</v>
      </c>
      <c r="H89" s="117"/>
      <c r="I89" s="191">
        <v>2</v>
      </c>
      <c r="J89" s="117"/>
      <c r="K89" s="191">
        <v>2</v>
      </c>
      <c r="L89" s="117"/>
    </row>
    <row r="90" spans="1:12" ht="13.5" thickBot="1">
      <c r="A90" s="93">
        <f>A89+1</f>
        <v>79</v>
      </c>
      <c r="B90" s="104" t="s">
        <v>167</v>
      </c>
      <c r="C90" s="167">
        <f>'Расчет Лось 16 Новая форма'!W91</f>
        <v>0</v>
      </c>
      <c r="D90" s="117">
        <v>0</v>
      </c>
      <c r="E90" s="182">
        <f>'Расчет ДСО 16 Новая форма '!W96</f>
        <v>0</v>
      </c>
      <c r="F90" s="117">
        <v>0</v>
      </c>
      <c r="G90" s="178">
        <f>'Расчет СОБОЛЬ 16 Новая форма  '!W95</f>
        <v>0</v>
      </c>
      <c r="H90" s="178">
        <f>'Расчет СОБОЛЬ 16 Новая форма  '!X95</f>
        <v>0.2358605636515375</v>
      </c>
      <c r="I90" s="191">
        <v>0</v>
      </c>
      <c r="J90" s="191">
        <v>0</v>
      </c>
      <c r="K90" s="191">
        <v>0</v>
      </c>
      <c r="L90" s="191">
        <v>0</v>
      </c>
    </row>
    <row r="91" spans="1:12" ht="13.5" thickBot="1">
      <c r="A91" s="93">
        <f>A90+1</f>
        <v>80</v>
      </c>
      <c r="B91" s="100" t="s">
        <v>166</v>
      </c>
      <c r="C91" s="176">
        <f>'Расчет Лось 16 Новая форма'!W92</f>
        <v>23</v>
      </c>
      <c r="D91" s="177"/>
      <c r="E91" s="183">
        <f>'Расчет ДСО 16 Новая форма '!W97</f>
        <v>114</v>
      </c>
      <c r="F91" s="177"/>
      <c r="G91" s="178">
        <f>'Расчет СОБОЛЬ 16 Новая форма  '!W96</f>
        <v>150</v>
      </c>
      <c r="H91" s="177"/>
      <c r="I91" s="195">
        <v>31</v>
      </c>
      <c r="J91" s="177"/>
      <c r="K91" s="195">
        <v>0</v>
      </c>
      <c r="L91" s="177"/>
    </row>
    <row r="92" spans="1:12" ht="18.75" thickBot="1">
      <c r="A92" s="300" t="s">
        <v>109</v>
      </c>
      <c r="B92" s="301"/>
      <c r="C92" s="180">
        <f>SUM(C93:C104)</f>
        <v>54</v>
      </c>
      <c r="D92" s="199"/>
      <c r="E92" s="180">
        <f aca="true" t="shared" si="10" ref="E92:L92">SUM(E93:E104)</f>
        <v>274</v>
      </c>
      <c r="F92" s="180">
        <f t="shared" si="10"/>
        <v>0</v>
      </c>
      <c r="G92" s="180">
        <f t="shared" si="10"/>
        <v>479</v>
      </c>
      <c r="H92" s="180">
        <f t="shared" si="10"/>
        <v>0</v>
      </c>
      <c r="I92" s="194">
        <f t="shared" si="10"/>
        <v>79</v>
      </c>
      <c r="J92" s="180">
        <f t="shared" si="10"/>
        <v>0</v>
      </c>
      <c r="K92" s="194">
        <f t="shared" si="10"/>
        <v>16</v>
      </c>
      <c r="L92" s="180">
        <f t="shared" si="10"/>
        <v>0</v>
      </c>
    </row>
    <row r="93" spans="1:12" ht="13.5" thickBot="1">
      <c r="A93" s="93">
        <f>A91+1</f>
        <v>81</v>
      </c>
      <c r="B93" s="100" t="s">
        <v>38</v>
      </c>
      <c r="C93" s="196">
        <f>'Расчет Лось 16 Новая форма'!W94</f>
        <v>3</v>
      </c>
      <c r="D93" s="170"/>
      <c r="E93" s="197">
        <f>'Расчет ДСО 16 Новая форма '!W99</f>
        <v>4</v>
      </c>
      <c r="F93" s="170"/>
      <c r="G93" s="198">
        <f>'Расчет СОБОЛЬ 16 Новая форма  '!W98</f>
        <v>20</v>
      </c>
      <c r="H93" s="170"/>
      <c r="I93" s="190">
        <v>2</v>
      </c>
      <c r="J93" s="170"/>
      <c r="K93" s="190">
        <v>0</v>
      </c>
      <c r="L93" s="170"/>
    </row>
    <row r="94" spans="1:12" ht="13.5" thickBot="1">
      <c r="A94" s="93">
        <f>A93+1</f>
        <v>82</v>
      </c>
      <c r="B94" s="100" t="s">
        <v>25</v>
      </c>
      <c r="C94" s="167">
        <f>'Расчет Лось 16 Новая форма'!W95</f>
        <v>1</v>
      </c>
      <c r="D94" s="117"/>
      <c r="E94" s="182">
        <f>'Расчет ДСО 16 Новая форма '!W100</f>
        <v>6</v>
      </c>
      <c r="F94" s="117"/>
      <c r="G94" s="178">
        <f>'Расчет СОБОЛЬ 16 Новая форма  '!W99</f>
        <v>0</v>
      </c>
      <c r="H94" s="117"/>
      <c r="I94" s="191">
        <v>0</v>
      </c>
      <c r="J94" s="117"/>
      <c r="K94" s="191">
        <v>0</v>
      </c>
      <c r="L94" s="117"/>
    </row>
    <row r="95" spans="1:12" ht="13.5" thickBot="1">
      <c r="A95" s="93">
        <f aca="true" t="shared" si="11" ref="A95:A104">A94+1</f>
        <v>83</v>
      </c>
      <c r="B95" s="104" t="s">
        <v>168</v>
      </c>
      <c r="C95" s="167">
        <f>'Расчет Лось 16 Новая форма'!W96</f>
        <v>14</v>
      </c>
      <c r="D95" s="117"/>
      <c r="E95" s="182">
        <f>'Расчет ДСО 16 Новая форма '!W101</f>
        <v>123</v>
      </c>
      <c r="F95" s="117"/>
      <c r="G95" s="178">
        <f>'Расчет СОБОЛЬ 16 Новая форма  '!W100</f>
        <v>65</v>
      </c>
      <c r="H95" s="117"/>
      <c r="I95" s="191">
        <v>13</v>
      </c>
      <c r="J95" s="117"/>
      <c r="K95" s="191">
        <v>5</v>
      </c>
      <c r="L95" s="117"/>
    </row>
    <row r="96" spans="1:12" ht="13.5" thickBot="1">
      <c r="A96" s="93">
        <f t="shared" si="11"/>
        <v>84</v>
      </c>
      <c r="B96" s="100" t="s">
        <v>165</v>
      </c>
      <c r="C96" s="167">
        <f>'Расчет Лось 16 Новая форма'!W97</f>
        <v>8</v>
      </c>
      <c r="D96" s="117"/>
      <c r="E96" s="182">
        <f>'Расчет ДСО 16 Новая форма '!W102</f>
        <v>34</v>
      </c>
      <c r="F96" s="117"/>
      <c r="G96" s="178">
        <f>'Расчет СОБОЛЬ 16 Новая форма  '!W101</f>
        <v>75</v>
      </c>
      <c r="H96" s="117"/>
      <c r="I96" s="191">
        <v>7</v>
      </c>
      <c r="J96" s="117"/>
      <c r="K96" s="191">
        <v>1</v>
      </c>
      <c r="L96" s="117"/>
    </row>
    <row r="97" spans="1:12" ht="13.5" thickBot="1">
      <c r="A97" s="93">
        <f t="shared" si="11"/>
        <v>85</v>
      </c>
      <c r="B97" s="100" t="s">
        <v>55</v>
      </c>
      <c r="C97" s="167">
        <f>'Расчет Лось 16 Новая форма'!W98</f>
        <v>6</v>
      </c>
      <c r="D97" s="117"/>
      <c r="E97" s="182">
        <f>'Расчет ДСО 16 Новая форма '!W103</f>
        <v>10</v>
      </c>
      <c r="F97" s="117"/>
      <c r="G97" s="178">
        <f>'Расчет СОБОЛЬ 16 Новая форма  '!W102</f>
        <v>30</v>
      </c>
      <c r="H97" s="117"/>
      <c r="I97" s="191">
        <v>4</v>
      </c>
      <c r="J97" s="117"/>
      <c r="K97" s="191">
        <v>0</v>
      </c>
      <c r="L97" s="117"/>
    </row>
    <row r="98" spans="1:12" ht="13.5" thickBot="1">
      <c r="A98" s="93">
        <f t="shared" si="11"/>
        <v>86</v>
      </c>
      <c r="B98" s="100" t="s">
        <v>56</v>
      </c>
      <c r="C98" s="167">
        <f>'Расчет Лось 16 Новая форма'!W99</f>
        <v>3</v>
      </c>
      <c r="D98" s="117"/>
      <c r="E98" s="182">
        <f>'Расчет ДСО 16 Новая форма '!W104</f>
        <v>20</v>
      </c>
      <c r="F98" s="117"/>
      <c r="G98" s="178">
        <f>'Расчет СОБОЛЬ 16 Новая форма  '!W103</f>
        <v>47</v>
      </c>
      <c r="H98" s="117"/>
      <c r="I98" s="191">
        <v>0</v>
      </c>
      <c r="J98" s="117"/>
      <c r="K98" s="191">
        <v>0</v>
      </c>
      <c r="L98" s="117"/>
    </row>
    <row r="99" spans="1:12" ht="13.5" thickBot="1">
      <c r="A99" s="93">
        <f t="shared" si="11"/>
        <v>87</v>
      </c>
      <c r="B99" s="100" t="s">
        <v>57</v>
      </c>
      <c r="C99" s="167">
        <f>'Расчет Лось 16 Новая форма'!W100</f>
        <v>4</v>
      </c>
      <c r="D99" s="117"/>
      <c r="E99" s="182">
        <f>'Расчет ДСО 16 Новая форма '!W105</f>
        <v>20</v>
      </c>
      <c r="F99" s="117"/>
      <c r="G99" s="178">
        <f>'Расчет СОБОЛЬ 16 Новая форма  '!W104</f>
        <v>87</v>
      </c>
      <c r="H99" s="117"/>
      <c r="I99" s="191">
        <v>0</v>
      </c>
      <c r="J99" s="117"/>
      <c r="K99" s="191">
        <v>0</v>
      </c>
      <c r="L99" s="117"/>
    </row>
    <row r="100" spans="1:12" ht="13.5" thickBot="1">
      <c r="A100" s="93">
        <f t="shared" si="11"/>
        <v>88</v>
      </c>
      <c r="B100" s="104" t="s">
        <v>67</v>
      </c>
      <c r="C100" s="167">
        <f>'Расчет Лось 16 Новая форма'!W101</f>
        <v>0</v>
      </c>
      <c r="D100" s="117"/>
      <c r="E100" s="182">
        <f>'Расчет ДСО 16 Новая форма '!W106</f>
        <v>0</v>
      </c>
      <c r="F100" s="117"/>
      <c r="G100" s="178">
        <f>'Расчет СОБОЛЬ 16 Новая форма  '!W105</f>
        <v>0</v>
      </c>
      <c r="H100" s="117"/>
      <c r="I100" s="191">
        <v>6</v>
      </c>
      <c r="J100" s="117"/>
      <c r="K100" s="191">
        <v>0</v>
      </c>
      <c r="L100" s="117"/>
    </row>
    <row r="101" spans="1:12" ht="13.5" thickBot="1">
      <c r="A101" s="93">
        <f t="shared" si="11"/>
        <v>89</v>
      </c>
      <c r="B101" s="104" t="s">
        <v>68</v>
      </c>
      <c r="C101" s="167">
        <f>'Расчет Лось 16 Новая форма'!W102</f>
        <v>6</v>
      </c>
      <c r="D101" s="117"/>
      <c r="E101" s="182">
        <f>'Расчет ДСО 16 Новая форма '!W107</f>
        <v>24</v>
      </c>
      <c r="F101" s="117"/>
      <c r="G101" s="178">
        <f>'Расчет СОБОЛЬ 16 Новая форма  '!W106</f>
        <v>52</v>
      </c>
      <c r="H101" s="117"/>
      <c r="I101" s="191">
        <v>23</v>
      </c>
      <c r="J101" s="117"/>
      <c r="K101" s="191">
        <v>4</v>
      </c>
      <c r="L101" s="117"/>
    </row>
    <row r="102" spans="1:12" ht="13.5" thickBot="1">
      <c r="A102" s="93">
        <f t="shared" si="11"/>
        <v>90</v>
      </c>
      <c r="B102" s="106" t="s">
        <v>69</v>
      </c>
      <c r="C102" s="167">
        <f>'Расчет Лось 16 Новая форма'!W103</f>
        <v>0</v>
      </c>
      <c r="D102" s="167">
        <v>0</v>
      </c>
      <c r="E102" s="167">
        <f>'Расчет Лось 16 Новая форма'!Y103</f>
        <v>0</v>
      </c>
      <c r="F102" s="167">
        <f>'Расчет Лось 16 Новая форма'!Z103</f>
        <v>0</v>
      </c>
      <c r="G102" s="167">
        <f>'Расчет Лось 16 Новая форма'!AA103</f>
        <v>0</v>
      </c>
      <c r="H102" s="167">
        <f>'Расчет Лось 16 Новая форма'!AB103</f>
        <v>0</v>
      </c>
      <c r="I102" s="167">
        <f>'Расчет Лось 16 Новая форма'!AC103</f>
        <v>0</v>
      </c>
      <c r="J102" s="167">
        <f>'Расчет Лось 16 Новая форма'!AD103</f>
        <v>0</v>
      </c>
      <c r="K102" s="167">
        <f>'Расчет Лось 16 Новая форма'!AE103</f>
        <v>0</v>
      </c>
      <c r="L102" s="167">
        <f>'Расчет Лось 16 Новая форма'!AF103</f>
        <v>0</v>
      </c>
    </row>
    <row r="103" spans="1:12" ht="13.5" thickBot="1">
      <c r="A103" s="93">
        <f t="shared" si="11"/>
        <v>91</v>
      </c>
      <c r="B103" s="102" t="s">
        <v>90</v>
      </c>
      <c r="C103" s="167">
        <f>'Расчет Лось 16 Новая форма'!W104</f>
        <v>5</v>
      </c>
      <c r="D103" s="117"/>
      <c r="E103" s="182">
        <f>'Расчет ДСО 16 Новая форма '!W109</f>
        <v>8</v>
      </c>
      <c r="F103" s="117"/>
      <c r="G103" s="178">
        <f>'Расчет СОБОЛЬ 16 Новая форма  '!W108</f>
        <v>26</v>
      </c>
      <c r="H103" s="117"/>
      <c r="I103" s="191">
        <v>14</v>
      </c>
      <c r="J103" s="117"/>
      <c r="K103" s="191">
        <v>3</v>
      </c>
      <c r="L103" s="117"/>
    </row>
    <row r="104" spans="1:12" ht="13.5" thickBot="1">
      <c r="A104" s="93">
        <f t="shared" si="11"/>
        <v>92</v>
      </c>
      <c r="B104" s="102" t="s">
        <v>91</v>
      </c>
      <c r="C104" s="167">
        <f>'Расчет Лось 16 Новая форма'!W105</f>
        <v>4</v>
      </c>
      <c r="D104" s="117"/>
      <c r="E104" s="182">
        <f>'Расчет ДСО 16 Новая форма '!W110</f>
        <v>25</v>
      </c>
      <c r="F104" s="117"/>
      <c r="G104" s="178">
        <f>'Расчет СОБОЛЬ 16 Новая форма  '!W109</f>
        <v>77</v>
      </c>
      <c r="H104" s="117"/>
      <c r="I104" s="191">
        <v>10</v>
      </c>
      <c r="J104" s="117"/>
      <c r="K104" s="191">
        <v>3</v>
      </c>
      <c r="L104" s="117"/>
    </row>
    <row r="105" spans="1:12" ht="18.75" thickBot="1">
      <c r="A105" s="300" t="s">
        <v>110</v>
      </c>
      <c r="B105" s="301"/>
      <c r="C105" s="171">
        <f>SUM(C106:C107)</f>
        <v>8</v>
      </c>
      <c r="D105" s="171">
        <f aca="true" t="shared" si="12" ref="D105:L105">SUM(D106:D107)</f>
        <v>0</v>
      </c>
      <c r="E105" s="171">
        <f t="shared" si="12"/>
        <v>63</v>
      </c>
      <c r="F105" s="171">
        <f t="shared" si="12"/>
        <v>0</v>
      </c>
      <c r="G105" s="171">
        <f t="shared" si="12"/>
        <v>274</v>
      </c>
      <c r="H105" s="171">
        <f t="shared" si="12"/>
        <v>0</v>
      </c>
      <c r="I105" s="192">
        <f t="shared" si="12"/>
        <v>30</v>
      </c>
      <c r="J105" s="171">
        <f t="shared" si="12"/>
        <v>0</v>
      </c>
      <c r="K105" s="192">
        <f t="shared" si="12"/>
        <v>7</v>
      </c>
      <c r="L105" s="171">
        <f t="shared" si="12"/>
        <v>0</v>
      </c>
    </row>
    <row r="106" spans="1:12" ht="13.5" thickBot="1">
      <c r="A106" s="93">
        <f>A104+1</f>
        <v>93</v>
      </c>
      <c r="B106" s="100" t="s">
        <v>26</v>
      </c>
      <c r="C106" s="167">
        <f>'Расчет Лось 16 Новая форма'!W107</f>
        <v>8</v>
      </c>
      <c r="D106" s="117"/>
      <c r="E106" s="182">
        <f>'Расчет ДСО 16 Новая форма '!W112</f>
        <v>63</v>
      </c>
      <c r="F106" s="117"/>
      <c r="G106" s="178">
        <f>'Расчет СОБОЛЬ 16 Новая форма  '!W111</f>
        <v>231</v>
      </c>
      <c r="H106" s="117"/>
      <c r="I106" s="191">
        <v>20</v>
      </c>
      <c r="J106" s="117"/>
      <c r="K106" s="191">
        <v>4</v>
      </c>
      <c r="L106" s="117"/>
    </row>
    <row r="107" spans="1:12" ht="13.5" thickBot="1">
      <c r="A107" s="93">
        <f>A106+1</f>
        <v>94</v>
      </c>
      <c r="B107" s="104" t="s">
        <v>170</v>
      </c>
      <c r="C107" s="176">
        <f>'Расчет Лось 16 Новая форма'!W108</f>
        <v>0</v>
      </c>
      <c r="D107" s="177">
        <v>0</v>
      </c>
      <c r="E107" s="183">
        <f>'Расчет ДСО 16 Новая форма '!W113</f>
        <v>0</v>
      </c>
      <c r="F107" s="177">
        <v>0</v>
      </c>
      <c r="G107" s="178">
        <f>'Расчет СОБОЛЬ 16 Новая форма  '!W112</f>
        <v>43</v>
      </c>
      <c r="H107" s="177"/>
      <c r="I107" s="195">
        <v>10</v>
      </c>
      <c r="J107" s="177"/>
      <c r="K107" s="195">
        <v>3</v>
      </c>
      <c r="L107" s="177"/>
    </row>
    <row r="108" spans="1:12" ht="18.75" thickBot="1">
      <c r="A108" s="300" t="s">
        <v>111</v>
      </c>
      <c r="B108" s="301"/>
      <c r="C108" s="180">
        <f>SUM(C109:C111)</f>
        <v>21</v>
      </c>
      <c r="D108" s="199"/>
      <c r="E108" s="180">
        <f aca="true" t="shared" si="13" ref="E108:L108">SUM(E109:E111)</f>
        <v>105</v>
      </c>
      <c r="F108" s="180">
        <f t="shared" si="13"/>
        <v>0</v>
      </c>
      <c r="G108" s="180">
        <f t="shared" si="13"/>
        <v>193</v>
      </c>
      <c r="H108" s="180">
        <f t="shared" si="13"/>
        <v>0</v>
      </c>
      <c r="I108" s="194">
        <f t="shared" si="13"/>
        <v>18</v>
      </c>
      <c r="J108" s="180">
        <f t="shared" si="13"/>
        <v>0</v>
      </c>
      <c r="K108" s="194">
        <f t="shared" si="13"/>
        <v>9</v>
      </c>
      <c r="L108" s="185">
        <f t="shared" si="13"/>
        <v>0</v>
      </c>
    </row>
    <row r="109" spans="1:12" ht="13.5" thickBot="1">
      <c r="A109" s="93">
        <f>A107+1</f>
        <v>95</v>
      </c>
      <c r="B109" s="100" t="s">
        <v>27</v>
      </c>
      <c r="C109" s="196">
        <f>'Расчет Лось 16 Новая форма'!W110</f>
        <v>11</v>
      </c>
      <c r="D109" s="170"/>
      <c r="E109" s="197">
        <f>'Расчет ДСО 16 Новая форма '!W115</f>
        <v>90</v>
      </c>
      <c r="F109" s="170"/>
      <c r="G109" s="198">
        <f>'Расчет СОБОЛЬ 16 Новая форма  '!W114</f>
        <v>143</v>
      </c>
      <c r="H109" s="170"/>
      <c r="I109" s="190">
        <v>5</v>
      </c>
      <c r="J109" s="170"/>
      <c r="K109" s="190">
        <v>7</v>
      </c>
      <c r="L109" s="170"/>
    </row>
    <row r="110" spans="1:12" ht="13.5" thickBot="1">
      <c r="A110" s="93">
        <f>A109+1</f>
        <v>96</v>
      </c>
      <c r="B110" s="100" t="s">
        <v>44</v>
      </c>
      <c r="C110" s="167">
        <f>'Расчет Лось 16 Новая форма'!W111</f>
        <v>10</v>
      </c>
      <c r="D110" s="117"/>
      <c r="E110" s="182">
        <f>'Расчет ДСО 16 Новая форма '!W116</f>
        <v>15</v>
      </c>
      <c r="F110" s="117"/>
      <c r="G110" s="178">
        <f>'Расчет СОБОЛЬ 16 Новая форма  '!W115</f>
        <v>50</v>
      </c>
      <c r="H110" s="117"/>
      <c r="I110" s="191">
        <v>4</v>
      </c>
      <c r="J110" s="117"/>
      <c r="K110" s="191">
        <v>2</v>
      </c>
      <c r="L110" s="117"/>
    </row>
    <row r="111" spans="1:12" ht="13.5" thickBot="1">
      <c r="A111" s="93">
        <f>A110+1</f>
        <v>97</v>
      </c>
      <c r="B111" s="175" t="s">
        <v>171</v>
      </c>
      <c r="C111" s="176">
        <f>'Расчет Лось 16 Новая форма'!W112</f>
        <v>0</v>
      </c>
      <c r="D111" s="177">
        <v>0</v>
      </c>
      <c r="E111" s="183">
        <f>'Расчет ДСО 16 Новая форма '!W117</f>
        <v>0</v>
      </c>
      <c r="F111" s="181">
        <v>0</v>
      </c>
      <c r="G111" s="178">
        <f>'Расчет СОБОЛЬ 16 Новая форма  '!W116</f>
        <v>0</v>
      </c>
      <c r="H111" s="117">
        <v>0</v>
      </c>
      <c r="I111" s="191">
        <v>9</v>
      </c>
      <c r="J111" s="181"/>
      <c r="K111" s="191">
        <v>0</v>
      </c>
      <c r="L111" s="117">
        <v>0</v>
      </c>
    </row>
    <row r="112" spans="1:12" ht="15.75" customHeight="1" thickBot="1">
      <c r="A112" s="174"/>
      <c r="B112" s="179" t="s">
        <v>28</v>
      </c>
      <c r="C112" s="180">
        <f>C108+C105+C92+C87+C73+C55+C44+C8+C6</f>
        <v>393</v>
      </c>
      <c r="D112" s="180">
        <f>D108+D105+D92+D87+D73+D55+D44+D8+D6</f>
        <v>0</v>
      </c>
      <c r="E112" s="180">
        <f>E108+E105+E92+E87+E73+E55+E44+E8+E6</f>
        <v>1494</v>
      </c>
      <c r="F112" s="180"/>
      <c r="G112" s="180">
        <f aca="true" t="shared" si="14" ref="G112:L112">G108+G105+G92+G87+G73+G55+G44+G8+G6</f>
        <v>5225</v>
      </c>
      <c r="H112" s="180">
        <v>0</v>
      </c>
      <c r="I112" s="193">
        <f t="shared" si="14"/>
        <v>947</v>
      </c>
      <c r="J112" s="180">
        <f t="shared" si="14"/>
        <v>0</v>
      </c>
      <c r="K112" s="194">
        <f t="shared" si="14"/>
        <v>205</v>
      </c>
      <c r="L112" s="180">
        <f t="shared" si="14"/>
        <v>0</v>
      </c>
    </row>
    <row r="114" ht="15.75">
      <c r="B114" s="118" t="s">
        <v>153</v>
      </c>
    </row>
    <row r="115" ht="15.75">
      <c r="B115" s="118" t="s">
        <v>154</v>
      </c>
    </row>
    <row r="116" ht="15.75">
      <c r="B116" s="119" t="s">
        <v>155</v>
      </c>
    </row>
    <row r="117" ht="15.75">
      <c r="B117" s="119" t="s">
        <v>156</v>
      </c>
    </row>
    <row r="118" ht="15.75">
      <c r="B118" s="120" t="s">
        <v>163</v>
      </c>
    </row>
    <row r="119" ht="15.75">
      <c r="B119" s="120" t="s">
        <v>157</v>
      </c>
    </row>
    <row r="120" ht="15.75">
      <c r="B120" s="120" t="s">
        <v>178</v>
      </c>
    </row>
    <row r="121" ht="15.75">
      <c r="B121" s="119" t="s">
        <v>158</v>
      </c>
    </row>
    <row r="122" ht="15.75">
      <c r="B122" s="120" t="s">
        <v>159</v>
      </c>
    </row>
    <row r="123" ht="15.75">
      <c r="B123" s="119" t="s">
        <v>156</v>
      </c>
    </row>
    <row r="124" ht="15.75">
      <c r="B124" s="119" t="s">
        <v>160</v>
      </c>
    </row>
    <row r="125" ht="30.75" customHeight="1">
      <c r="B125" s="119" t="s">
        <v>161</v>
      </c>
    </row>
    <row r="126" ht="15.75">
      <c r="B126" s="3"/>
    </row>
    <row r="127" ht="18.75">
      <c r="B127" s="121" t="s">
        <v>162</v>
      </c>
    </row>
  </sheetData>
  <sheetProtection/>
  <mergeCells count="13">
    <mergeCell ref="I4:J4"/>
    <mergeCell ref="K4:L4"/>
    <mergeCell ref="B4:B5"/>
    <mergeCell ref="A105:B105"/>
    <mergeCell ref="A108:B108"/>
    <mergeCell ref="A73:B73"/>
    <mergeCell ref="A87:B87"/>
    <mergeCell ref="A92:B92"/>
    <mergeCell ref="B2:L2"/>
    <mergeCell ref="B3:L3"/>
    <mergeCell ref="C4:D4"/>
    <mergeCell ref="E4:F4"/>
    <mergeCell ref="G4:H4"/>
  </mergeCells>
  <printOptions/>
  <pageMargins left="0.5118110236220472" right="0" top="0" bottom="0" header="0" footer="0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Коля Жога</dc:creator>
  <cp:keywords/>
  <dc:description/>
  <cp:lastModifiedBy>LobychevSN</cp:lastModifiedBy>
  <cp:lastPrinted>2017-02-07T00:50:55Z</cp:lastPrinted>
  <dcterms:created xsi:type="dcterms:W3CDTF">2011-07-28T21:50:29Z</dcterms:created>
  <dcterms:modified xsi:type="dcterms:W3CDTF">2017-03-19T23:11:01Z</dcterms:modified>
  <cp:category/>
  <cp:version/>
  <cp:contentType/>
  <cp:contentStatus/>
</cp:coreProperties>
</file>