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defaultThemeVersion="124226"/>
  <bookViews>
    <workbookView xWindow="13020" yWindow="65386" windowWidth="15330" windowHeight="11535" tabRatio="599" firstSheet="1" activeTab="6"/>
  </bookViews>
  <sheets>
    <sheet name="пр3 по разд" sheetId="46" r:id="rId1"/>
    <sheet name="сравн.таб." sheetId="48" r:id="rId2"/>
    <sheet name="пр.4" sheetId="4" r:id="rId3"/>
    <sheet name="пр.5 вед.стр." sheetId="38" r:id="rId4"/>
    <sheet name="МП пр.6" sheetId="47" r:id="rId5"/>
    <sheet name="пр.7 ист." sheetId="40" r:id="rId6"/>
    <sheet name="Пр.8" sheetId="49" r:id="rId7"/>
    <sheet name="Лист1" sheetId="50" r:id="rId8"/>
  </sheets>
  <externalReferences>
    <externalReference r:id="rId11"/>
    <externalReference r:id="rId12"/>
    <externalReference r:id="rId13"/>
  </externalReferences>
  <definedNames>
    <definedName name="_xlnm.Print_Area" localSheetId="4">'МП пр.6'!$A$1:$G$756</definedName>
    <definedName name="_xlnm.Print_Area" localSheetId="2">'пр.4'!$A$1:$F$912</definedName>
    <definedName name="_xlnm.Print_Area" localSheetId="3">'пр.5 вед.стр.'!$A$1:$G$1008</definedName>
    <definedName name="_xlnm.Print_Area" localSheetId="5">'пр.7 ист.'!$A$1:$C$32</definedName>
    <definedName name="_xlnm.Print_Area" localSheetId="6">'Пр.8'!$A$1:$G$15</definedName>
    <definedName name="_xlnm.Print_Area" localSheetId="0">'пр3 по разд'!$A$1:$D$50</definedName>
    <definedName name="_xlnm.Print_Area" localSheetId="1">'сравн.таб.'!$A$1:$G$48</definedName>
    <definedName name="_xlnm.Print_Titles" localSheetId="3">'пр.5 вед.стр.'!$7:$7</definedName>
  </definedNames>
  <calcPr calcId="145621"/>
</workbook>
</file>

<file path=xl/sharedStrings.xml><?xml version="1.0" encoding="utf-8"?>
<sst xmlns="http://schemas.openxmlformats.org/spreadsheetml/2006/main" count="11091" uniqueCount="758">
  <si>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</si>
  <si>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</si>
  <si>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</si>
  <si>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</si>
  <si>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</si>
  <si>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</si>
  <si>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</si>
  <si>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</si>
  <si>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</si>
  <si>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</si>
  <si>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</si>
  <si>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</si>
  <si>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</si>
  <si>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</si>
  <si>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</si>
  <si>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</si>
  <si>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</si>
  <si>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</si>
  <si>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</si>
  <si>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</si>
  <si>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</si>
  <si>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</si>
  <si>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</si>
  <si>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</si>
  <si>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</si>
  <si>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</si>
  <si>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</si>
  <si>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</si>
  <si>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</si>
  <si>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</si>
  <si>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</si>
  <si>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</si>
  <si>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</si>
  <si>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</si>
  <si>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</si>
  <si>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</si>
  <si>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</si>
  <si>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</si>
  <si>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</si>
  <si>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</si>
  <si>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</si>
  <si>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</si>
  <si>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</si>
  <si>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</si>
  <si>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</si>
  <si>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</si>
  <si>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</si>
  <si>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</si>
  <si>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</si>
  <si>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</si>
  <si>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</si>
  <si>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</si>
  <si>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</si>
  <si>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</si>
  <si>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</si>
  <si>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</si>
  <si>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</si>
  <si>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</si>
  <si>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</si>
  <si>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</si>
  <si>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</si>
  <si>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</si>
  <si>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</si>
  <si>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</si>
  <si>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</si>
  <si>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</si>
  <si>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</si>
  <si>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</si>
  <si>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</si>
  <si>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</si>
  <si>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</si>
  <si>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</si>
  <si>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</si>
  <si>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</si>
  <si>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</si>
  <si>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</si>
  <si>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</si>
  <si>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</si>
  <si>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</si>
  <si>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</si>
  <si>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</si>
  <si>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</si>
  <si>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</si>
  <si>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</si>
  <si>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</si>
  <si>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</si>
  <si>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</si>
  <si>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</si>
  <si>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</si>
  <si>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</si>
  <si>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</si>
  <si>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</si>
  <si>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</si>
  <si>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</si>
  <si>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</si>
  <si>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</si>
  <si>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</si>
  <si>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</si>
  <si>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</si>
  <si>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бюджетным учреждениям</t>
  </si>
  <si>
    <t>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</si>
  <si>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</si>
  <si>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</si>
  <si>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</si>
  <si>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</si>
  <si>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</si>
  <si>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</si>
  <si>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</si>
  <si>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</si>
  <si>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</si>
  <si>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</si>
  <si>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</si>
  <si>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</si>
  <si>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</si>
  <si>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</si>
  <si>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320</t>
  </si>
  <si>
    <t>Социальные выплаты гражданам, кроме публичных нормативных социальных выплат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</si>
  <si>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</si>
  <si>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</si>
  <si>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</si>
  <si>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</si>
  <si>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</si>
  <si>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</si>
  <si>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</si>
  <si>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</si>
  <si>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</si>
  <si>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</si>
  <si>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</si>
  <si>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</si>
  <si>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</si>
  <si>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</si>
  <si>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</si>
  <si>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</si>
  <si>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</si>
  <si>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</si>
  <si>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</si>
  <si>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</si>
  <si>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</si>
  <si>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</si>
  <si>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</si>
  <si>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</si>
  <si>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</si>
  <si>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</si>
  <si>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</si>
  <si>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</si>
  <si>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</si>
  <si>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</si>
  <si>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</si>
  <si>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</si>
  <si>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</si>
  <si>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</si>
  <si>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</si>
  <si>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</si>
  <si>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</si>
  <si>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</si>
  <si>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</si>
  <si>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</si>
  <si>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</si>
  <si>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</si>
  <si>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</si>
  <si>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</si>
  <si>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</si>
  <si>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</si>
  <si>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</si>
  <si>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</si>
  <si>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</si>
  <si>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</si>
  <si>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</si>
  <si>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</si>
  <si>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</si>
  <si>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</si>
  <si>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</si>
  <si>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</si>
  <si>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</si>
  <si>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</si>
  <si>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</si>
  <si>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</si>
  <si>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</si>
  <si>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</si>
  <si>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</si>
  <si>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</si>
  <si>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</si>
  <si>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</si>
  <si>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</si>
  <si>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</si>
  <si>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</si>
  <si>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</si>
  <si>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</si>
  <si>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</si>
  <si>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</si>
  <si>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</si>
  <si>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</si>
  <si>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</si>
  <si>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</si>
  <si>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"Приобщение различных слоев населения к регулярным занятиям физической культурой и спортом"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</si>
  <si>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</si>
  <si>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</si>
  <si>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</si>
  <si>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</si>
  <si>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</si>
  <si>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</si>
  <si>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</si>
  <si>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</si>
  <si>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</si>
  <si>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</si>
  <si>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</si>
  <si>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</si>
  <si>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</si>
  <si>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</si>
  <si>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110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</si>
  <si>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</si>
  <si>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</si>
  <si>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</si>
  <si>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</si>
  <si>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</si>
  <si>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</si>
  <si>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</si>
  <si>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</si>
  <si>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</si>
  <si>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</si>
  <si>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</si>
  <si>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</si>
  <si>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</si>
  <si>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</si>
  <si>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</si>
  <si>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</si>
  <si>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</si>
  <si>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</si>
  <si>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</si>
  <si>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</si>
  <si>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</si>
  <si>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</si>
  <si>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</si>
  <si>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</si>
  <si>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</si>
  <si>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</si>
  <si>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</si>
  <si>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</si>
  <si>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</si>
  <si>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</si>
  <si>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</si>
  <si>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</si>
  <si>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</si>
  <si>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</si>
  <si>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</si>
  <si>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</si>
  <si>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</si>
  <si>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</si>
  <si>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</si>
  <si>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</si>
  <si>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</si>
  <si>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</si>
  <si>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</si>
  <si>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</si>
  <si>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</si>
  <si>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</si>
  <si>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</si>
  <si>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</si>
  <si>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</si>
  <si>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</si>
  <si>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</si>
  <si>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</si>
  <si>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</si>
  <si>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</si>
  <si>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</si>
  <si>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</si>
  <si>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</si>
  <si>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</si>
  <si>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</si>
  <si>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</si>
  <si>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</si>
  <si>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</si>
  <si>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</si>
  <si>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</si>
  <si>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</si>
  <si>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</si>
  <si>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</si>
  <si>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</si>
  <si>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</si>
  <si>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</si>
  <si>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</si>
  <si>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</si>
  <si>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7R 0 01 73260</t>
  </si>
  <si>
    <t>7R 0 01 S3260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</si>
  <si>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</si>
  <si>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</si>
  <si>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</si>
  <si>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</si>
  <si>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</si>
  <si>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</si>
  <si>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</si>
  <si>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</si>
  <si>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</si>
  <si>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</si>
  <si>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Другие вопросы в области охраны окружающей среды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</si>
  <si>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</si>
  <si>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</si>
  <si>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</si>
  <si>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</si>
  <si>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</si>
  <si>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</si>
  <si>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</si>
  <si>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</si>
  <si>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</si>
  <si>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</si>
  <si>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</si>
  <si>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</si>
  <si>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</si>
  <si>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</si>
  <si>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</si>
  <si>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</si>
  <si>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</si>
  <si>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</si>
  <si>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</si>
  <si>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</si>
  <si>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</si>
  <si>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</si>
  <si>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</si>
  <si>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</si>
  <si>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</si>
  <si>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</si>
  <si>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</si>
  <si>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</si>
  <si>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</si>
  <si>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</si>
  <si>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</si>
  <si>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</si>
  <si>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</si>
  <si>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7Г 0 01 96610 </t>
  </si>
  <si>
    <t>7Z 0 00 00000</t>
  </si>
  <si>
    <t>7Z 0 01 00000</t>
  </si>
  <si>
    <t xml:space="preserve">ОХРАНА ОКРУЖАЮЩЕЙ СРЕДЫ </t>
  </si>
  <si>
    <t xml:space="preserve">Оптимизация жилищного фонда в виде расселения 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</si>
  <si>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</si>
  <si>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</si>
  <si>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</si>
  <si>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</si>
  <si>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</si>
  <si>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</si>
  <si>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</si>
  <si>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</si>
  <si>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</si>
  <si>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</si>
  <si>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</si>
  <si>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</si>
  <si>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</si>
  <si>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</si>
  <si>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</si>
  <si>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</si>
  <si>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Р5 0 00 00000</t>
  </si>
  <si>
    <t>Приложение № 5</t>
  </si>
  <si>
    <t xml:space="preserve">Общее образование  </t>
  </si>
  <si>
    <t>7Д 0 01 92210</t>
  </si>
  <si>
    <t>ОХРАНА ОКРУЖАЮЩЕЙ СРЕДЫ</t>
  </si>
  <si>
    <t>к  решению Собрания представителей Сусуманского городского округа</t>
  </si>
  <si>
    <t>7N 0 00 00000</t>
  </si>
  <si>
    <t>7N 0 01 00000</t>
  </si>
  <si>
    <t>7W 0 00 00000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</si>
  <si>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</si>
  <si>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</si>
  <si>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</si>
  <si>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к  решению  Собрания представителей Сусуманского городского округа</t>
  </si>
  <si>
    <t>№            п/п</t>
  </si>
  <si>
    <t>1.</t>
  </si>
  <si>
    <t>1.1.</t>
  </si>
  <si>
    <t>1.2.</t>
  </si>
  <si>
    <t>1.3.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</si>
  <si>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</si>
  <si>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1.4.</t>
  </si>
  <si>
    <t>1.5.</t>
  </si>
  <si>
    <t>1.6.</t>
  </si>
  <si>
    <t>2.</t>
  </si>
  <si>
    <t>2.1.</t>
  </si>
  <si>
    <t>3.</t>
  </si>
  <si>
    <t>3.1.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</si>
  <si>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</si>
  <si>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</si>
  <si>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4.1.</t>
  </si>
  <si>
    <t>4.2.</t>
  </si>
  <si>
    <t>4.3.</t>
  </si>
  <si>
    <t>4.4.</t>
  </si>
  <si>
    <t>5.</t>
  </si>
  <si>
    <t>5.2.</t>
  </si>
  <si>
    <t>5.3.</t>
  </si>
  <si>
    <t>6.</t>
  </si>
  <si>
    <t>6.1.</t>
  </si>
  <si>
    <t>7.</t>
  </si>
  <si>
    <t>7.1.</t>
  </si>
  <si>
    <t>7.2.</t>
  </si>
  <si>
    <t>7.3.</t>
  </si>
  <si>
    <t>7.4.</t>
  </si>
  <si>
    <t>7.5.</t>
  </si>
  <si>
    <t>8.</t>
  </si>
  <si>
    <t>8.1</t>
  </si>
  <si>
    <t>8.2.</t>
  </si>
  <si>
    <t xml:space="preserve">Другие вопросы в области культуры, кинематографии </t>
  </si>
  <si>
    <t>9.</t>
  </si>
  <si>
    <t>9.1.</t>
  </si>
  <si>
    <t>9.2.</t>
  </si>
  <si>
    <t>9.3.</t>
  </si>
  <si>
    <t>10.</t>
  </si>
  <si>
    <t>10.1.</t>
  </si>
  <si>
    <t>11.</t>
  </si>
  <si>
    <t>11.1.</t>
  </si>
  <si>
    <t>12.</t>
  </si>
  <si>
    <t>12.1.</t>
  </si>
  <si>
    <t>Сумма</t>
  </si>
  <si>
    <t>Основное мероприятие "Управление развитием отрасли образования"</t>
  </si>
  <si>
    <t xml:space="preserve">7Б 0 01 00000 </t>
  </si>
  <si>
    <t xml:space="preserve">7Б 0 01 91600 </t>
  </si>
  <si>
    <t xml:space="preserve">Укрепление материально- технической базы </t>
  </si>
  <si>
    <t>7Б 0 01 92500</t>
  </si>
  <si>
    <t>Приобретение литературно- художественных изданий за счет средств местного бюджета</t>
  </si>
  <si>
    <t xml:space="preserve">Организация отдыха и оздоровления детей в лагерях дневного пребывания </t>
  </si>
  <si>
    <t>Материально- техническое и методологическое обеспечение в сфере молодежной политики</t>
  </si>
  <si>
    <t xml:space="preserve">7М 0 01 92530 </t>
  </si>
  <si>
    <t>Мероприятия по организации и проведению областных универсальных совместных ярмарок за счет средств местного бюджета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</si>
  <si>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</si>
  <si>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</si>
  <si>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</si>
  <si>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</si>
  <si>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</si>
  <si>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</si>
  <si>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</si>
  <si>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</si>
  <si>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</si>
  <si>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</si>
  <si>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</si>
  <si>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</si>
  <si>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</si>
  <si>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</si>
  <si>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</si>
  <si>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</si>
  <si>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</si>
  <si>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</si>
  <si>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</si>
  <si>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</si>
  <si>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</si>
  <si>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</si>
  <si>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</si>
  <si>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</si>
  <si>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Основное мероприятие "Проведение реконструкции, ремонта или замены оборудования на объектах коммунальной инфраструктуры"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</si>
  <si>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</si>
  <si>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 xml:space="preserve">Дополнительное профессиональное образование для лиц, замещающих муниципальные должности                         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</si>
  <si>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</si>
  <si>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</si>
  <si>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</si>
  <si>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</si>
  <si>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</si>
  <si>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</si>
  <si>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</si>
  <si>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</si>
  <si>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</si>
  <si>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</si>
  <si>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</si>
  <si>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</si>
  <si>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</si>
  <si>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</si>
  <si>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</si>
  <si>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</si>
  <si>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</si>
  <si>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</si>
  <si>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</si>
  <si>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</si>
  <si>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</si>
  <si>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</si>
  <si>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</si>
  <si>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</si>
  <si>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</si>
  <si>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</si>
  <si>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</si>
  <si>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</si>
  <si>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</si>
  <si>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</si>
  <si>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</si>
  <si>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</si>
  <si>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</si>
  <si>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</si>
  <si>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</si>
  <si>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</si>
  <si>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</si>
  <si>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</si>
  <si>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</si>
  <si>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</si>
  <si>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</si>
  <si>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</si>
  <si>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</si>
  <si>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</si>
  <si>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</si>
  <si>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</si>
  <si>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</si>
  <si>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</si>
  <si>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</si>
  <si>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</si>
  <si>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</si>
  <si>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</si>
  <si>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</si>
  <si>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</si>
  <si>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</si>
  <si>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</si>
  <si>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t xml:space="preserve"> М2 0  00 00491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</si>
  <si>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</si>
  <si>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</si>
  <si>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</si>
  <si>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</si>
  <si>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</si>
  <si>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</si>
  <si>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</si>
  <si>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</si>
  <si>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</si>
  <si>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</si>
  <si>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</si>
  <si>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</si>
  <si>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</si>
  <si>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</si>
  <si>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</si>
  <si>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</si>
  <si>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</si>
  <si>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</si>
  <si>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</si>
  <si>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</si>
  <si>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</si>
  <si>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</si>
  <si>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</si>
  <si>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</si>
  <si>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</si>
  <si>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Приобретение литературно- художественных изданий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</si>
  <si>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</si>
  <si>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</si>
  <si>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</si>
  <si>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</si>
  <si>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</si>
  <si>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</si>
  <si>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</si>
  <si>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</si>
  <si>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</si>
  <si>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</si>
  <si>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</si>
  <si>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</si>
  <si>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</si>
  <si>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</si>
  <si>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</si>
  <si>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</si>
  <si>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</si>
  <si>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</si>
  <si>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</si>
  <si>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</si>
  <si>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</si>
  <si>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</si>
  <si>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</si>
  <si>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</si>
  <si>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</si>
  <si>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</si>
  <si>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</si>
  <si>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</si>
  <si>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</si>
  <si>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</si>
  <si>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</si>
  <si>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</si>
  <si>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</si>
  <si>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</si>
  <si>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</si>
  <si>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</si>
  <si>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</si>
  <si>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</si>
  <si>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</si>
  <si>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</si>
  <si>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</si>
  <si>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</si>
  <si>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</si>
  <si>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</si>
  <si>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</si>
  <si>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</si>
  <si>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</si>
  <si>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</si>
  <si>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</si>
  <si>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</si>
  <si>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</si>
  <si>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</si>
  <si>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</si>
  <si>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</si>
  <si>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</si>
  <si>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Р1 7 00 74170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</si>
  <si>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</si>
  <si>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</si>
  <si>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</si>
  <si>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</si>
  <si>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</si>
  <si>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</si>
  <si>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</si>
  <si>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</si>
  <si>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</si>
  <si>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</si>
  <si>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</si>
  <si>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</si>
  <si>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 xml:space="preserve">Распределение ассигнований из бюджета муниципального образования "Сусуманский городской округ" на 2019 год по разделам и подразделам, целевым статьям и видам расходов  классификации расходов бюджетов Российской Федерации </t>
  </si>
  <si>
    <t>Ведомственная структура расходов бюджета муниципального образования "Сусуманский городской округ" на 2019 год</t>
  </si>
  <si>
    <t>Распределение бюджетных ассигнований на реализацию муниципальных программ на 2019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</si>
  <si>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2019 год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</si>
  <si>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</si>
  <si>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7В 0 02 00000</t>
  </si>
  <si>
    <t>Оказание материальной помощи, единовременной выплаты</t>
  </si>
  <si>
    <t>7В 0 02 91200</t>
  </si>
  <si>
    <t>Предоставление льготы по оплате жилищно- коммунальных услуг</t>
  </si>
  <si>
    <t>7В 0 02 91410</t>
  </si>
  <si>
    <t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t>
  </si>
  <si>
    <t>7Р 0 02 73С20</t>
  </si>
  <si>
    <t>Установка пропускных систем</t>
  </si>
  <si>
    <t>Иные закупки товаров, работ и услуг для обеспечения государственных ( муниципальных ) нужд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</si>
  <si>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</si>
  <si>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Иные закупки товаров, работ и услуг для обеспечения государственных (муниципальных )нужд</t>
  </si>
  <si>
    <t>Обслуживание государственного (муниципального) долга</t>
  </si>
  <si>
    <t>Организация отдыха и оздоровления детей в лагерях дневного пребывания  за счет средств местного бюджета</t>
  </si>
  <si>
    <t>7Б 0 01 93300</t>
  </si>
  <si>
    <t>Иные закупки товаров, работ и услуг для обеспечения государственных (муниципальных) нужд</t>
  </si>
  <si>
    <t>Мероприятия по организации и проведению областных универсальных совместных ярмарок</t>
  </si>
  <si>
    <t>7Н 0 01 73900</t>
  </si>
  <si>
    <t>7Р 0 02 S3С20</t>
  </si>
  <si>
    <t xml:space="preserve">Финансовая поддержка субъектов малого и среднего предпринимательства </t>
  </si>
  <si>
    <t xml:space="preserve">7И 0 01 93360 </t>
  </si>
  <si>
    <t>7Z 0 01 92010</t>
  </si>
  <si>
    <t>Мероприятия по благоустройству территории Сусуманского городского округа</t>
  </si>
  <si>
    <t>Выплата доплаты к пенсии</t>
  </si>
  <si>
    <t>Р5 0 00 08621</t>
  </si>
  <si>
    <t>Приложение № 6</t>
  </si>
  <si>
    <t>"+" "-" ассигно-ваний</t>
  </si>
  <si>
    <t xml:space="preserve">Сравнительная таблица по расходам  на внесение изменений по бюджету Сусуманского городского округа                 на 2019 год </t>
  </si>
  <si>
    <t>Прочие мероприятия по благоустройству</t>
  </si>
  <si>
    <t>К2 0 00 08640</t>
  </si>
  <si>
    <t>Приобретение, изготовление баннеров и иной наглядной продукции антитеррористической направленности</t>
  </si>
  <si>
    <t xml:space="preserve">7Т 0 05 95160 </t>
  </si>
  <si>
    <t xml:space="preserve"> </t>
  </si>
  <si>
    <t xml:space="preserve">7Щ 0 00 00000 </t>
  </si>
  <si>
    <t xml:space="preserve">7Щ 0 01 00000 </t>
  </si>
  <si>
    <t>7Щ 0 01 R5110</t>
  </si>
  <si>
    <t>Проведение комплексных кадастровых работ за счет средств областного бюджета</t>
  </si>
  <si>
    <t>Основное мероприятие "Проведение на территории Сусуманского городского округа комплексных кадастровых работ"</t>
  </si>
  <si>
    <t>Основное мероприятие "Улучшение жилищных условий молодых семей"</t>
  </si>
  <si>
    <t>Дополнительная социальная выплата молодым семьям при рождении (усыновлении) каждого ребенка</t>
  </si>
  <si>
    <t>7Ж 0 01 73070</t>
  </si>
  <si>
    <t>Основное мероприятие "Разработка декларации безопасности (включая государственную экспертизу)"</t>
  </si>
  <si>
    <t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t>
  </si>
  <si>
    <t>7А 0 00 00000</t>
  </si>
  <si>
    <t>7А 0 01 00000</t>
  </si>
  <si>
    <t>7А 0 01 93340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</si>
  <si>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</si>
  <si>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 98100</t>
  </si>
  <si>
    <t xml:space="preserve">Мероприятия в области охраны окружающей среды </t>
  </si>
  <si>
    <t>К4 0 00 00000</t>
  </si>
  <si>
    <t>Прочие мероприятия в области охраны окружающей среды</t>
  </si>
  <si>
    <t>К4 0 00 08660</t>
  </si>
  <si>
    <t>Исполнение судебных актов</t>
  </si>
  <si>
    <t xml:space="preserve">7Ф 0 01 75010 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</si>
  <si>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</si>
  <si>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Основное мероприятие  "Финансовая поддержка организациям коммунального комплекса"</t>
  </si>
  <si>
    <t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t>
  </si>
  <si>
    <t>7Р 0 04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</si>
  <si>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</si>
  <si>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</si>
  <si>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</si>
  <si>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</si>
  <si>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</si>
  <si>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 xml:space="preserve">7Р 0 04 00000 </t>
  </si>
  <si>
    <t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t>
  </si>
  <si>
    <t>Приложение № 3</t>
  </si>
  <si>
    <t>Основное мероприятие "Разработка проектно-сметной документации (в том числе проведение инженерных изысканий) по объектам размещения отходов»"</t>
  </si>
  <si>
    <t>7W 0 02 00000</t>
  </si>
  <si>
    <t>7W 0 02 73710</t>
  </si>
  <si>
    <t>7W 0 02 S3710</t>
  </si>
  <si>
    <t>Основное мероприятие "Содержание автомобильных дорог общего пользования местного значения"</t>
  </si>
  <si>
    <t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t>
  </si>
  <si>
    <t xml:space="preserve">7Л 0 02 92300 </t>
  </si>
  <si>
    <t xml:space="preserve">7Л 0 02 00000 </t>
  </si>
  <si>
    <t>Утверждено по бюджету на 2019 год</t>
  </si>
  <si>
    <t>Уточнен-ный план на 2019 год</t>
  </si>
  <si>
    <t>Основное мероприятие "Развитие кадрового потенциала"</t>
  </si>
  <si>
    <t>7Р 0 06 00000</t>
  </si>
  <si>
    <t>7Р 0 06 91510</t>
  </si>
  <si>
    <t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t>
  </si>
  <si>
    <t>7D 0 01 95450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</si>
  <si>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</si>
  <si>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 98200</t>
  </si>
  <si>
    <t xml:space="preserve">7Г 0 F3 00000 </t>
  </si>
  <si>
    <t>Обеспечение мероприятий по переселению граждан из аварийного жилищного фонда за счет средств субъекта Российской Федерации</t>
  </si>
  <si>
    <t>Расселение жителей из аварийного многоквартирного дома, расположенного по адресу: ул.Строителей, д.17,г.Сусуман, Сусуманский городской округ</t>
  </si>
  <si>
    <t>К2 0 00 50100</t>
  </si>
  <si>
    <t>Приложение № 4</t>
  </si>
  <si>
    <t>Мероприятия в области предупреждения и ликвидации последствий чрезвычайных ситуаций и области гражданской обороны.</t>
  </si>
  <si>
    <t>Ч2 0 00 00000</t>
  </si>
  <si>
    <t xml:space="preserve">Средства из областного бюджета по статье «Резервный фонд Правительства Магаданской области» на ликвидацию последствий чрезвычайной ситуации на территории Сусуманского городского округа </t>
  </si>
  <si>
    <t>Ч2 0 00 08200</t>
  </si>
  <si>
    <t>Предупреждение и ликвидация последствий чрезвычайной ситуации на территории Сусуманского городского округа за счет средств местного бюджета</t>
  </si>
  <si>
    <t>Ч2 0 00 08300</t>
  </si>
  <si>
    <t>7Р 0 04 74100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</si>
  <si>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 в 2019 году</t>
  </si>
  <si>
    <t>Р1 8 00 00000</t>
  </si>
  <si>
    <t>Р1 8 00 74190</t>
  </si>
  <si>
    <t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t>
  </si>
  <si>
    <t>7Г 0 F3 67483</t>
  </si>
  <si>
    <t>7Г 0 F3 67484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</si>
  <si>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</si>
  <si>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</si>
  <si>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к решению Собрания представителей Сусуманского городского округа</t>
  </si>
  <si>
    <t>тыс.рублей</t>
  </si>
  <si>
    <t>ЦСТ</t>
  </si>
  <si>
    <t>Вед.</t>
  </si>
  <si>
    <t>Социальная политика</t>
  </si>
  <si>
    <t xml:space="preserve">Пенсионное обеспечение </t>
  </si>
  <si>
    <t>Приложение № 7</t>
  </si>
  <si>
    <t>Развитие творческого и профессионального потенциала педагогических работников образовательных учреждений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</si>
  <si>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t>
  </si>
  <si>
    <t>Основное мероприятие "Сохранение культурного наследия и творческого потенциала"</t>
  </si>
  <si>
    <t>Основное мероприятие "Организация проведения областных универсальных совместных ярмарок товаров"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</si>
  <si>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</si>
  <si>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внутреннего и муниципального долга</t>
  </si>
  <si>
    <t>Оказание  ритуальных услуг на территории Сусуманского городского округа</t>
  </si>
  <si>
    <t>Прочие мероприятия в области коммунального хозяйства</t>
  </si>
  <si>
    <t>К1 0 00 08050</t>
  </si>
  <si>
    <t>Приобретение пешеходных ограждений</t>
  </si>
  <si>
    <t>7D 0 01 95420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</si>
  <si>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2018- 2022 годы"</t>
  </si>
  <si>
    <t>Муниципальная программа "Патриотическое воспитание  жителей Сусуманского городского округа  на 2018- 2022 годы"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</si>
  <si>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t>
  </si>
  <si>
    <t>Муниципальная  программа "Одарённые дети  на 2018- 2022 годы"</t>
  </si>
  <si>
    <t>Муниципальная программа "Развитие культуры в Сусуманском городском округе на 2018- 2022 годы"</t>
  </si>
  <si>
    <t>Муниципальная программа "Обеспечение жильем молодых семей  в Сусуманском городском округе  на 2018- 2022 годы"</t>
  </si>
  <si>
    <t>Муниципальная программа  "Развитие малого и среднего предпринимательства в Сусуманском городском округе  на 2018- 2022 годы"</t>
  </si>
  <si>
    <t>Муниципальная программа "Лето-детям  на 2018- 2022 годы"</t>
  </si>
  <si>
    <t>Муниципальная программа  "Развитие молодежной политики в Сусуманском городском округе  на 2018-2022 годы"</t>
  </si>
  <si>
    <t>Муниципальная программа "Развитие торговли  на территории Сусуманского городского округа на 2018- 2022 годы"</t>
  </si>
  <si>
    <t>Муниципальная программа  "Пожарная безопасность в Сусуманском городском округе на 2018- 2022 годы"</t>
  </si>
  <si>
    <t>Муниципальная  программа  "Развитие образования в Сусуманском городском округе  на 2018- 2022 годы"</t>
  </si>
  <si>
    <t>Муниципальная программа "Профилактика правонарушений и борьба с преступностью на территории Сусуманского городского округа  на 2018- 2022 годы"</t>
  </si>
  <si>
    <t>Муниципальная программа "Развитие физической культуры и спорта в Сусуманском городском округе на 2018- 2022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</si>
  <si>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2018- 2022 годы"</t>
  </si>
  <si>
    <t>Муниципальная программа "Финансовая поддержка организациям коммунального комплекса Сусуманского городского округа на 2018- 2022 годы"</t>
  </si>
  <si>
    <t>Муниципальная программа "Повышение безопасности дорожного движения на территории Сусуманского городского округа на 2018- 2022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</si>
  <si>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t>
  </si>
  <si>
    <t>Муниципальная программа "Комплексное развитие систем коммунальной инфраструктуры Сусуманского городского округа на 2018- 2022 годы"</t>
  </si>
  <si>
    <t>Муниципальная программа "Развитие муниципальной службы в муниципальном образовании  "Сусуманский городской округ" на 2018- 2022 годы"</t>
  </si>
  <si>
    <t>Муниципальная программа "Содержание автомобильных дорог общего пользования местного значения Сусуманского городского округа на 2018- 2022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</si>
  <si>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2018- 2022 годы"</t>
  </si>
  <si>
    <t>Муниципальная программа "Благоустройство Сусуманского городского округа на 2018- 2022 годы"</t>
  </si>
  <si>
    <t>Муниципальная  программа  "Здоровье обучающихся и воспитанников в Сусуманском городском округе  на 2018- 2022 годы"</t>
  </si>
  <si>
    <t>Распределение бюджетных ассигнований, направляемых на исполнение публичных нормативных обязательств  в 2019 году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</si>
  <si>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</si>
  <si>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Р2 4 00 55500</t>
  </si>
  <si>
    <t xml:space="preserve"> М2 0 00 00491</t>
  </si>
  <si>
    <t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t>
  </si>
  <si>
    <t>Основное мероприятие "Создание временных дополнительных рабочих мест для трудоустройства несовершеннолетних в летний период"</t>
  </si>
  <si>
    <t>Муниципальная программа "Управление муниципальным имуществом Сусуманского городского округа на 2018-2021 годы"</t>
  </si>
  <si>
    <t>Муниципальная программа "Развитие водохозяйственного комплекса Сусуманского городского округа на 2018-2022 год"</t>
  </si>
  <si>
    <t xml:space="preserve">Распределение расходов бюджета муниципального образования "Сусуманский городской округ" на 2019 год по разделам и подразделам  классификации расходов бюджетов Российской Федерации 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</si>
  <si>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</si>
  <si>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</t>
  </si>
  <si>
    <t>от 30.12.2019 г. № 329</t>
  </si>
  <si>
    <t>"О бюджете муниципального образования "Сусуманский городской округ" на 2019 год</t>
  </si>
  <si>
    <t>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</si>
</sst>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rgb="FF000000"/>
      <name val="Times New Roman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FF00"/>
      <name val="Times New Roman"/>
      <family val="1"/>
    </font>
    <font>
      <sz val="8"/>
      <color rgb="FF000000"/>
      <name val="Arial Cyr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1">
      <alignment horizontal="left" vertical="top" wrapText="1"/>
      <protection/>
    </xf>
    <xf numFmtId="0" fontId="19" fillId="0" borderId="2">
      <alignment horizontal="left" vertical="center" wrapText="1"/>
      <protection/>
    </xf>
    <xf numFmtId="43" fontId="0" fillId="0" borderId="0" applyFont="0" applyFill="0" applyBorder="0" applyAlignment="0" applyProtection="0"/>
  </cellStyleXfs>
  <cellXfs count="28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Fill="1"/>
    <xf numFmtId="0" fontId="8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Border="1"/>
    <xf numFmtId="0" fontId="5" fillId="2" borderId="0" xfId="0" applyFont="1" applyFill="1"/>
    <xf numFmtId="0" fontId="4" fillId="2" borderId="0" xfId="0" applyFont="1" applyFill="1"/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/>
    </xf>
    <xf numFmtId="0" fontId="17" fillId="0" borderId="3" xfId="0" applyFont="1" applyBorder="1"/>
    <xf numFmtId="49" fontId="6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/>
    <xf numFmtId="164" fontId="5" fillId="0" borderId="3" xfId="0" applyNumberFormat="1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/>
    <xf numFmtId="49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64" fontId="5" fillId="0" borderId="0" xfId="0" applyNumberFormat="1" applyFont="1"/>
    <xf numFmtId="0" fontId="4" fillId="2" borderId="0" xfId="0" applyFont="1" applyFill="1" applyBorder="1"/>
    <xf numFmtId="0" fontId="4" fillId="0" borderId="0" xfId="0" applyFont="1" applyBorder="1"/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0" fontId="6" fillId="0" borderId="0" xfId="0" applyFont="1" applyBorder="1"/>
    <xf numFmtId="164" fontId="6" fillId="2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top" wrapText="1" shrinkToFit="1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 wrapText="1" shrinkToFit="1"/>
    </xf>
    <xf numFmtId="164" fontId="6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5" fillId="0" borderId="1" xfId="20" applyNumberFormat="1" applyFont="1" applyFill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vertical="top"/>
    </xf>
    <xf numFmtId="1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wrapText="1"/>
      <protection locked="0"/>
    </xf>
    <xf numFmtId="2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wrapText="1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2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vertical="top" wrapText="1"/>
      <protection locked="0"/>
    </xf>
    <xf numFmtId="2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wrapText="1"/>
    </xf>
    <xf numFmtId="49" fontId="5" fillId="0" borderId="3" xfId="0" applyNumberFormat="1" applyFont="1" applyFill="1" applyBorder="1" applyAlignment="1" applyProtection="1">
      <alignment horizontal="left" wrapText="1"/>
      <protection locked="0"/>
    </xf>
    <xf numFmtId="164" fontId="5" fillId="0" borderId="0" xfId="0" applyNumberFormat="1" applyFont="1" applyFill="1"/>
    <xf numFmtId="164" fontId="5" fillId="0" borderId="0" xfId="0" applyNumberFormat="1" applyFont="1" applyFill="1" applyBorder="1"/>
    <xf numFmtId="0" fontId="1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7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18" fillId="0" borderId="0" xfId="0" applyFont="1"/>
    <xf numFmtId="164" fontId="18" fillId="0" borderId="0" xfId="0" applyNumberFormat="1" applyFont="1"/>
    <xf numFmtId="0" fontId="8" fillId="0" borderId="4" xfId="0" applyFont="1" applyFill="1" applyBorder="1" applyAlignment="1">
      <alignment horizontal="left" wrapText="1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6" fillId="0" borderId="3" xfId="0" applyFont="1" applyBorder="1" applyAlignment="1">
      <alignment horizontal="center"/>
    </xf>
    <xf numFmtId="14" fontId="5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/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wrapText="1"/>
    </xf>
    <xf numFmtId="165" fontId="1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/>
    </xf>
    <xf numFmtId="165" fontId="13" fillId="3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4" fillId="4" borderId="0" xfId="0" applyFont="1" applyFill="1"/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3" xfId="20" applyNumberFormat="1" applyFont="1" applyFill="1" applyBorder="1" applyAlignment="1" applyProtection="1">
      <alignment horizontal="left" vertical="top" wrapText="1"/>
      <protection/>
    </xf>
    <xf numFmtId="49" fontId="5" fillId="0" borderId="3" xfId="0" applyNumberFormat="1" applyFont="1" applyFill="1" applyBorder="1" applyAlignment="1">
      <alignment wrapText="1"/>
    </xf>
    <xf numFmtId="0" fontId="4" fillId="0" borderId="0" xfId="0" applyFont="1" applyFill="1"/>
    <xf numFmtId="1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 wrapText="1"/>
    </xf>
    <xf numFmtId="0" fontId="11" fillId="0" borderId="0" xfId="0" applyFont="1" applyFill="1" applyBorder="1"/>
    <xf numFmtId="2" fontId="11" fillId="0" borderId="0" xfId="0" applyNumberFormat="1" applyFont="1" applyFill="1" applyBorder="1"/>
    <xf numFmtId="164" fontId="11" fillId="0" borderId="0" xfId="0" applyNumberFormat="1" applyFont="1" applyFill="1" applyBorder="1"/>
    <xf numFmtId="164" fontId="5" fillId="0" borderId="0" xfId="0" applyNumberFormat="1" applyFont="1" applyFill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justify" wrapText="1"/>
    </xf>
    <xf numFmtId="164" fontId="6" fillId="0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justify" wrapText="1"/>
    </xf>
    <xf numFmtId="0" fontId="5" fillId="0" borderId="4" xfId="0" applyFont="1" applyFill="1" applyBorder="1"/>
    <xf numFmtId="0" fontId="11" fillId="0" borderId="3" xfId="0" applyFont="1" applyFill="1" applyBorder="1"/>
    <xf numFmtId="2" fontId="11" fillId="0" borderId="3" xfId="0" applyNumberFormat="1" applyFont="1" applyFill="1" applyBorder="1"/>
    <xf numFmtId="164" fontId="11" fillId="0" borderId="6" xfId="0" applyNumberFormat="1" applyFont="1" applyFill="1" applyBorder="1"/>
    <xf numFmtId="164" fontId="5" fillId="0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5" fillId="0" borderId="4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64" fontId="9" fillId="0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/>
    <xf numFmtId="165" fontId="5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20" fillId="0" borderId="0" xfId="0" applyFont="1" applyFill="1"/>
    <xf numFmtId="0" fontId="0" fillId="0" borderId="0" xfId="0" applyFont="1" applyFill="1"/>
    <xf numFmtId="164" fontId="0" fillId="0" borderId="0" xfId="0" applyNumberFormat="1" applyFont="1" applyFill="1"/>
    <xf numFmtId="164" fontId="9" fillId="0" borderId="0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>
      <alignment vertical="center" wrapText="1"/>
    </xf>
    <xf numFmtId="49" fontId="21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49" fontId="0" fillId="0" borderId="0" xfId="0" applyNumberFormat="1" applyFont="1" applyFill="1"/>
    <xf numFmtId="0" fontId="22" fillId="0" borderId="3" xfId="0" applyFont="1" applyFill="1" applyBorder="1" applyAlignment="1">
      <alignment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/>
    </xf>
    <xf numFmtId="2" fontId="22" fillId="0" borderId="3" xfId="0" applyNumberFormat="1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 applyProtection="1">
      <alignment wrapText="1"/>
      <protection locked="0"/>
    </xf>
    <xf numFmtId="2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3" xfId="0" applyNumberFormat="1" applyFont="1" applyFill="1" applyBorder="1" applyAlignment="1" applyProtection="1">
      <alignment horizontal="center" vertical="center"/>
      <protection locked="0"/>
    </xf>
    <xf numFmtId="49" fontId="22" fillId="0" borderId="4" xfId="0" applyNumberFormat="1" applyFont="1" applyFill="1" applyBorder="1" applyAlignment="1" applyProtection="1">
      <alignment wrapText="1"/>
      <protection locked="0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49" fontId="23" fillId="0" borderId="3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/>
    </xf>
    <xf numFmtId="2" fontId="23" fillId="0" borderId="3" xfId="0" applyNumberFormat="1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/>
    </xf>
    <xf numFmtId="164" fontId="23" fillId="0" borderId="6" xfId="0" applyNumberFormat="1" applyFont="1" applyFill="1" applyBorder="1" applyAlignment="1">
      <alignment horizontal="center" vertical="center"/>
    </xf>
    <xf numFmtId="2" fontId="22" fillId="0" borderId="3" xfId="0" applyNumberFormat="1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center" vertical="center"/>
    </xf>
    <xf numFmtId="2" fontId="23" fillId="0" borderId="3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wrapText="1"/>
    </xf>
    <xf numFmtId="0" fontId="22" fillId="3" borderId="3" xfId="0" applyFont="1" applyFill="1" applyBorder="1" applyAlignment="1">
      <alignment wrapText="1"/>
    </xf>
    <xf numFmtId="49" fontId="22" fillId="3" borderId="3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164" fontId="22" fillId="3" borderId="6" xfId="0" applyNumberFormat="1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wrapText="1"/>
    </xf>
    <xf numFmtId="0" fontId="22" fillId="0" borderId="3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13" fillId="2" borderId="0" xfId="0" applyFont="1" applyFill="1" applyAlignment="1">
      <alignment horizontal="right" wrapText="1"/>
    </xf>
    <xf numFmtId="0" fontId="13" fillId="2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5" fillId="3" borderId="0" xfId="0" applyFont="1" applyFill="1" applyBorder="1" applyAlignment="1">
      <alignment horizontal="righ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35" xfId="20"/>
    <cellStyle name="xl53" xfId="21"/>
    <cellStyle name="Финансовый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3;&#1077;&#1088;&#1085;&#1077;&#1075;&#1072;\&#1057;&#1101;&#1076;&#1080;\Documents\&#1041;&#1102;&#1076;&#1078;&#1077;&#1090;&#1099;\&#1041;&#1102;&#1076;&#1078;&#1077;&#1090;%20&#1085;&#1072;%202019%20&#1075;&#1086;&#1076;\&#1056;&#1077;&#1096;.%20&#8470;%20%20%20&#1086;&#1090;%20%2012.11.2019\&#1087;&#1088;&#1080;&#1083;.5,6,7,8,9,10,11,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3;&#1077;&#1088;&#1085;&#1077;&#1075;&#1072;\&#1057;&#1101;&#1076;&#1080;\Documents\&#1041;&#1102;&#1076;&#1078;&#1077;&#1090;&#1099;\&#1041;&#1102;&#1076;&#1078;&#1077;&#1090;%20&#1085;&#1072;%202018%20&#1075;\&#1048;&#1079;&#1084;.&#1073;&#1102;&#1076;.&#1074;%20&#1085;&#1086;&#1103;&#1073;&#1088;&#1077;_2018\&#1087;&#1088;&#1080;&#1083;.2,3,4,5,6,7,8%20&#1080;%20&#1089;&#1088;&#1072;&#1074;.&#1090;&#1072;&#10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3;&#1077;&#1088;&#1085;&#1077;&#1075;&#1072;\&#1057;&#1101;&#1076;&#1080;\Documents\&#1041;&#1102;&#1076;&#1078;&#1077;&#1090;&#1099;\&#1041;&#1102;&#1076;&#1078;&#1077;&#1090;%20&#1085;&#1072;%202019%20&#1075;&#1086;&#1076;\&#1056;&#1077;&#1096;.&#8470;%20282%20&#1086;&#1090;%2027.12.2018\&#1056;&#1077;&#1096;&#1077;&#1085;.282&#1041;&#1102;&#1076;&#1078;&#1077;&#1090;%20%202019%20&#1075;.&#1057;&#1091;&#1089;&#1091;&#1084;&#1072;&#1085;\&#1048;&#1047;&#1052;&#1045;&#1053;.&#1087;&#1088;&#1080;&#1083;.5,6,7,8,9,10,11,12%20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5 по разд"/>
      <sheetName val="сравн.таб."/>
      <sheetName val="пр.6"/>
      <sheetName val="пр.7 вед.стр."/>
      <sheetName val="МП пр.8"/>
      <sheetName val="пр.9 ист."/>
      <sheetName val="прил.10"/>
      <sheetName val="пр.11"/>
      <sheetName val="Пр.12"/>
    </sheetNames>
    <sheetDataSet>
      <sheetData sheetId="0"/>
      <sheetData sheetId="1"/>
      <sheetData sheetId="2"/>
      <sheetData sheetId="3">
        <row r="449">
          <cell r="E449" t="str">
            <v>7Р 0 02 S3С20</v>
          </cell>
        </row>
        <row r="450">
          <cell r="A450" t="str">
            <v>Предоставление субсидий бюджетным, автономным учреждениям и иным некоммерческим организациям</v>
          </cell>
          <cell r="E450" t="str">
            <v>7Р 0 02 S3С20</v>
          </cell>
          <cell r="F450" t="str">
            <v>600</v>
          </cell>
        </row>
        <row r="451">
          <cell r="A451" t="str">
            <v>Субсидии бюджетным учреждениям</v>
          </cell>
          <cell r="E451" t="str">
            <v>7Р 0 02 S3С20</v>
          </cell>
          <cell r="F451" t="str">
            <v>610</v>
          </cell>
        </row>
        <row r="532">
          <cell r="E532" t="str">
            <v>7Р 0 02 S3С20</v>
          </cell>
        </row>
        <row r="533">
          <cell r="A533" t="str">
            <v>Предоставление субсидий бюджетным, автономным учреждениям и иным некоммерческим организациям</v>
          </cell>
          <cell r="E533" t="str">
            <v>7Р 0 02 S3С20</v>
          </cell>
          <cell r="F533" t="str">
            <v>600</v>
          </cell>
        </row>
        <row r="534">
          <cell r="A534" t="str">
            <v>Субсидии бюджетным учреждениям</v>
          </cell>
          <cell r="E534" t="str">
            <v>7Р 0 02 S3С20</v>
          </cell>
          <cell r="F534" t="str">
            <v>610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сравн.таб."/>
      <sheetName val="пр.3"/>
      <sheetName val="пр.4 вед.стр."/>
      <sheetName val="МП пр.5"/>
      <sheetName val="пр.6 ист."/>
    </sheetNames>
    <sheetDataSet>
      <sheetData sheetId="0"/>
      <sheetData sheetId="1"/>
      <sheetData sheetId="2"/>
      <sheetData sheetId="3"/>
      <sheetData sheetId="4">
        <row r="64">
          <cell r="E64" t="str">
            <v>360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5 по разд"/>
      <sheetName val="сравн.таб."/>
      <sheetName val="пр.6"/>
      <sheetName val="пр.7 вед.стр."/>
      <sheetName val="МП пр.8"/>
      <sheetName val="пр.9 ист."/>
      <sheetName val="прил.10"/>
      <sheetName val="пр.11"/>
      <sheetName val="Пр.12"/>
    </sheetNames>
    <sheetDataSet>
      <sheetData sheetId="0">
        <row r="2">
          <cell r="A2" t="str">
            <v>к  решению Собрания представителей Сусуманского городского округа</v>
          </cell>
        </row>
      </sheetData>
      <sheetData sheetId="1"/>
      <sheetData sheetId="2">
        <row r="7">
          <cell r="F7" t="str">
            <v>Сумма</v>
          </cell>
        </row>
      </sheetData>
      <sheetData sheetId="3">
        <row r="3">
          <cell r="A3" t="str">
            <v>"О бюджете муниципального образования "Сусуманский городской округ" на 2019 год"</v>
          </cell>
        </row>
      </sheetData>
      <sheetData sheetId="4">
        <row r="9">
          <cell r="A9" t="str">
    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    </cell>
        </row>
      </sheetData>
      <sheetData sheetId="5"/>
      <sheetData sheetId="6"/>
      <sheetData sheetId="7">
        <row r="3">
          <cell r="A3" t="str">
            <v>"О бюджете муниципального образования "Сусуманский городской округ" на 2019 год"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0"/>
  <sheetViews>
    <sheetView view="pageBreakPreview" zoomScale="110" zoomScaleSheetLayoutView="110" workbookViewId="0" topLeftCell="A31">
      <selection activeCell="A3" sqref="A3:D3"/>
    </sheetView>
  </sheetViews>
  <sheetFormatPr defaultColWidth="9.125" defaultRowHeight="12.75"/>
  <cols>
    <col min="1" max="1" width="78.125" style="1" customWidth="1"/>
    <col min="2" max="3" width="4.25390625" style="57" customWidth="1"/>
    <col min="4" max="4" width="12.00390625" style="57" customWidth="1"/>
    <col min="5" max="5" width="11.75390625" style="74" customWidth="1"/>
    <col min="6" max="9" width="7.875" style="74" customWidth="1"/>
    <col min="10" max="16384" width="9.125" style="1" customWidth="1"/>
  </cols>
  <sheetData>
    <row r="1" spans="1:9" s="28" customFormat="1" ht="14.1" customHeight="1">
      <c r="A1" s="265" t="s">
        <v>664</v>
      </c>
      <c r="B1" s="265"/>
      <c r="C1" s="265"/>
      <c r="D1" s="265"/>
      <c r="E1" s="73"/>
      <c r="F1" s="73"/>
      <c r="G1" s="73"/>
      <c r="H1" s="73"/>
      <c r="I1" s="73"/>
    </row>
    <row r="2" spans="1:4" ht="14.1" customHeight="1">
      <c r="A2" s="263" t="s">
        <v>354</v>
      </c>
      <c r="B2" s="263"/>
      <c r="C2" s="263"/>
      <c r="D2" s="263"/>
    </row>
    <row r="3" spans="1:5" ht="14.1" customHeight="1">
      <c r="A3" s="263" t="s">
        <v>756</v>
      </c>
      <c r="B3" s="263"/>
      <c r="C3" s="263"/>
      <c r="D3" s="263"/>
      <c r="E3" s="106"/>
    </row>
    <row r="4" spans="1:4" ht="14.1" customHeight="1">
      <c r="A4" s="263" t="s">
        <v>755</v>
      </c>
      <c r="B4" s="263"/>
      <c r="C4" s="263"/>
      <c r="D4" s="263"/>
    </row>
    <row r="5" spans="1:9" s="183" customFormat="1" ht="30.75" customHeight="1">
      <c r="A5" s="267" t="s">
        <v>752</v>
      </c>
      <c r="B5" s="267"/>
      <c r="C5" s="267"/>
      <c r="D5" s="267"/>
      <c r="E5" s="182"/>
      <c r="F5" s="182"/>
      <c r="G5" s="182"/>
      <c r="H5" s="182"/>
      <c r="I5" s="182"/>
    </row>
    <row r="6" spans="1:9" ht="12.75">
      <c r="A6" s="5"/>
      <c r="B6" s="6"/>
      <c r="C6" s="6"/>
      <c r="D6" s="6" t="s">
        <v>1</v>
      </c>
      <c r="E6" s="26"/>
      <c r="F6" s="26"/>
      <c r="G6" s="26"/>
      <c r="H6" s="26"/>
      <c r="I6" s="26"/>
    </row>
    <row r="7" spans="1:9" ht="12.75">
      <c r="A7" s="21" t="s">
        <v>30</v>
      </c>
      <c r="B7" s="21" t="s">
        <v>61</v>
      </c>
      <c r="C7" s="21" t="s">
        <v>62</v>
      </c>
      <c r="D7" s="88" t="s">
        <v>406</v>
      </c>
      <c r="E7" s="26"/>
      <c r="F7" s="26"/>
      <c r="G7" s="26"/>
      <c r="H7" s="26"/>
      <c r="I7" s="26"/>
    </row>
    <row r="8" spans="1:9" ht="12.75">
      <c r="A8" s="21">
        <v>1</v>
      </c>
      <c r="B8" s="21">
        <v>2</v>
      </c>
      <c r="C8" s="21">
        <v>3</v>
      </c>
      <c r="D8" s="22">
        <v>4</v>
      </c>
      <c r="E8" s="26"/>
      <c r="F8" s="26"/>
      <c r="G8" s="26"/>
      <c r="H8" s="26"/>
      <c r="I8" s="26"/>
    </row>
    <row r="9" spans="1:9" ht="12.75">
      <c r="A9" s="68" t="s">
        <v>2</v>
      </c>
      <c r="B9" s="50" t="s">
        <v>63</v>
      </c>
      <c r="C9" s="50" t="s">
        <v>34</v>
      </c>
      <c r="D9" s="83">
        <f>SUM(D10:D15)</f>
        <v>178977.3</v>
      </c>
      <c r="E9" s="75"/>
      <c r="F9" s="26"/>
      <c r="G9" s="26"/>
      <c r="H9" s="26"/>
      <c r="I9" s="76"/>
    </row>
    <row r="10" spans="1:9" ht="25.5">
      <c r="A10" s="7" t="s">
        <v>15</v>
      </c>
      <c r="B10" s="47" t="s">
        <v>63</v>
      </c>
      <c r="C10" s="47" t="s">
        <v>64</v>
      </c>
      <c r="D10" s="84">
        <f>'пр.4'!F10</f>
        <v>4834</v>
      </c>
      <c r="E10" s="26"/>
      <c r="F10" s="26"/>
      <c r="G10" s="26"/>
      <c r="H10" s="26"/>
      <c r="I10" s="26"/>
    </row>
    <row r="11" spans="1:9" ht="25.5">
      <c r="A11" s="7" t="s">
        <v>19</v>
      </c>
      <c r="B11" s="47" t="s">
        <v>63</v>
      </c>
      <c r="C11" s="47" t="s">
        <v>67</v>
      </c>
      <c r="D11" s="84">
        <f>'пр.4'!F16</f>
        <v>3940.8</v>
      </c>
      <c r="E11" s="26"/>
      <c r="F11" s="26"/>
      <c r="G11" s="26"/>
      <c r="H11" s="26"/>
      <c r="I11" s="26"/>
    </row>
    <row r="12" spans="1:9" ht="27.75" customHeight="1">
      <c r="A12" s="8" t="s">
        <v>17</v>
      </c>
      <c r="B12" s="47" t="s">
        <v>63</v>
      </c>
      <c r="C12" s="47" t="s">
        <v>65</v>
      </c>
      <c r="D12" s="84">
        <f>'пр.4'!F37</f>
        <v>91729.7</v>
      </c>
      <c r="E12" s="26"/>
      <c r="F12" s="26"/>
      <c r="G12" s="26"/>
      <c r="H12" s="26"/>
      <c r="I12" s="26"/>
    </row>
    <row r="13" spans="1:9" ht="26.25">
      <c r="A13" s="8" t="s">
        <v>76</v>
      </c>
      <c r="B13" s="47" t="s">
        <v>63</v>
      </c>
      <c r="C13" s="47" t="s">
        <v>73</v>
      </c>
      <c r="D13" s="84">
        <f>'пр.4'!F71</f>
        <v>22543.399999999998</v>
      </c>
      <c r="E13" s="26"/>
      <c r="F13" s="26"/>
      <c r="G13" s="26"/>
      <c r="H13" s="26"/>
      <c r="I13" s="26"/>
    </row>
    <row r="14" spans="1:9" ht="12.75">
      <c r="A14" s="7" t="s">
        <v>3</v>
      </c>
      <c r="B14" s="48" t="s">
        <v>63</v>
      </c>
      <c r="C14" s="48" t="s">
        <v>71</v>
      </c>
      <c r="D14" s="84">
        <f>'пр.4'!F96</f>
        <v>200.50000000000003</v>
      </c>
      <c r="E14" s="26"/>
      <c r="F14" s="26"/>
      <c r="G14" s="26"/>
      <c r="H14" s="26"/>
      <c r="I14" s="26"/>
    </row>
    <row r="15" spans="1:9" ht="12.75">
      <c r="A15" s="7" t="s">
        <v>60</v>
      </c>
      <c r="B15" s="48" t="s">
        <v>63</v>
      </c>
      <c r="C15" s="48" t="s">
        <v>84</v>
      </c>
      <c r="D15" s="84">
        <f>'пр.4'!F101</f>
        <v>55728.9</v>
      </c>
      <c r="E15" s="26"/>
      <c r="F15" s="26"/>
      <c r="G15" s="26"/>
      <c r="H15" s="26"/>
      <c r="I15" s="26"/>
    </row>
    <row r="16" spans="1:9" ht="12.75">
      <c r="A16" s="15" t="s">
        <v>197</v>
      </c>
      <c r="B16" s="32" t="s">
        <v>64</v>
      </c>
      <c r="C16" s="32" t="s">
        <v>34</v>
      </c>
      <c r="D16" s="83">
        <f>D17</f>
        <v>443.9</v>
      </c>
      <c r="E16" s="26"/>
      <c r="F16" s="26"/>
      <c r="G16" s="26"/>
      <c r="H16" s="26"/>
      <c r="I16" s="26"/>
    </row>
    <row r="17" spans="1:9" ht="12.75">
      <c r="A17" s="16" t="s">
        <v>196</v>
      </c>
      <c r="B17" s="20" t="s">
        <v>64</v>
      </c>
      <c r="C17" s="20" t="s">
        <v>67</v>
      </c>
      <c r="D17" s="84">
        <f>'пр.4'!F187</f>
        <v>443.9</v>
      </c>
      <c r="E17" s="26"/>
      <c r="F17" s="26"/>
      <c r="G17" s="26"/>
      <c r="H17" s="26"/>
      <c r="I17" s="26"/>
    </row>
    <row r="18" spans="1:9" ht="12.75">
      <c r="A18" s="9" t="s">
        <v>4</v>
      </c>
      <c r="B18" s="49" t="s">
        <v>67</v>
      </c>
      <c r="C18" s="50" t="s">
        <v>34</v>
      </c>
      <c r="D18" s="83">
        <f>D19</f>
        <v>13737</v>
      </c>
      <c r="E18" s="26"/>
      <c r="F18" s="26"/>
      <c r="G18" s="26"/>
      <c r="H18" s="26"/>
      <c r="I18" s="26"/>
    </row>
    <row r="19" spans="1:9" ht="24.75">
      <c r="A19" s="12" t="s">
        <v>77</v>
      </c>
      <c r="B19" s="47" t="s">
        <v>67</v>
      </c>
      <c r="C19" s="47" t="s">
        <v>72</v>
      </c>
      <c r="D19" s="84">
        <f>'пр.4'!F194</f>
        <v>13737</v>
      </c>
      <c r="E19" s="26"/>
      <c r="F19" s="26"/>
      <c r="G19" s="26"/>
      <c r="H19" s="26"/>
      <c r="I19" s="26"/>
    </row>
    <row r="20" spans="1:9" ht="12.75">
      <c r="A20" s="9" t="s">
        <v>5</v>
      </c>
      <c r="B20" s="51" t="s">
        <v>65</v>
      </c>
      <c r="C20" s="51" t="s">
        <v>34</v>
      </c>
      <c r="D20" s="83">
        <f>SUM(D21:D24)</f>
        <v>9506.300000000001</v>
      </c>
      <c r="E20" s="75"/>
      <c r="F20" s="26"/>
      <c r="G20" s="26"/>
      <c r="H20" s="26"/>
      <c r="I20" s="26"/>
    </row>
    <row r="21" spans="1:9" ht="12.75">
      <c r="A21" s="16" t="s">
        <v>321</v>
      </c>
      <c r="B21" s="48" t="s">
        <v>65</v>
      </c>
      <c r="C21" s="48" t="s">
        <v>73</v>
      </c>
      <c r="D21" s="84">
        <f>'пр.4'!F218</f>
        <v>1419.5</v>
      </c>
      <c r="E21" s="26"/>
      <c r="F21" s="26"/>
      <c r="G21" s="26"/>
      <c r="H21" s="26"/>
      <c r="I21" s="26"/>
    </row>
    <row r="22" spans="1:9" ht="12.75">
      <c r="A22" s="7" t="s">
        <v>6</v>
      </c>
      <c r="B22" s="48" t="s">
        <v>65</v>
      </c>
      <c r="C22" s="48" t="s">
        <v>70</v>
      </c>
      <c r="D22" s="84">
        <f>'сравн.таб.'!F21</f>
        <v>0</v>
      </c>
      <c r="E22" s="26"/>
      <c r="F22" s="26"/>
      <c r="G22" s="26"/>
      <c r="H22" s="26"/>
      <c r="I22" s="26"/>
    </row>
    <row r="23" spans="1:9" ht="12.75">
      <c r="A23" s="7" t="s">
        <v>79</v>
      </c>
      <c r="B23" s="48" t="s">
        <v>65</v>
      </c>
      <c r="C23" s="48" t="s">
        <v>72</v>
      </c>
      <c r="D23" s="84">
        <f>'пр.4'!F229</f>
        <v>7613.200000000001</v>
      </c>
      <c r="E23" s="26"/>
      <c r="F23" s="26"/>
      <c r="G23" s="26"/>
      <c r="H23" s="26"/>
      <c r="I23" s="26"/>
    </row>
    <row r="24" spans="1:9" ht="12.75">
      <c r="A24" s="7" t="s">
        <v>7</v>
      </c>
      <c r="B24" s="48" t="s">
        <v>65</v>
      </c>
      <c r="C24" s="48" t="s">
        <v>75</v>
      </c>
      <c r="D24" s="84">
        <f>'пр.4'!F248</f>
        <v>473.6</v>
      </c>
      <c r="E24" s="26"/>
      <c r="F24" s="26"/>
      <c r="G24" s="26"/>
      <c r="H24" s="26"/>
      <c r="I24" s="26"/>
    </row>
    <row r="25" spans="1:9" ht="12.75">
      <c r="A25" s="14" t="s">
        <v>128</v>
      </c>
      <c r="B25" s="51" t="s">
        <v>69</v>
      </c>
      <c r="C25" s="51" t="s">
        <v>34</v>
      </c>
      <c r="D25" s="83">
        <f>D26+D27+D28</f>
        <v>47286.7</v>
      </c>
      <c r="E25" s="26"/>
      <c r="F25" s="26"/>
      <c r="G25" s="26"/>
      <c r="H25" s="75"/>
      <c r="I25" s="26"/>
    </row>
    <row r="26" spans="1:9" ht="12.75">
      <c r="A26" s="7" t="s">
        <v>127</v>
      </c>
      <c r="B26" s="48" t="s">
        <v>69</v>
      </c>
      <c r="C26" s="48" t="s">
        <v>63</v>
      </c>
      <c r="D26" s="84">
        <f>'пр.4'!F266</f>
        <v>17113.6</v>
      </c>
      <c r="E26" s="26"/>
      <c r="F26" s="26"/>
      <c r="G26" s="26"/>
      <c r="H26" s="26"/>
      <c r="I26" s="26"/>
    </row>
    <row r="27" spans="1:9" ht="12.75">
      <c r="A27" s="16" t="s">
        <v>172</v>
      </c>
      <c r="B27" s="48" t="s">
        <v>69</v>
      </c>
      <c r="C27" s="48" t="s">
        <v>64</v>
      </c>
      <c r="D27" s="84">
        <f>'пр.4'!F282</f>
        <v>25104.399999999998</v>
      </c>
      <c r="E27" s="26"/>
      <c r="F27" s="26"/>
      <c r="G27" s="26"/>
      <c r="H27" s="26"/>
      <c r="I27" s="26"/>
    </row>
    <row r="28" spans="1:9" ht="12.75">
      <c r="A28" s="16" t="s">
        <v>174</v>
      </c>
      <c r="B28" s="48" t="s">
        <v>69</v>
      </c>
      <c r="C28" s="48" t="s">
        <v>67</v>
      </c>
      <c r="D28" s="84">
        <f>'пр.4'!F304</f>
        <v>5068.7</v>
      </c>
      <c r="E28" s="26"/>
      <c r="F28" s="26"/>
      <c r="G28" s="26"/>
      <c r="H28" s="26"/>
      <c r="I28" s="26"/>
    </row>
    <row r="29" spans="1:9" s="62" customFormat="1" ht="12.75">
      <c r="A29" s="15" t="s">
        <v>331</v>
      </c>
      <c r="B29" s="51" t="s">
        <v>73</v>
      </c>
      <c r="C29" s="51" t="s">
        <v>34</v>
      </c>
      <c r="D29" s="83">
        <f>D30</f>
        <v>235</v>
      </c>
      <c r="E29" s="75"/>
      <c r="F29" s="77"/>
      <c r="G29" s="77"/>
      <c r="H29" s="75"/>
      <c r="I29" s="77"/>
    </row>
    <row r="30" spans="1:9" ht="12.75">
      <c r="A30" s="15" t="s">
        <v>294</v>
      </c>
      <c r="B30" s="48" t="s">
        <v>73</v>
      </c>
      <c r="C30" s="48" t="s">
        <v>69</v>
      </c>
      <c r="D30" s="84">
        <f>'пр.4'!F340</f>
        <v>235</v>
      </c>
      <c r="E30" s="26"/>
      <c r="F30" s="26"/>
      <c r="G30" s="26"/>
      <c r="H30" s="26"/>
      <c r="I30" s="26"/>
    </row>
    <row r="31" spans="1:9" ht="12.75">
      <c r="A31" s="9" t="s">
        <v>8</v>
      </c>
      <c r="B31" s="51" t="s">
        <v>66</v>
      </c>
      <c r="C31" s="51" t="s">
        <v>34</v>
      </c>
      <c r="D31" s="83">
        <f>SUM(D32:D36)</f>
        <v>398541.89999999997</v>
      </c>
      <c r="E31" s="26"/>
      <c r="F31" s="75"/>
      <c r="G31" s="75"/>
      <c r="H31" s="26"/>
      <c r="I31" s="26"/>
    </row>
    <row r="32" spans="1:9" ht="12.75">
      <c r="A32" s="7" t="s">
        <v>9</v>
      </c>
      <c r="B32" s="48" t="s">
        <v>66</v>
      </c>
      <c r="C32" s="48" t="s">
        <v>63</v>
      </c>
      <c r="D32" s="84">
        <f>'пр.4'!F355</f>
        <v>77085</v>
      </c>
      <c r="E32" s="26"/>
      <c r="F32" s="26"/>
      <c r="G32" s="26"/>
      <c r="H32" s="26"/>
      <c r="I32" s="26"/>
    </row>
    <row r="33" spans="1:9" ht="12.75">
      <c r="A33" s="7" t="s">
        <v>10</v>
      </c>
      <c r="B33" s="48" t="s">
        <v>66</v>
      </c>
      <c r="C33" s="48" t="s">
        <v>64</v>
      </c>
      <c r="D33" s="84">
        <f>'пр.4'!F411</f>
        <v>197101.59999999998</v>
      </c>
      <c r="E33" s="26"/>
      <c r="F33" s="26"/>
      <c r="G33" s="26"/>
      <c r="H33" s="26"/>
      <c r="I33" s="26"/>
    </row>
    <row r="34" spans="1:9" ht="12.75">
      <c r="A34" s="7" t="s">
        <v>304</v>
      </c>
      <c r="B34" s="48" t="s">
        <v>66</v>
      </c>
      <c r="C34" s="48" t="s">
        <v>67</v>
      </c>
      <c r="D34" s="84">
        <f>'пр.4'!F498</f>
        <v>67786.70000000001</v>
      </c>
      <c r="E34" s="26"/>
      <c r="F34" s="26"/>
      <c r="G34" s="26"/>
      <c r="H34" s="26"/>
      <c r="I34" s="26"/>
    </row>
    <row r="35" spans="1:9" ht="12.75">
      <c r="A35" s="7" t="s">
        <v>336</v>
      </c>
      <c r="B35" s="48" t="s">
        <v>66</v>
      </c>
      <c r="C35" s="48" t="s">
        <v>66</v>
      </c>
      <c r="D35" s="84">
        <f>'пр.4'!F546</f>
        <v>11437.5</v>
      </c>
      <c r="E35" s="26"/>
      <c r="F35" s="26"/>
      <c r="G35" s="26"/>
      <c r="H35" s="26"/>
      <c r="I35" s="26"/>
    </row>
    <row r="36" spans="1:9" ht="12.75">
      <c r="A36" s="7" t="s">
        <v>11</v>
      </c>
      <c r="B36" s="48" t="s">
        <v>66</v>
      </c>
      <c r="C36" s="48" t="s">
        <v>72</v>
      </c>
      <c r="D36" s="84">
        <f>'пр.4'!F604</f>
        <v>45131.09999999999</v>
      </c>
      <c r="E36" s="26"/>
      <c r="F36" s="26"/>
      <c r="G36" s="26"/>
      <c r="H36" s="26"/>
      <c r="I36" s="26"/>
    </row>
    <row r="37" spans="1:9" ht="12.75">
      <c r="A37" s="13" t="s">
        <v>122</v>
      </c>
      <c r="B37" s="49" t="s">
        <v>70</v>
      </c>
      <c r="C37" s="50" t="s">
        <v>34</v>
      </c>
      <c r="D37" s="83">
        <f>D38+D39</f>
        <v>44904.2</v>
      </c>
      <c r="E37" s="26"/>
      <c r="F37" s="26"/>
      <c r="G37" s="75"/>
      <c r="H37" s="26"/>
      <c r="I37" s="26"/>
    </row>
    <row r="38" spans="1:9" ht="12.75">
      <c r="A38" s="7" t="s">
        <v>12</v>
      </c>
      <c r="B38" s="48" t="s">
        <v>70</v>
      </c>
      <c r="C38" s="48" t="s">
        <v>63</v>
      </c>
      <c r="D38" s="84">
        <f>'пр.4'!F666</f>
        <v>30683.899999999998</v>
      </c>
      <c r="E38" s="26"/>
      <c r="F38" s="26"/>
      <c r="G38" s="26"/>
      <c r="H38" s="26"/>
      <c r="I38" s="26"/>
    </row>
    <row r="39" spans="1:9" ht="12.75">
      <c r="A39" s="12" t="s">
        <v>83</v>
      </c>
      <c r="B39" s="52" t="s">
        <v>70</v>
      </c>
      <c r="C39" s="52" t="s">
        <v>65</v>
      </c>
      <c r="D39" s="84">
        <f>'пр.4'!F730</f>
        <v>14220.3</v>
      </c>
      <c r="E39" s="26"/>
      <c r="F39" s="26"/>
      <c r="G39" s="26"/>
      <c r="H39" s="26"/>
      <c r="I39" s="26"/>
    </row>
    <row r="40" spans="1:9" ht="12.75">
      <c r="A40" s="9" t="s">
        <v>59</v>
      </c>
      <c r="B40" s="51" t="s">
        <v>68</v>
      </c>
      <c r="C40" s="51" t="s">
        <v>34</v>
      </c>
      <c r="D40" s="83">
        <f>D41+D42+D43</f>
        <v>47596.3</v>
      </c>
      <c r="E40" s="75"/>
      <c r="F40" s="26"/>
      <c r="G40" s="26"/>
      <c r="H40" s="26"/>
      <c r="I40" s="26"/>
    </row>
    <row r="41" spans="1:9" ht="12.75">
      <c r="A41" s="7" t="s">
        <v>55</v>
      </c>
      <c r="B41" s="48" t="s">
        <v>68</v>
      </c>
      <c r="C41" s="48" t="s">
        <v>63</v>
      </c>
      <c r="D41" s="84">
        <f>'пр.4'!F785</f>
        <v>7952.5</v>
      </c>
      <c r="E41" s="26"/>
      <c r="F41" s="26"/>
      <c r="G41" s="26"/>
      <c r="H41" s="26"/>
      <c r="I41" s="26"/>
    </row>
    <row r="42" spans="1:9" ht="12.75">
      <c r="A42" s="10" t="s">
        <v>58</v>
      </c>
      <c r="B42" s="35" t="s">
        <v>68</v>
      </c>
      <c r="C42" s="35" t="s">
        <v>67</v>
      </c>
      <c r="D42" s="84">
        <f>'пр.4'!F790</f>
        <v>36202</v>
      </c>
      <c r="E42" s="26"/>
      <c r="F42" s="26"/>
      <c r="G42" s="26"/>
      <c r="H42" s="26"/>
      <c r="I42" s="26"/>
    </row>
    <row r="43" spans="1:9" ht="12.75">
      <c r="A43" s="41" t="s">
        <v>129</v>
      </c>
      <c r="B43" s="35" t="s">
        <v>68</v>
      </c>
      <c r="C43" s="35" t="s">
        <v>73</v>
      </c>
      <c r="D43" s="84">
        <f>'пр.4'!F825</f>
        <v>3441.7999999999997</v>
      </c>
      <c r="E43" s="26"/>
      <c r="F43" s="26"/>
      <c r="G43" s="26"/>
      <c r="H43" s="26"/>
      <c r="I43" s="26"/>
    </row>
    <row r="44" spans="1:9" ht="12.75">
      <c r="A44" s="15" t="s">
        <v>80</v>
      </c>
      <c r="B44" s="36" t="s">
        <v>71</v>
      </c>
      <c r="C44" s="36" t="s">
        <v>34</v>
      </c>
      <c r="D44" s="83">
        <f>D45</f>
        <v>29991.300000000003</v>
      </c>
      <c r="E44" s="26"/>
      <c r="F44" s="26"/>
      <c r="G44" s="75"/>
      <c r="H44" s="26"/>
      <c r="I44" s="26"/>
    </row>
    <row r="45" spans="1:9" ht="12.75">
      <c r="A45" s="16" t="s">
        <v>81</v>
      </c>
      <c r="B45" s="35" t="s">
        <v>71</v>
      </c>
      <c r="C45" s="35" t="s">
        <v>63</v>
      </c>
      <c r="D45" s="84">
        <f>'пр.4'!F850</f>
        <v>29991.300000000003</v>
      </c>
      <c r="E45" s="26"/>
      <c r="F45" s="26"/>
      <c r="G45" s="26"/>
      <c r="H45" s="26"/>
      <c r="I45" s="26"/>
    </row>
    <row r="46" spans="1:9" ht="12.75">
      <c r="A46" s="15" t="s">
        <v>82</v>
      </c>
      <c r="B46" s="36" t="s">
        <v>75</v>
      </c>
      <c r="C46" s="36" t="s">
        <v>34</v>
      </c>
      <c r="D46" s="83">
        <f>D47</f>
        <v>5617</v>
      </c>
      <c r="E46" s="26"/>
      <c r="F46" s="26"/>
      <c r="G46" s="26"/>
      <c r="H46" s="26"/>
      <c r="I46" s="26"/>
    </row>
    <row r="47" spans="1:9" ht="12.75">
      <c r="A47" s="15" t="s">
        <v>13</v>
      </c>
      <c r="B47" s="35" t="s">
        <v>75</v>
      </c>
      <c r="C47" s="35" t="s">
        <v>64</v>
      </c>
      <c r="D47" s="84">
        <f>'пр.4'!F900</f>
        <v>5617</v>
      </c>
      <c r="E47" s="26"/>
      <c r="F47" s="26"/>
      <c r="G47" s="26"/>
      <c r="H47" s="26"/>
      <c r="I47" s="26"/>
    </row>
    <row r="48" spans="1:9" ht="12.75">
      <c r="A48" s="15" t="str">
        <f>'сравн.таб.'!B47</f>
        <v>Обслуживание государственного и муниципального долга</v>
      </c>
      <c r="B48" s="42" t="s">
        <v>84</v>
      </c>
      <c r="C48" s="42" t="s">
        <v>34</v>
      </c>
      <c r="D48" s="83">
        <f>D49</f>
        <v>12</v>
      </c>
      <c r="E48" s="26"/>
      <c r="F48" s="26"/>
      <c r="G48" s="26"/>
      <c r="H48" s="26"/>
      <c r="I48" s="26"/>
    </row>
    <row r="49" spans="1:4" ht="14.25" customHeight="1">
      <c r="A49" s="16" t="str">
        <f>'сравн.таб.'!B48</f>
        <v>Обслуживание государственного внутреннего и муниципального долга</v>
      </c>
      <c r="B49" s="40" t="s">
        <v>84</v>
      </c>
      <c r="C49" s="40" t="s">
        <v>63</v>
      </c>
      <c r="D49" s="84">
        <f>'пр.4'!F906</f>
        <v>12</v>
      </c>
    </row>
    <row r="50" spans="1:9" ht="12.75">
      <c r="A50" s="9" t="s">
        <v>41</v>
      </c>
      <c r="B50" s="51"/>
      <c r="C50" s="51"/>
      <c r="D50" s="85">
        <f>D9+D16+D18+D20+D25+D29+D31+D37+D40+D44+D46+D48</f>
        <v>776848.8999999999</v>
      </c>
      <c r="E50" s="76"/>
      <c r="F50" s="26"/>
      <c r="G50" s="26"/>
      <c r="H50" s="26"/>
      <c r="I50" s="76"/>
    </row>
    <row r="51" spans="1:9" ht="12.75">
      <c r="A51" s="2"/>
      <c r="B51" s="53"/>
      <c r="C51" s="53"/>
      <c r="D51" s="149"/>
      <c r="E51" s="78"/>
      <c r="F51" s="78"/>
      <c r="G51" s="78"/>
      <c r="H51" s="78"/>
      <c r="I51" s="78"/>
    </row>
    <row r="52" spans="1:4" ht="12.75">
      <c r="A52" s="266"/>
      <c r="B52" s="266"/>
      <c r="C52" s="266"/>
      <c r="D52" s="266"/>
    </row>
    <row r="53" spans="1:4" ht="12.75">
      <c r="A53" s="3"/>
      <c r="B53" s="54"/>
      <c r="C53" s="54"/>
      <c r="D53" s="58"/>
    </row>
    <row r="54" spans="1:4" ht="12.75">
      <c r="A54" s="264"/>
      <c r="B54" s="264"/>
      <c r="C54" s="264"/>
      <c r="D54" s="264"/>
    </row>
    <row r="55" spans="1:4" ht="12.75">
      <c r="A55" s="264"/>
      <c r="B55" s="264"/>
      <c r="C55" s="264"/>
      <c r="D55" s="264"/>
    </row>
    <row r="56" spans="1:4" ht="12.75">
      <c r="A56" s="3"/>
      <c r="B56" s="54"/>
      <c r="C56" s="54"/>
      <c r="D56" s="55"/>
    </row>
    <row r="57" spans="1:3" ht="12.75">
      <c r="A57" s="4"/>
      <c r="B57" s="56"/>
      <c r="C57" s="56"/>
    </row>
    <row r="58" spans="1:3" ht="12.75">
      <c r="A58" s="4"/>
      <c r="B58" s="56"/>
      <c r="C58" s="56"/>
    </row>
    <row r="59" spans="1:3" ht="12.75">
      <c r="A59" s="4"/>
      <c r="B59" s="56"/>
      <c r="C59" s="56"/>
    </row>
    <row r="60" spans="1:3" ht="12.75">
      <c r="A60" s="4"/>
      <c r="B60" s="56"/>
      <c r="C60" s="56"/>
    </row>
    <row r="61" spans="1:3" ht="12.75">
      <c r="A61" s="4"/>
      <c r="B61" s="56"/>
      <c r="C61" s="56"/>
    </row>
    <row r="62" spans="1:3" ht="12.75">
      <c r="A62" s="4"/>
      <c r="B62" s="56"/>
      <c r="C62" s="56"/>
    </row>
    <row r="63" spans="1:3" ht="12.75">
      <c r="A63" s="4"/>
      <c r="B63" s="56"/>
      <c r="C63" s="56"/>
    </row>
    <row r="64" spans="1:3" ht="12.75">
      <c r="A64" s="4"/>
      <c r="B64" s="56"/>
      <c r="C64" s="56"/>
    </row>
    <row r="65" spans="1:3" ht="12.75">
      <c r="A65" s="4"/>
      <c r="B65" s="56"/>
      <c r="C65" s="56"/>
    </row>
    <row r="66" spans="1:3" ht="12.75">
      <c r="A66" s="4"/>
      <c r="B66" s="56"/>
      <c r="C66" s="56"/>
    </row>
    <row r="67" spans="1:3" ht="12.75">
      <c r="A67" s="4"/>
      <c r="B67" s="56"/>
      <c r="C67" s="56"/>
    </row>
    <row r="68" spans="1:3" ht="12.75">
      <c r="A68" s="4"/>
      <c r="B68" s="56"/>
      <c r="C68" s="56"/>
    </row>
    <row r="69" spans="1:3" ht="12.75">
      <c r="A69" s="4"/>
      <c r="B69" s="56"/>
      <c r="C69" s="56"/>
    </row>
    <row r="70" spans="1:3" ht="12.75">
      <c r="A70" s="4"/>
      <c r="B70" s="56"/>
      <c r="C70" s="56"/>
    </row>
  </sheetData>
  <mergeCells count="8">
    <mergeCell ref="A4:D4"/>
    <mergeCell ref="A55:D55"/>
    <mergeCell ref="A1:D1"/>
    <mergeCell ref="A52:D52"/>
    <mergeCell ref="A54:D54"/>
    <mergeCell ref="A2:D2"/>
    <mergeCell ref="A5:D5"/>
    <mergeCell ref="A3:D3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8"/>
  <sheetViews>
    <sheetView view="pageBreakPreview" zoomScale="90" zoomScaleSheetLayoutView="90" workbookViewId="0" topLeftCell="A1">
      <selection activeCell="E31" sqref="E31"/>
    </sheetView>
  </sheetViews>
  <sheetFormatPr defaultColWidth="9.00390625" defaultRowHeight="12.75"/>
  <cols>
    <col min="1" max="1" width="5.75390625" style="0" customWidth="1"/>
    <col min="2" max="2" width="58.75390625" style="0" customWidth="1"/>
    <col min="3" max="3" width="5.25390625" style="0" customWidth="1"/>
    <col min="4" max="4" width="5.75390625" style="0" customWidth="1"/>
    <col min="5" max="6" width="11.125" style="136" customWidth="1"/>
    <col min="7" max="7" width="9.75390625" style="136" customWidth="1"/>
  </cols>
  <sheetData>
    <row r="1" spans="1:7" ht="28.15" customHeight="1">
      <c r="A1" s="5"/>
      <c r="B1" s="268" t="s">
        <v>626</v>
      </c>
      <c r="C1" s="268"/>
      <c r="D1" s="268"/>
      <c r="E1" s="268"/>
      <c r="F1" s="268"/>
      <c r="G1" s="268"/>
    </row>
    <row r="2" spans="1:7" ht="12.75">
      <c r="A2" s="63"/>
      <c r="B2" s="269" t="s">
        <v>361</v>
      </c>
      <c r="C2" s="269"/>
      <c r="D2" s="269"/>
      <c r="E2" s="269"/>
      <c r="F2" s="269"/>
      <c r="G2" s="269"/>
    </row>
    <row r="3" spans="1:7" ht="12.75">
      <c r="A3" s="269" t="str">
        <f>'пр.5 вед.стр.'!A4:G4</f>
        <v>от 30.12.2019 г. № 329</v>
      </c>
      <c r="B3" s="270"/>
      <c r="C3" s="270"/>
      <c r="D3" s="270"/>
      <c r="E3" s="270"/>
      <c r="F3" s="270"/>
      <c r="G3" s="270"/>
    </row>
    <row r="4" spans="1:7" ht="12.75">
      <c r="A4" s="5"/>
      <c r="B4" s="5"/>
      <c r="C4" s="64"/>
      <c r="D4" s="64"/>
      <c r="E4" s="134"/>
      <c r="F4" s="135"/>
      <c r="G4" s="135"/>
    </row>
    <row r="5" spans="1:7" ht="38.25">
      <c r="A5" s="65" t="s">
        <v>362</v>
      </c>
      <c r="B5" s="65" t="s">
        <v>30</v>
      </c>
      <c r="C5" s="65" t="s">
        <v>61</v>
      </c>
      <c r="D5" s="65" t="s">
        <v>62</v>
      </c>
      <c r="E5" s="137" t="s">
        <v>673</v>
      </c>
      <c r="F5" s="147" t="s">
        <v>674</v>
      </c>
      <c r="G5" s="59" t="s">
        <v>625</v>
      </c>
    </row>
    <row r="6" spans="1:7" ht="12.75">
      <c r="A6" s="66">
        <v>1</v>
      </c>
      <c r="B6" s="33">
        <v>2</v>
      </c>
      <c r="C6" s="33">
        <v>3</v>
      </c>
      <c r="D6" s="33">
        <v>4</v>
      </c>
      <c r="E6" s="138">
        <v>5</v>
      </c>
      <c r="F6" s="138">
        <v>6</v>
      </c>
      <c r="G6" s="138">
        <v>7</v>
      </c>
    </row>
    <row r="7" spans="1:7" ht="12.75">
      <c r="A7" s="67"/>
      <c r="B7" s="25" t="s">
        <v>41</v>
      </c>
      <c r="C7" s="33"/>
      <c r="D7" s="33"/>
      <c r="E7" s="139">
        <f>E8+E15+E17+E19+E24+E30+E36+E39+E43+E45+E47+E28</f>
        <v>763498.0000000001</v>
      </c>
      <c r="F7" s="139">
        <f>F8+F15+F17+F19+F24+F30+F36+F39+F43+F45+F47+F28</f>
        <v>776848.8999999999</v>
      </c>
      <c r="G7" s="145">
        <f>F7-E7</f>
        <v>13350.89999999979</v>
      </c>
    </row>
    <row r="8" spans="1:8" ht="12.75">
      <c r="A8" s="156" t="s">
        <v>363</v>
      </c>
      <c r="B8" s="68" t="s">
        <v>2</v>
      </c>
      <c r="C8" s="69" t="s">
        <v>63</v>
      </c>
      <c r="D8" s="69" t="s">
        <v>34</v>
      </c>
      <c r="E8" s="140">
        <f>SUM(E9:E14)</f>
        <v>180197.9</v>
      </c>
      <c r="F8" s="140">
        <f>SUM(F9:F14)</f>
        <v>178977.3</v>
      </c>
      <c r="G8" s="145">
        <f>F8-E8</f>
        <v>-1220.6000000000058</v>
      </c>
      <c r="H8" s="155"/>
    </row>
    <row r="9" spans="1:7" ht="26.45" customHeight="1">
      <c r="A9" s="70" t="s">
        <v>364</v>
      </c>
      <c r="B9" s="7" t="s">
        <v>15</v>
      </c>
      <c r="C9" s="71" t="s">
        <v>63</v>
      </c>
      <c r="D9" s="71" t="s">
        <v>64</v>
      </c>
      <c r="E9" s="141">
        <v>4751.4</v>
      </c>
      <c r="F9" s="141">
        <f>'пр3 по разд'!D10</f>
        <v>4834</v>
      </c>
      <c r="G9" s="146">
        <f>F9-E9</f>
        <v>82.60000000000036</v>
      </c>
    </row>
    <row r="10" spans="1:7" ht="39.6" customHeight="1">
      <c r="A10" s="70" t="s">
        <v>365</v>
      </c>
      <c r="B10" s="7" t="s">
        <v>19</v>
      </c>
      <c r="C10" s="71" t="s">
        <v>63</v>
      </c>
      <c r="D10" s="71" t="s">
        <v>67</v>
      </c>
      <c r="E10" s="141">
        <v>3975.9</v>
      </c>
      <c r="F10" s="141">
        <f>'пр3 по разд'!D11</f>
        <v>3940.8</v>
      </c>
      <c r="G10" s="146">
        <f aca="true" t="shared" si="0" ref="G10:G48">F10-E10</f>
        <v>-35.09999999999991</v>
      </c>
    </row>
    <row r="11" spans="1:7" ht="42.6" customHeight="1">
      <c r="A11" s="70" t="s">
        <v>366</v>
      </c>
      <c r="B11" s="7" t="s">
        <v>367</v>
      </c>
      <c r="C11" s="71" t="s">
        <v>63</v>
      </c>
      <c r="D11" s="71" t="s">
        <v>65</v>
      </c>
      <c r="E11" s="141">
        <v>91098.3</v>
      </c>
      <c r="F11" s="141">
        <f>'пр3 по разд'!D12</f>
        <v>91729.7</v>
      </c>
      <c r="G11" s="146">
        <f t="shared" si="0"/>
        <v>631.3999999999942</v>
      </c>
    </row>
    <row r="12" spans="1:7" ht="30.6" customHeight="1">
      <c r="A12" s="71" t="s">
        <v>368</v>
      </c>
      <c r="B12" s="8" t="s">
        <v>76</v>
      </c>
      <c r="C12" s="71" t="s">
        <v>63</v>
      </c>
      <c r="D12" s="71" t="s">
        <v>73</v>
      </c>
      <c r="E12" s="141">
        <v>24691.2</v>
      </c>
      <c r="F12" s="141">
        <f>'пр3 по разд'!D13</f>
        <v>22543.399999999998</v>
      </c>
      <c r="G12" s="146">
        <f t="shared" si="0"/>
        <v>-2147.800000000003</v>
      </c>
    </row>
    <row r="13" spans="1:7" ht="18" customHeight="1">
      <c r="A13" s="70" t="s">
        <v>369</v>
      </c>
      <c r="B13" s="7" t="s">
        <v>3</v>
      </c>
      <c r="C13" s="35" t="s">
        <v>63</v>
      </c>
      <c r="D13" s="35" t="s">
        <v>71</v>
      </c>
      <c r="E13" s="141">
        <v>200.5</v>
      </c>
      <c r="F13" s="141">
        <f>'пр3 по разд'!D14</f>
        <v>200.50000000000003</v>
      </c>
      <c r="G13" s="146">
        <f t="shared" si="0"/>
        <v>0</v>
      </c>
    </row>
    <row r="14" spans="1:7" ht="16.15" customHeight="1">
      <c r="A14" s="70" t="s">
        <v>370</v>
      </c>
      <c r="B14" s="7" t="s">
        <v>60</v>
      </c>
      <c r="C14" s="35" t="s">
        <v>63</v>
      </c>
      <c r="D14" s="35" t="s">
        <v>84</v>
      </c>
      <c r="E14" s="141">
        <v>55480.6</v>
      </c>
      <c r="F14" s="141">
        <f>'пр3 по разд'!D15</f>
        <v>55728.9</v>
      </c>
      <c r="G14" s="146">
        <f t="shared" si="0"/>
        <v>248.3000000000029</v>
      </c>
    </row>
    <row r="15" spans="1:7" ht="13.15" customHeight="1">
      <c r="A15" s="66" t="s">
        <v>371</v>
      </c>
      <c r="B15" s="15" t="s">
        <v>197</v>
      </c>
      <c r="C15" s="36" t="s">
        <v>64</v>
      </c>
      <c r="D15" s="36" t="s">
        <v>34</v>
      </c>
      <c r="E15" s="140">
        <f>E16</f>
        <v>443.9</v>
      </c>
      <c r="F15" s="140">
        <f>F16</f>
        <v>443.9</v>
      </c>
      <c r="G15" s="145">
        <f t="shared" si="0"/>
        <v>0</v>
      </c>
    </row>
    <row r="16" spans="1:7" ht="17.45" customHeight="1">
      <c r="A16" s="70" t="s">
        <v>372</v>
      </c>
      <c r="B16" s="16" t="s">
        <v>196</v>
      </c>
      <c r="C16" s="35" t="s">
        <v>64</v>
      </c>
      <c r="D16" s="35" t="s">
        <v>67</v>
      </c>
      <c r="E16" s="141">
        <v>443.9</v>
      </c>
      <c r="F16" s="141">
        <f>'пр3 по разд'!D17</f>
        <v>443.9</v>
      </c>
      <c r="G16" s="146">
        <f t="shared" si="0"/>
        <v>0</v>
      </c>
    </row>
    <row r="17" spans="1:7" ht="25.5">
      <c r="A17" s="66" t="s">
        <v>373</v>
      </c>
      <c r="B17" s="9" t="s">
        <v>4</v>
      </c>
      <c r="C17" s="36" t="s">
        <v>67</v>
      </c>
      <c r="D17" s="69" t="s">
        <v>34</v>
      </c>
      <c r="E17" s="140">
        <f>E18</f>
        <v>12637</v>
      </c>
      <c r="F17" s="140">
        <f>F18</f>
        <v>13737</v>
      </c>
      <c r="G17" s="145">
        <f t="shared" si="0"/>
        <v>1100</v>
      </c>
    </row>
    <row r="18" spans="1:7" ht="31.5" customHeight="1">
      <c r="A18" s="70" t="s">
        <v>374</v>
      </c>
      <c r="B18" s="8" t="s">
        <v>375</v>
      </c>
      <c r="C18" s="35" t="s">
        <v>67</v>
      </c>
      <c r="D18" s="35" t="s">
        <v>72</v>
      </c>
      <c r="E18" s="141">
        <v>12637</v>
      </c>
      <c r="F18" s="141">
        <f>'пр3 по разд'!D19</f>
        <v>13737</v>
      </c>
      <c r="G18" s="146">
        <f t="shared" si="0"/>
        <v>1100</v>
      </c>
    </row>
    <row r="19" spans="1:7" ht="14.45" customHeight="1">
      <c r="A19" s="66" t="s">
        <v>376</v>
      </c>
      <c r="B19" s="9" t="s">
        <v>5</v>
      </c>
      <c r="C19" s="36" t="s">
        <v>65</v>
      </c>
      <c r="D19" s="36" t="s">
        <v>34</v>
      </c>
      <c r="E19" s="140">
        <f>SUM(E20:E23)</f>
        <v>10964.7</v>
      </c>
      <c r="F19" s="140">
        <f>SUM(F20:F23)</f>
        <v>9506.300000000001</v>
      </c>
      <c r="G19" s="145">
        <f t="shared" si="0"/>
        <v>-1458.3999999999996</v>
      </c>
    </row>
    <row r="20" spans="1:7" ht="12.75">
      <c r="A20" s="70" t="s">
        <v>377</v>
      </c>
      <c r="B20" s="16" t="s">
        <v>321</v>
      </c>
      <c r="C20" s="35" t="s">
        <v>65</v>
      </c>
      <c r="D20" s="35" t="s">
        <v>73</v>
      </c>
      <c r="E20" s="141">
        <v>1419.5</v>
      </c>
      <c r="F20" s="141">
        <f>'пр3 по разд'!D21</f>
        <v>1419.5</v>
      </c>
      <c r="G20" s="146">
        <f t="shared" si="0"/>
        <v>0</v>
      </c>
    </row>
    <row r="21" spans="1:7" ht="12.75">
      <c r="A21" s="70" t="s">
        <v>378</v>
      </c>
      <c r="B21" s="7" t="s">
        <v>6</v>
      </c>
      <c r="C21" s="35" t="s">
        <v>65</v>
      </c>
      <c r="D21" s="35" t="s">
        <v>70</v>
      </c>
      <c r="E21" s="141">
        <v>1300</v>
      </c>
      <c r="F21" s="141">
        <v>0</v>
      </c>
      <c r="G21" s="146">
        <f t="shared" si="0"/>
        <v>-1300</v>
      </c>
    </row>
    <row r="22" spans="1:7" ht="18.6" customHeight="1">
      <c r="A22" s="70" t="s">
        <v>379</v>
      </c>
      <c r="B22" s="7" t="s">
        <v>79</v>
      </c>
      <c r="C22" s="35" t="s">
        <v>65</v>
      </c>
      <c r="D22" s="35" t="s">
        <v>72</v>
      </c>
      <c r="E22" s="141">
        <v>7613.2</v>
      </c>
      <c r="F22" s="141">
        <f>'пр3 по разд'!D23</f>
        <v>7613.200000000001</v>
      </c>
      <c r="G22" s="146">
        <f t="shared" si="0"/>
        <v>0</v>
      </c>
    </row>
    <row r="23" spans="1:7" ht="18.6" customHeight="1">
      <c r="A23" s="70" t="s">
        <v>380</v>
      </c>
      <c r="B23" s="7" t="s">
        <v>7</v>
      </c>
      <c r="C23" s="35" t="s">
        <v>65</v>
      </c>
      <c r="D23" s="35" t="s">
        <v>75</v>
      </c>
      <c r="E23" s="141">
        <v>632</v>
      </c>
      <c r="F23" s="141">
        <f>'пр3 по разд'!D24</f>
        <v>473.6</v>
      </c>
      <c r="G23" s="146">
        <f t="shared" si="0"/>
        <v>-158.39999999999998</v>
      </c>
    </row>
    <row r="24" spans="1:7" ht="17.45" customHeight="1">
      <c r="A24" s="70" t="s">
        <v>381</v>
      </c>
      <c r="B24" s="14" t="s">
        <v>128</v>
      </c>
      <c r="C24" s="36" t="s">
        <v>69</v>
      </c>
      <c r="D24" s="36" t="s">
        <v>34</v>
      </c>
      <c r="E24" s="140">
        <f>E25+E26+E27</f>
        <v>59714.8</v>
      </c>
      <c r="F24" s="140">
        <f>F25+F26+F27</f>
        <v>47286.7</v>
      </c>
      <c r="G24" s="145">
        <f t="shared" si="0"/>
        <v>-12428.100000000006</v>
      </c>
    </row>
    <row r="25" spans="1:7" ht="16.9" customHeight="1">
      <c r="A25" s="70" t="s">
        <v>364</v>
      </c>
      <c r="B25" s="7" t="s">
        <v>127</v>
      </c>
      <c r="C25" s="35" t="s">
        <v>69</v>
      </c>
      <c r="D25" s="35" t="s">
        <v>63</v>
      </c>
      <c r="E25" s="141">
        <v>30389.5</v>
      </c>
      <c r="F25" s="141">
        <f>'пр3 по разд'!D26</f>
        <v>17113.6</v>
      </c>
      <c r="G25" s="146">
        <f t="shared" si="0"/>
        <v>-13275.900000000001</v>
      </c>
    </row>
    <row r="26" spans="1:7" ht="13.15" customHeight="1">
      <c r="A26" s="70" t="s">
        <v>382</v>
      </c>
      <c r="B26" s="16" t="s">
        <v>172</v>
      </c>
      <c r="C26" s="48" t="s">
        <v>69</v>
      </c>
      <c r="D26" s="48" t="s">
        <v>64</v>
      </c>
      <c r="E26" s="141">
        <v>23787</v>
      </c>
      <c r="F26" s="141">
        <f>'пр3 по разд'!D27</f>
        <v>25104.399999999998</v>
      </c>
      <c r="G26" s="146">
        <f t="shared" si="0"/>
        <v>1317.3999999999978</v>
      </c>
    </row>
    <row r="27" spans="1:7" ht="12.75">
      <c r="A27" s="70" t="s">
        <v>383</v>
      </c>
      <c r="B27" s="16" t="s">
        <v>174</v>
      </c>
      <c r="C27" s="48" t="s">
        <v>69</v>
      </c>
      <c r="D27" s="48" t="s">
        <v>67</v>
      </c>
      <c r="E27" s="141">
        <v>5538.3</v>
      </c>
      <c r="F27" s="141">
        <f>'пр3 по разд'!D28</f>
        <v>5068.7</v>
      </c>
      <c r="G27" s="146">
        <f t="shared" si="0"/>
        <v>-469.60000000000036</v>
      </c>
    </row>
    <row r="28" spans="1:7" ht="14.45" customHeight="1">
      <c r="A28" s="66" t="s">
        <v>384</v>
      </c>
      <c r="B28" s="15" t="s">
        <v>353</v>
      </c>
      <c r="C28" s="51" t="s">
        <v>73</v>
      </c>
      <c r="D28" s="51" t="s">
        <v>34</v>
      </c>
      <c r="E28" s="140">
        <f>E29</f>
        <v>1585</v>
      </c>
      <c r="F28" s="140">
        <f>F29</f>
        <v>235</v>
      </c>
      <c r="G28" s="146">
        <f t="shared" si="0"/>
        <v>-1350</v>
      </c>
    </row>
    <row r="29" spans="1:7" ht="16.9" customHeight="1">
      <c r="A29" s="70" t="s">
        <v>385</v>
      </c>
      <c r="B29" s="16" t="s">
        <v>294</v>
      </c>
      <c r="C29" s="48" t="s">
        <v>73</v>
      </c>
      <c r="D29" s="48" t="s">
        <v>69</v>
      </c>
      <c r="E29" s="141">
        <v>1585</v>
      </c>
      <c r="F29" s="141">
        <f>'пр3 по разд'!D30</f>
        <v>235</v>
      </c>
      <c r="G29" s="146">
        <f t="shared" si="0"/>
        <v>-1350</v>
      </c>
    </row>
    <row r="30" spans="1:7" ht="12.75">
      <c r="A30" s="66" t="s">
        <v>386</v>
      </c>
      <c r="B30" s="9" t="s">
        <v>8</v>
      </c>
      <c r="C30" s="36" t="s">
        <v>66</v>
      </c>
      <c r="D30" s="36" t="s">
        <v>34</v>
      </c>
      <c r="E30" s="140">
        <f>SUM(E31:E35)</f>
        <v>371109.5</v>
      </c>
      <c r="F30" s="140">
        <f>SUM(F31:F35)</f>
        <v>398541.89999999997</v>
      </c>
      <c r="G30" s="145">
        <f t="shared" si="0"/>
        <v>27432.399999999965</v>
      </c>
    </row>
    <row r="31" spans="1:7" ht="16.9" customHeight="1">
      <c r="A31" s="70" t="s">
        <v>387</v>
      </c>
      <c r="B31" s="7" t="s">
        <v>9</v>
      </c>
      <c r="C31" s="35" t="s">
        <v>66</v>
      </c>
      <c r="D31" s="35" t="s">
        <v>63</v>
      </c>
      <c r="E31" s="141">
        <v>70348</v>
      </c>
      <c r="F31" s="141">
        <f>'пр3 по разд'!D32</f>
        <v>77085</v>
      </c>
      <c r="G31" s="146">
        <f t="shared" si="0"/>
        <v>6737</v>
      </c>
    </row>
    <row r="32" spans="1:7" ht="18" customHeight="1">
      <c r="A32" s="70" t="s">
        <v>388</v>
      </c>
      <c r="B32" s="7" t="s">
        <v>10</v>
      </c>
      <c r="C32" s="35" t="s">
        <v>66</v>
      </c>
      <c r="D32" s="35" t="s">
        <v>64</v>
      </c>
      <c r="E32" s="141">
        <v>187037.6</v>
      </c>
      <c r="F32" s="141">
        <f>'пр3 по разд'!D33</f>
        <v>197101.59999999998</v>
      </c>
      <c r="G32" s="146">
        <f t="shared" si="0"/>
        <v>10063.99999999997</v>
      </c>
    </row>
    <row r="33" spans="1:7" ht="18" customHeight="1">
      <c r="A33" s="70" t="s">
        <v>389</v>
      </c>
      <c r="B33" s="7" t="s">
        <v>304</v>
      </c>
      <c r="C33" s="35" t="s">
        <v>66</v>
      </c>
      <c r="D33" s="35" t="s">
        <v>67</v>
      </c>
      <c r="E33" s="141">
        <v>61230.6</v>
      </c>
      <c r="F33" s="141">
        <f>'пр3 по разд'!D34</f>
        <v>67786.70000000001</v>
      </c>
      <c r="G33" s="146">
        <f t="shared" si="0"/>
        <v>6556.100000000013</v>
      </c>
    </row>
    <row r="34" spans="1:7" ht="18" customHeight="1">
      <c r="A34" s="70" t="s">
        <v>390</v>
      </c>
      <c r="B34" s="7" t="s">
        <v>336</v>
      </c>
      <c r="C34" s="35" t="s">
        <v>66</v>
      </c>
      <c r="D34" s="35" t="s">
        <v>66</v>
      </c>
      <c r="E34" s="141">
        <v>10297.5</v>
      </c>
      <c r="F34" s="141">
        <f>'пр3 по разд'!D35</f>
        <v>11437.5</v>
      </c>
      <c r="G34" s="146">
        <f t="shared" si="0"/>
        <v>1140</v>
      </c>
    </row>
    <row r="35" spans="1:7" ht="18" customHeight="1">
      <c r="A35" s="70" t="s">
        <v>391</v>
      </c>
      <c r="B35" s="7" t="s">
        <v>11</v>
      </c>
      <c r="C35" s="35" t="s">
        <v>66</v>
      </c>
      <c r="D35" s="35" t="s">
        <v>72</v>
      </c>
      <c r="E35" s="141">
        <v>42195.8</v>
      </c>
      <c r="F35" s="141">
        <f>'пр3 по разд'!D36</f>
        <v>45131.09999999999</v>
      </c>
      <c r="G35" s="146">
        <f t="shared" si="0"/>
        <v>2935.2999999999884</v>
      </c>
    </row>
    <row r="36" spans="1:7" ht="15" customHeight="1">
      <c r="A36" s="66" t="s">
        <v>392</v>
      </c>
      <c r="B36" s="9" t="s">
        <v>122</v>
      </c>
      <c r="C36" s="36" t="s">
        <v>70</v>
      </c>
      <c r="D36" s="69" t="s">
        <v>34</v>
      </c>
      <c r="E36" s="140">
        <f>E37+E38</f>
        <v>44597.399999999994</v>
      </c>
      <c r="F36" s="140">
        <f>SUM(F37:F38)</f>
        <v>44904.2</v>
      </c>
      <c r="G36" s="145">
        <f t="shared" si="0"/>
        <v>306.8000000000029</v>
      </c>
    </row>
    <row r="37" spans="1:7" ht="12.75">
      <c r="A37" s="71" t="s">
        <v>393</v>
      </c>
      <c r="B37" s="7" t="s">
        <v>12</v>
      </c>
      <c r="C37" s="35" t="s">
        <v>70</v>
      </c>
      <c r="D37" s="35" t="s">
        <v>63</v>
      </c>
      <c r="E37" s="141">
        <v>30818.1</v>
      </c>
      <c r="F37" s="141">
        <f>'пр3 по разд'!D38</f>
        <v>30683.899999999998</v>
      </c>
      <c r="G37" s="145">
        <f t="shared" si="0"/>
        <v>-134.20000000000073</v>
      </c>
    </row>
    <row r="38" spans="1:7" ht="20.45" customHeight="1">
      <c r="A38" s="70" t="s">
        <v>394</v>
      </c>
      <c r="B38" s="7" t="s">
        <v>395</v>
      </c>
      <c r="C38" s="35" t="s">
        <v>70</v>
      </c>
      <c r="D38" s="35" t="s">
        <v>65</v>
      </c>
      <c r="E38" s="141">
        <v>13779.3</v>
      </c>
      <c r="F38" s="141">
        <f>'пр3 по разд'!D39</f>
        <v>14220.3</v>
      </c>
      <c r="G38" s="146">
        <f t="shared" si="0"/>
        <v>441</v>
      </c>
    </row>
    <row r="39" spans="1:7" ht="16.9" customHeight="1">
      <c r="A39" s="66" t="s">
        <v>396</v>
      </c>
      <c r="B39" s="9" t="s">
        <v>59</v>
      </c>
      <c r="C39" s="36" t="s">
        <v>68</v>
      </c>
      <c r="D39" s="36" t="s">
        <v>34</v>
      </c>
      <c r="E39" s="140">
        <f>SUM(E40:E42)</f>
        <v>47519.3</v>
      </c>
      <c r="F39" s="140">
        <f>SUM(F40:F42)</f>
        <v>47596.3</v>
      </c>
      <c r="G39" s="145">
        <f t="shared" si="0"/>
        <v>77</v>
      </c>
    </row>
    <row r="40" spans="1:7" ht="14.45" customHeight="1">
      <c r="A40" s="71" t="s">
        <v>397</v>
      </c>
      <c r="B40" s="7" t="s">
        <v>55</v>
      </c>
      <c r="C40" s="35" t="s">
        <v>68</v>
      </c>
      <c r="D40" s="35" t="s">
        <v>63</v>
      </c>
      <c r="E40" s="141">
        <v>7875.5</v>
      </c>
      <c r="F40" s="141">
        <f>'пр3 по разд'!D41</f>
        <v>7952.5</v>
      </c>
      <c r="G40" s="146">
        <f t="shared" si="0"/>
        <v>77</v>
      </c>
    </row>
    <row r="41" spans="1:7" ht="19.9" customHeight="1">
      <c r="A41" s="70" t="s">
        <v>398</v>
      </c>
      <c r="B41" s="10" t="s">
        <v>58</v>
      </c>
      <c r="C41" s="35" t="s">
        <v>68</v>
      </c>
      <c r="D41" s="35" t="s">
        <v>67</v>
      </c>
      <c r="E41" s="141">
        <v>36202</v>
      </c>
      <c r="F41" s="141">
        <f>'пр3 по разд'!D42</f>
        <v>36202</v>
      </c>
      <c r="G41" s="146">
        <f t="shared" si="0"/>
        <v>0</v>
      </c>
    </row>
    <row r="42" spans="1:7" ht="12.75">
      <c r="A42" s="70" t="s">
        <v>399</v>
      </c>
      <c r="B42" s="41" t="s">
        <v>129</v>
      </c>
      <c r="C42" s="35" t="s">
        <v>68</v>
      </c>
      <c r="D42" s="35" t="s">
        <v>73</v>
      </c>
      <c r="E42" s="141">
        <v>3441.8</v>
      </c>
      <c r="F42" s="141">
        <f>'пр3 по разд'!D43</f>
        <v>3441.7999999999997</v>
      </c>
      <c r="G42" s="146">
        <f t="shared" si="0"/>
        <v>0</v>
      </c>
    </row>
    <row r="43" spans="1:7" ht="16.9" customHeight="1">
      <c r="A43" s="66" t="s">
        <v>400</v>
      </c>
      <c r="B43" s="15" t="s">
        <v>80</v>
      </c>
      <c r="C43" s="36" t="s">
        <v>71</v>
      </c>
      <c r="D43" s="36" t="s">
        <v>34</v>
      </c>
      <c r="E43" s="140">
        <f>E44</f>
        <v>29099.5</v>
      </c>
      <c r="F43" s="140">
        <f>F44</f>
        <v>29991.300000000003</v>
      </c>
      <c r="G43" s="145">
        <f t="shared" si="0"/>
        <v>891.8000000000029</v>
      </c>
    </row>
    <row r="44" spans="1:7" ht="15.6" customHeight="1">
      <c r="A44" s="70" t="s">
        <v>401</v>
      </c>
      <c r="B44" s="16" t="s">
        <v>81</v>
      </c>
      <c r="C44" s="35" t="s">
        <v>71</v>
      </c>
      <c r="D44" s="35" t="s">
        <v>63</v>
      </c>
      <c r="E44" s="141">
        <v>29099.5</v>
      </c>
      <c r="F44" s="141">
        <f>'пр3 по разд'!D45</f>
        <v>29991.300000000003</v>
      </c>
      <c r="G44" s="146">
        <f t="shared" si="0"/>
        <v>891.8000000000029</v>
      </c>
    </row>
    <row r="45" spans="1:7" ht="16.9" customHeight="1">
      <c r="A45" s="66" t="s">
        <v>402</v>
      </c>
      <c r="B45" s="15" t="s">
        <v>82</v>
      </c>
      <c r="C45" s="36" t="s">
        <v>75</v>
      </c>
      <c r="D45" s="36" t="s">
        <v>34</v>
      </c>
      <c r="E45" s="140">
        <f>E46</f>
        <v>5617</v>
      </c>
      <c r="F45" s="140">
        <f>F46</f>
        <v>5617</v>
      </c>
      <c r="G45" s="145">
        <f t="shared" si="0"/>
        <v>0</v>
      </c>
    </row>
    <row r="46" spans="1:7" ht="16.15" customHeight="1">
      <c r="A46" s="70" t="s">
        <v>403</v>
      </c>
      <c r="B46" s="16" t="s">
        <v>13</v>
      </c>
      <c r="C46" s="35" t="s">
        <v>75</v>
      </c>
      <c r="D46" s="35" t="s">
        <v>64</v>
      </c>
      <c r="E46" s="141">
        <v>5617</v>
      </c>
      <c r="F46" s="141">
        <f>'пр3 по разд'!D47</f>
        <v>5617</v>
      </c>
      <c r="G46" s="146">
        <f t="shared" si="0"/>
        <v>0</v>
      </c>
    </row>
    <row r="47" spans="1:7" ht="15.6" customHeight="1">
      <c r="A47" s="70" t="s">
        <v>404</v>
      </c>
      <c r="B47" s="15" t="s">
        <v>85</v>
      </c>
      <c r="C47" s="36" t="s">
        <v>84</v>
      </c>
      <c r="D47" s="36" t="s">
        <v>34</v>
      </c>
      <c r="E47" s="140">
        <f>E48</f>
        <v>12</v>
      </c>
      <c r="F47" s="140">
        <f>F48</f>
        <v>12</v>
      </c>
      <c r="G47" s="145">
        <f t="shared" si="0"/>
        <v>0</v>
      </c>
    </row>
    <row r="48" spans="1:7" ht="17.45" customHeight="1">
      <c r="A48" s="70" t="s">
        <v>405</v>
      </c>
      <c r="B48" s="16" t="str">
        <f>'пр.4'!A906</f>
        <v>Обслуживание государственного внутреннего и муниципального долга</v>
      </c>
      <c r="C48" s="35" t="s">
        <v>84</v>
      </c>
      <c r="D48" s="35" t="s">
        <v>63</v>
      </c>
      <c r="E48" s="141">
        <v>12</v>
      </c>
      <c r="F48" s="141">
        <f>'пр3 по разд'!D49</f>
        <v>12</v>
      </c>
      <c r="G48" s="146">
        <f t="shared" si="0"/>
        <v>0</v>
      </c>
    </row>
  </sheetData>
  <mergeCells count="3">
    <mergeCell ref="B1:G1"/>
    <mergeCell ref="B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042"/>
  <sheetViews>
    <sheetView view="pageBreakPreview" zoomScale="95" zoomScaleSheetLayoutView="95" workbookViewId="0" topLeftCell="A1">
      <selection activeCell="A8" sqref="A8:F8"/>
    </sheetView>
  </sheetViews>
  <sheetFormatPr defaultColWidth="9.125" defaultRowHeight="12.75"/>
  <cols>
    <col min="1" max="1" width="87.375" style="11" customWidth="1"/>
    <col min="2" max="2" width="8.625" style="38" customWidth="1"/>
    <col min="3" max="3" width="6.375" style="38" customWidth="1"/>
    <col min="4" max="4" width="13.25390625" style="112" customWidth="1"/>
    <col min="5" max="5" width="7.00390625" style="112" customWidth="1"/>
    <col min="6" max="6" width="11.875" style="11" customWidth="1"/>
    <col min="7" max="7" width="14.75390625" style="79" customWidth="1"/>
    <col min="8" max="10" width="1.12109375" style="79" customWidth="1"/>
    <col min="11" max="11" width="9.25390625" style="79" customWidth="1"/>
    <col min="12" max="13" width="9.125" style="79" customWidth="1"/>
    <col min="14" max="14" width="97.875" style="79" customWidth="1"/>
    <col min="15" max="22" width="9.125" style="79" customWidth="1"/>
    <col min="23" max="16384" width="9.125" style="11" customWidth="1"/>
  </cols>
  <sheetData>
    <row r="1" spans="1:6" ht="12.75">
      <c r="A1" s="271" t="s">
        <v>686</v>
      </c>
      <c r="B1" s="272"/>
      <c r="C1" s="272"/>
      <c r="D1" s="272"/>
      <c r="E1" s="272"/>
      <c r="F1" s="272"/>
    </row>
    <row r="2" spans="1:6" ht="12.75">
      <c r="A2" s="263" t="str">
        <f>'пр3 по разд'!A2:D2</f>
        <v>к  решению Собрания представителей Сусуманского городского округа</v>
      </c>
      <c r="B2" s="263"/>
      <c r="C2" s="263"/>
      <c r="D2" s="263"/>
      <c r="E2" s="263"/>
      <c r="F2" s="273"/>
    </row>
    <row r="3" spans="1:6" ht="12.75">
      <c r="A3" s="263" t="str">
        <f>'пр3 по разд'!A3:D3</f>
        <v>"О бюджете муниципального образования "Сусуманский городской округ" на 2019 год</v>
      </c>
      <c r="B3" s="263"/>
      <c r="C3" s="263"/>
      <c r="D3" s="263"/>
      <c r="E3" s="263"/>
      <c r="F3" s="273"/>
    </row>
    <row r="4" spans="1:6" ht="12.75">
      <c r="A4" s="263" t="str">
        <f>'пр3 по разд'!A4:D4</f>
        <v>от 30.12.2019 г. № 329</v>
      </c>
      <c r="B4" s="263"/>
      <c r="C4" s="263"/>
      <c r="D4" s="263"/>
      <c r="E4" s="263"/>
      <c r="F4" s="273"/>
    </row>
    <row r="5" spans="1:7" ht="25.15" customHeight="1">
      <c r="A5" s="274" t="s">
        <v>595</v>
      </c>
      <c r="B5" s="274"/>
      <c r="C5" s="274"/>
      <c r="D5" s="274"/>
      <c r="E5" s="274"/>
      <c r="F5" s="275"/>
      <c r="G5" s="188"/>
    </row>
    <row r="6" spans="4:17" ht="26.25" customHeight="1">
      <c r="D6" s="112" t="s">
        <v>1</v>
      </c>
      <c r="K6" s="80"/>
      <c r="L6" s="80"/>
      <c r="M6" s="80"/>
      <c r="N6" s="80"/>
      <c r="O6" s="80"/>
      <c r="P6" s="80"/>
      <c r="Q6" s="80"/>
    </row>
    <row r="7" spans="1:17" ht="12.75">
      <c r="A7" s="24" t="s">
        <v>30</v>
      </c>
      <c r="B7" s="39" t="s">
        <v>43</v>
      </c>
      <c r="C7" s="39" t="s">
        <v>42</v>
      </c>
      <c r="D7" s="113" t="s">
        <v>44</v>
      </c>
      <c r="E7" s="113" t="s">
        <v>45</v>
      </c>
      <c r="F7" s="88" t="str">
        <f>'пр3 по разд'!D7</f>
        <v>Сумма</v>
      </c>
      <c r="K7" s="80"/>
      <c r="L7" s="80"/>
      <c r="M7" s="82"/>
      <c r="N7" s="80"/>
      <c r="O7" s="80"/>
      <c r="P7" s="82"/>
      <c r="Q7" s="82"/>
    </row>
    <row r="8" spans="1:17" ht="12.75">
      <c r="A8" s="24">
        <v>1</v>
      </c>
      <c r="B8" s="39">
        <v>3</v>
      </c>
      <c r="C8" s="39">
        <v>4</v>
      </c>
      <c r="D8" s="119">
        <v>5</v>
      </c>
      <c r="E8" s="119">
        <v>6</v>
      </c>
      <c r="F8" s="45">
        <v>7</v>
      </c>
      <c r="K8" s="80"/>
      <c r="L8" s="80"/>
      <c r="M8" s="82"/>
      <c r="N8" s="80"/>
      <c r="O8" s="80"/>
      <c r="P8" s="82"/>
      <c r="Q8" s="82"/>
    </row>
    <row r="9" spans="1:17" ht="12.75">
      <c r="A9" s="15" t="s">
        <v>2</v>
      </c>
      <c r="B9" s="32" t="s">
        <v>63</v>
      </c>
      <c r="C9" s="32" t="s">
        <v>34</v>
      </c>
      <c r="D9" s="110"/>
      <c r="E9" s="110"/>
      <c r="F9" s="174">
        <f>F10+F16+F37+F71+F96+F101</f>
        <v>178977.3</v>
      </c>
      <c r="K9" s="80"/>
      <c r="L9" s="80"/>
      <c r="M9" s="82"/>
      <c r="N9" s="80"/>
      <c r="O9" s="80"/>
      <c r="P9" s="82"/>
      <c r="Q9" s="82"/>
    </row>
    <row r="10" spans="1:17" ht="25.5">
      <c r="A10" s="14" t="s">
        <v>15</v>
      </c>
      <c r="B10" s="32" t="s">
        <v>63</v>
      </c>
      <c r="C10" s="32" t="s">
        <v>64</v>
      </c>
      <c r="D10" s="113"/>
      <c r="E10" s="113"/>
      <c r="F10" s="174">
        <f>F11</f>
        <v>4834</v>
      </c>
      <c r="K10" s="80"/>
      <c r="L10" s="80"/>
      <c r="M10" s="82"/>
      <c r="N10" s="80"/>
      <c r="O10" s="80"/>
      <c r="P10" s="82"/>
      <c r="Q10" s="82"/>
    </row>
    <row r="11" spans="1:17" ht="25.5">
      <c r="A11" s="16" t="s">
        <v>277</v>
      </c>
      <c r="B11" s="20" t="s">
        <v>63</v>
      </c>
      <c r="C11" s="20" t="s">
        <v>64</v>
      </c>
      <c r="D11" s="110" t="s">
        <v>175</v>
      </c>
      <c r="E11" s="110"/>
      <c r="F11" s="61">
        <f>F12</f>
        <v>4834</v>
      </c>
      <c r="K11" s="80"/>
      <c r="L11" s="80"/>
      <c r="M11" s="82"/>
      <c r="N11" s="80"/>
      <c r="O11" s="80"/>
      <c r="P11" s="82"/>
      <c r="Q11" s="82"/>
    </row>
    <row r="12" spans="1:17" ht="12.75">
      <c r="A12" s="16" t="s">
        <v>16</v>
      </c>
      <c r="B12" s="20" t="s">
        <v>63</v>
      </c>
      <c r="C12" s="20" t="s">
        <v>64</v>
      </c>
      <c r="D12" s="110" t="s">
        <v>460</v>
      </c>
      <c r="E12" s="110"/>
      <c r="F12" s="61">
        <f>F13</f>
        <v>4834</v>
      </c>
      <c r="K12" s="80"/>
      <c r="L12" s="80"/>
      <c r="M12" s="82"/>
      <c r="N12" s="80"/>
      <c r="O12" s="80"/>
      <c r="P12" s="82"/>
      <c r="Q12" s="82"/>
    </row>
    <row r="13" spans="1:17" ht="12.75">
      <c r="A13" s="16" t="s">
        <v>177</v>
      </c>
      <c r="B13" s="20" t="s">
        <v>63</v>
      </c>
      <c r="C13" s="20" t="s">
        <v>64</v>
      </c>
      <c r="D13" s="110" t="s">
        <v>461</v>
      </c>
      <c r="E13" s="110"/>
      <c r="F13" s="61">
        <f>F14</f>
        <v>4834</v>
      </c>
      <c r="K13" s="80"/>
      <c r="L13" s="80"/>
      <c r="M13" s="82"/>
      <c r="N13" s="80"/>
      <c r="O13" s="80"/>
      <c r="P13" s="82"/>
      <c r="Q13" s="82"/>
    </row>
    <row r="14" spans="1:17" ht="38.25">
      <c r="A14" s="16" t="s">
        <v>92</v>
      </c>
      <c r="B14" s="20" t="s">
        <v>63</v>
      </c>
      <c r="C14" s="20" t="s">
        <v>64</v>
      </c>
      <c r="D14" s="110" t="s">
        <v>461</v>
      </c>
      <c r="E14" s="110" t="s">
        <v>93</v>
      </c>
      <c r="F14" s="61">
        <f>F15</f>
        <v>4834</v>
      </c>
      <c r="K14" s="80"/>
      <c r="L14" s="80"/>
      <c r="M14" s="82"/>
      <c r="N14" s="80"/>
      <c r="O14" s="80"/>
      <c r="P14" s="82"/>
      <c r="Q14" s="82"/>
    </row>
    <row r="15" spans="1:17" ht="12.75">
      <c r="A15" s="16" t="s">
        <v>89</v>
      </c>
      <c r="B15" s="20" t="s">
        <v>63</v>
      </c>
      <c r="C15" s="20" t="s">
        <v>64</v>
      </c>
      <c r="D15" s="110" t="s">
        <v>461</v>
      </c>
      <c r="E15" s="110" t="s">
        <v>90</v>
      </c>
      <c r="F15" s="61">
        <f>'пр.5 вед.стр.'!G16</f>
        <v>4834</v>
      </c>
      <c r="K15" s="80"/>
      <c r="L15" s="80"/>
      <c r="M15" s="82"/>
      <c r="N15" s="80"/>
      <c r="O15" s="80"/>
      <c r="P15" s="82"/>
      <c r="Q15" s="82"/>
    </row>
    <row r="16" spans="1:17" ht="25.5">
      <c r="A16" s="14" t="s">
        <v>19</v>
      </c>
      <c r="B16" s="32" t="s">
        <v>63</v>
      </c>
      <c r="C16" s="32" t="s">
        <v>67</v>
      </c>
      <c r="D16" s="113"/>
      <c r="E16" s="113"/>
      <c r="F16" s="174">
        <f>F17</f>
        <v>3940.8</v>
      </c>
      <c r="N16" s="80"/>
      <c r="O16" s="80"/>
      <c r="P16" s="82"/>
      <c r="Q16" s="82"/>
    </row>
    <row r="17" spans="1:17" ht="25.5">
      <c r="A17" s="16" t="s">
        <v>277</v>
      </c>
      <c r="B17" s="20" t="s">
        <v>63</v>
      </c>
      <c r="C17" s="20" t="s">
        <v>67</v>
      </c>
      <c r="D17" s="110" t="s">
        <v>175</v>
      </c>
      <c r="E17" s="110"/>
      <c r="F17" s="61">
        <f>F18+F22</f>
        <v>3940.8</v>
      </c>
      <c r="N17" s="80"/>
      <c r="O17" s="80"/>
      <c r="P17" s="82"/>
      <c r="Q17" s="82"/>
    </row>
    <row r="18" spans="1:17" ht="12.75">
      <c r="A18" s="30" t="s">
        <v>137</v>
      </c>
      <c r="B18" s="20" t="s">
        <v>63</v>
      </c>
      <c r="C18" s="20" t="s">
        <v>67</v>
      </c>
      <c r="D18" s="110" t="s">
        <v>492</v>
      </c>
      <c r="E18" s="110"/>
      <c r="F18" s="61">
        <f>F19</f>
        <v>2370.6</v>
      </c>
      <c r="N18" s="80"/>
      <c r="O18" s="80"/>
      <c r="P18" s="82"/>
      <c r="Q18" s="82"/>
    </row>
    <row r="19" spans="1:17" ht="12.75">
      <c r="A19" s="16" t="s">
        <v>177</v>
      </c>
      <c r="B19" s="20" t="s">
        <v>63</v>
      </c>
      <c r="C19" s="20" t="s">
        <v>67</v>
      </c>
      <c r="D19" s="110" t="s">
        <v>493</v>
      </c>
      <c r="E19" s="110"/>
      <c r="F19" s="61">
        <f>F20</f>
        <v>2370.6</v>
      </c>
      <c r="N19" s="80"/>
      <c r="O19" s="80"/>
      <c r="P19" s="82"/>
      <c r="Q19" s="82"/>
    </row>
    <row r="20" spans="1:17" ht="38.25">
      <c r="A20" s="16" t="s">
        <v>92</v>
      </c>
      <c r="B20" s="20" t="s">
        <v>63</v>
      </c>
      <c r="C20" s="20" t="s">
        <v>67</v>
      </c>
      <c r="D20" s="110" t="s">
        <v>493</v>
      </c>
      <c r="E20" s="110" t="s">
        <v>93</v>
      </c>
      <c r="F20" s="61">
        <f>F21</f>
        <v>2370.6</v>
      </c>
      <c r="N20" s="80"/>
      <c r="O20" s="80"/>
      <c r="P20" s="82"/>
      <c r="Q20" s="82"/>
    </row>
    <row r="21" spans="1:17" ht="12.75">
      <c r="A21" s="16" t="s">
        <v>89</v>
      </c>
      <c r="B21" s="20" t="s">
        <v>63</v>
      </c>
      <c r="C21" s="20" t="s">
        <v>67</v>
      </c>
      <c r="D21" s="110" t="s">
        <v>493</v>
      </c>
      <c r="E21" s="110" t="s">
        <v>90</v>
      </c>
      <c r="F21" s="61">
        <f>'пр.5 вед.стр.'!G264</f>
        <v>2370.6</v>
      </c>
      <c r="N21" s="80"/>
      <c r="O21" s="80"/>
      <c r="P21" s="82"/>
      <c r="Q21" s="82"/>
    </row>
    <row r="22" spans="1:17" ht="12.75">
      <c r="A22" s="16" t="s">
        <v>47</v>
      </c>
      <c r="B22" s="20" t="s">
        <v>63</v>
      </c>
      <c r="C22" s="20" t="s">
        <v>67</v>
      </c>
      <c r="D22" s="110" t="s">
        <v>181</v>
      </c>
      <c r="E22" s="110"/>
      <c r="F22" s="61">
        <f>F23+F26+F31+F34</f>
        <v>1570.2</v>
      </c>
      <c r="N22" s="80"/>
      <c r="O22" s="80"/>
      <c r="P22" s="82"/>
      <c r="Q22" s="82"/>
    </row>
    <row r="23" spans="1:17" ht="12.75">
      <c r="A23" s="16" t="s">
        <v>177</v>
      </c>
      <c r="B23" s="20" t="s">
        <v>63</v>
      </c>
      <c r="C23" s="20" t="s">
        <v>67</v>
      </c>
      <c r="D23" s="110" t="s">
        <v>182</v>
      </c>
      <c r="E23" s="110"/>
      <c r="F23" s="61">
        <f>F24</f>
        <v>1058.6</v>
      </c>
      <c r="N23" s="80"/>
      <c r="O23" s="80"/>
      <c r="P23" s="82"/>
      <c r="Q23" s="82"/>
    </row>
    <row r="24" spans="1:17" ht="38.25">
      <c r="A24" s="16" t="s">
        <v>92</v>
      </c>
      <c r="B24" s="20" t="s">
        <v>63</v>
      </c>
      <c r="C24" s="20" t="s">
        <v>67</v>
      </c>
      <c r="D24" s="110" t="s">
        <v>182</v>
      </c>
      <c r="E24" s="110" t="s">
        <v>93</v>
      </c>
      <c r="F24" s="61">
        <f>F25</f>
        <v>1058.6</v>
      </c>
      <c r="N24" s="80"/>
      <c r="O24" s="80"/>
      <c r="P24" s="82"/>
      <c r="Q24" s="82"/>
    </row>
    <row r="25" spans="1:17" ht="13.15" customHeight="1">
      <c r="A25" s="16" t="s">
        <v>89</v>
      </c>
      <c r="B25" s="20" t="s">
        <v>63</v>
      </c>
      <c r="C25" s="20" t="s">
        <v>67</v>
      </c>
      <c r="D25" s="110" t="s">
        <v>182</v>
      </c>
      <c r="E25" s="110" t="s">
        <v>90</v>
      </c>
      <c r="F25" s="61">
        <f>'пр.5 вед.стр.'!G268</f>
        <v>1058.6</v>
      </c>
      <c r="N25" s="80"/>
      <c r="O25" s="80"/>
      <c r="P25" s="82"/>
      <c r="Q25" s="82"/>
    </row>
    <row r="26" spans="1:17" ht="12.75">
      <c r="A26" s="16" t="s">
        <v>178</v>
      </c>
      <c r="B26" s="20" t="s">
        <v>63</v>
      </c>
      <c r="C26" s="20" t="s">
        <v>67</v>
      </c>
      <c r="D26" s="110" t="s">
        <v>183</v>
      </c>
      <c r="E26" s="110"/>
      <c r="F26" s="61">
        <f>F27+F29</f>
        <v>290.2</v>
      </c>
      <c r="N26" s="80"/>
      <c r="O26" s="80"/>
      <c r="P26" s="82"/>
      <c r="Q26" s="82"/>
    </row>
    <row r="27" spans="1:17" ht="12.75">
      <c r="A27" s="16" t="s">
        <v>333</v>
      </c>
      <c r="B27" s="20" t="s">
        <v>63</v>
      </c>
      <c r="C27" s="20" t="s">
        <v>67</v>
      </c>
      <c r="D27" s="110" t="s">
        <v>183</v>
      </c>
      <c r="E27" s="110" t="s">
        <v>94</v>
      </c>
      <c r="F27" s="61">
        <f>F28</f>
        <v>263.5</v>
      </c>
      <c r="N27" s="80"/>
      <c r="O27" s="80"/>
      <c r="P27" s="82"/>
      <c r="Q27" s="82"/>
    </row>
    <row r="28" spans="1:17" ht="12.75">
      <c r="A28" s="16" t="s">
        <v>608</v>
      </c>
      <c r="B28" s="20" t="s">
        <v>63</v>
      </c>
      <c r="C28" s="20" t="s">
        <v>67</v>
      </c>
      <c r="D28" s="110" t="s">
        <v>183</v>
      </c>
      <c r="E28" s="110" t="s">
        <v>91</v>
      </c>
      <c r="F28" s="61">
        <f>'пр.5 вед.стр.'!G271</f>
        <v>263.5</v>
      </c>
      <c r="N28" s="80"/>
      <c r="O28" s="80"/>
      <c r="P28" s="82"/>
      <c r="Q28" s="82"/>
    </row>
    <row r="29" spans="1:17" ht="12.75">
      <c r="A29" s="16" t="str">
        <f>'пр.5 вед.стр.'!A272</f>
        <v>Социальное обеспечение и иные выплаты населению</v>
      </c>
      <c r="B29" s="20" t="s">
        <v>63</v>
      </c>
      <c r="C29" s="20" t="s">
        <v>67</v>
      </c>
      <c r="D29" s="110" t="s">
        <v>183</v>
      </c>
      <c r="E29" s="142">
        <f>'пр.5 вед.стр.'!F272</f>
        <v>300</v>
      </c>
      <c r="F29" s="61">
        <f>F30</f>
        <v>26.7</v>
      </c>
      <c r="N29" s="80"/>
      <c r="O29" s="80"/>
      <c r="P29" s="82"/>
      <c r="Q29" s="82"/>
    </row>
    <row r="30" spans="1:17" ht="12.75">
      <c r="A30" s="16" t="str">
        <f>'пр.5 вед.стр.'!A273</f>
        <v>Социальные выплаты гражданам, кроме публичных нормативных социальных выплат</v>
      </c>
      <c r="B30" s="20" t="s">
        <v>63</v>
      </c>
      <c r="C30" s="20" t="s">
        <v>67</v>
      </c>
      <c r="D30" s="110" t="s">
        <v>183</v>
      </c>
      <c r="E30" s="142">
        <f>'пр.5 вед.стр.'!F273</f>
        <v>320</v>
      </c>
      <c r="F30" s="61">
        <f>'пр.5 вед.стр.'!G273</f>
        <v>26.7</v>
      </c>
      <c r="N30" s="80"/>
      <c r="O30" s="80"/>
      <c r="P30" s="82"/>
      <c r="Q30" s="82"/>
    </row>
    <row r="31" spans="1:17" ht="38.25">
      <c r="A31" s="16" t="s">
        <v>204</v>
      </c>
      <c r="B31" s="20" t="s">
        <v>63</v>
      </c>
      <c r="C31" s="20" t="s">
        <v>67</v>
      </c>
      <c r="D31" s="110" t="s">
        <v>462</v>
      </c>
      <c r="E31" s="110"/>
      <c r="F31" s="61">
        <f>F32</f>
        <v>209</v>
      </c>
      <c r="N31" s="80"/>
      <c r="O31" s="80"/>
      <c r="P31" s="82"/>
      <c r="Q31" s="82"/>
    </row>
    <row r="32" spans="1:6" ht="38.25">
      <c r="A32" s="16" t="s">
        <v>92</v>
      </c>
      <c r="B32" s="20" t="s">
        <v>63</v>
      </c>
      <c r="C32" s="20" t="s">
        <v>67</v>
      </c>
      <c r="D32" s="110" t="s">
        <v>462</v>
      </c>
      <c r="E32" s="110" t="s">
        <v>93</v>
      </c>
      <c r="F32" s="61">
        <f>F33</f>
        <v>209</v>
      </c>
    </row>
    <row r="33" spans="1:6" ht="12.75">
      <c r="A33" s="16" t="s">
        <v>89</v>
      </c>
      <c r="B33" s="20" t="s">
        <v>63</v>
      </c>
      <c r="C33" s="20" t="s">
        <v>67</v>
      </c>
      <c r="D33" s="110" t="s">
        <v>462</v>
      </c>
      <c r="E33" s="110" t="s">
        <v>90</v>
      </c>
      <c r="F33" s="61">
        <f>'пр.5 вед.стр.'!G276</f>
        <v>209</v>
      </c>
    </row>
    <row r="34" spans="1:6" ht="12.75">
      <c r="A34" s="16" t="str">
        <f>'пр.5 вед.стр.'!A277</f>
        <v>Другие гарантии и компенсации</v>
      </c>
      <c r="B34" s="20" t="s">
        <v>63</v>
      </c>
      <c r="C34" s="20" t="s">
        <v>67</v>
      </c>
      <c r="D34" s="110" t="str">
        <f>'пр.5 вед.стр.'!E277</f>
        <v>Р2 4 00 00560</v>
      </c>
      <c r="E34" s="110"/>
      <c r="F34" s="61">
        <f>F35</f>
        <v>12.4</v>
      </c>
    </row>
    <row r="35" spans="1:6" ht="38.25">
      <c r="A35" s="16" t="str">
        <f>'пр.5 вед.стр.'!A278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20" t="s">
        <v>63</v>
      </c>
      <c r="C35" s="20" t="s">
        <v>67</v>
      </c>
      <c r="D35" s="110" t="str">
        <f>'пр.5 вед.стр.'!E278</f>
        <v>Р2 4 00 00560</v>
      </c>
      <c r="E35" s="110" t="s">
        <v>93</v>
      </c>
      <c r="F35" s="61">
        <f>F36</f>
        <v>12.4</v>
      </c>
    </row>
    <row r="36" spans="1:6" ht="12.75">
      <c r="A36" s="16" t="str">
        <f>'пр.5 вед.стр.'!A279</f>
        <v>Расходы на выплаты персоналу государственных (муниципальных) органов</v>
      </c>
      <c r="B36" s="20" t="s">
        <v>63</v>
      </c>
      <c r="C36" s="20" t="s">
        <v>67</v>
      </c>
      <c r="D36" s="110" t="str">
        <f>'пр.5 вед.стр.'!E279</f>
        <v>Р2 4 00 00560</v>
      </c>
      <c r="E36" s="110" t="s">
        <v>90</v>
      </c>
      <c r="F36" s="61">
        <f>'пр.5 вед.стр.'!G279</f>
        <v>12.4</v>
      </c>
    </row>
    <row r="37" spans="1:14" ht="25.5">
      <c r="A37" s="15" t="s">
        <v>17</v>
      </c>
      <c r="B37" s="32" t="s">
        <v>63</v>
      </c>
      <c r="C37" s="32" t="s">
        <v>65</v>
      </c>
      <c r="D37" s="113"/>
      <c r="E37" s="113"/>
      <c r="F37" s="174">
        <f>F51+F38</f>
        <v>91729.7</v>
      </c>
      <c r="K37" s="80"/>
      <c r="L37" s="80"/>
      <c r="M37" s="82"/>
      <c r="N37" s="82"/>
    </row>
    <row r="38" spans="1:14" ht="25.5">
      <c r="A38" s="117" t="str">
        <f>'пр.5 вед.стр.'!A18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8" s="20" t="s">
        <v>63</v>
      </c>
      <c r="C38" s="20" t="s">
        <v>65</v>
      </c>
      <c r="D38" s="110" t="s">
        <v>464</v>
      </c>
      <c r="E38" s="110"/>
      <c r="F38" s="61">
        <f>F39</f>
        <v>3718.1</v>
      </c>
      <c r="K38" s="80"/>
      <c r="L38" s="80"/>
      <c r="M38" s="82"/>
      <c r="N38" s="82"/>
    </row>
    <row r="39" spans="1:14" ht="25.5">
      <c r="A39" s="16" t="s">
        <v>465</v>
      </c>
      <c r="B39" s="20" t="s">
        <v>63</v>
      </c>
      <c r="C39" s="20" t="s">
        <v>65</v>
      </c>
      <c r="D39" s="110" t="s">
        <v>466</v>
      </c>
      <c r="E39" s="110"/>
      <c r="F39" s="61">
        <f>F40+F45+F48</f>
        <v>3718.1</v>
      </c>
      <c r="K39" s="80"/>
      <c r="L39" s="80"/>
      <c r="M39" s="82"/>
      <c r="N39" s="82"/>
    </row>
    <row r="40" spans="1:14" ht="51">
      <c r="A40" s="16" t="s">
        <v>278</v>
      </c>
      <c r="B40" s="20" t="s">
        <v>63</v>
      </c>
      <c r="C40" s="20" t="s">
        <v>65</v>
      </c>
      <c r="D40" s="110" t="s">
        <v>467</v>
      </c>
      <c r="E40" s="110"/>
      <c r="F40" s="61">
        <f>F41+F43</f>
        <v>2175.3</v>
      </c>
      <c r="K40" s="80"/>
      <c r="L40" s="80"/>
      <c r="M40" s="82"/>
      <c r="N40" s="82"/>
    </row>
    <row r="41" spans="1:14" ht="38.25">
      <c r="A41" s="16" t="s">
        <v>92</v>
      </c>
      <c r="B41" s="20" t="s">
        <v>63</v>
      </c>
      <c r="C41" s="20" t="s">
        <v>65</v>
      </c>
      <c r="D41" s="110" t="s">
        <v>467</v>
      </c>
      <c r="E41" s="110" t="s">
        <v>93</v>
      </c>
      <c r="F41" s="61">
        <f>F42</f>
        <v>1090.2</v>
      </c>
      <c r="K41" s="80"/>
      <c r="L41" s="80"/>
      <c r="M41" s="82"/>
      <c r="N41" s="82"/>
    </row>
    <row r="42" spans="1:14" ht="12.75">
      <c r="A42" s="16" t="s">
        <v>89</v>
      </c>
      <c r="B42" s="20" t="s">
        <v>63</v>
      </c>
      <c r="C42" s="20" t="s">
        <v>65</v>
      </c>
      <c r="D42" s="110" t="s">
        <v>467</v>
      </c>
      <c r="E42" s="110" t="s">
        <v>90</v>
      </c>
      <c r="F42" s="61">
        <f>'пр.5 вед.стр.'!G22</f>
        <v>1090.2</v>
      </c>
      <c r="K42" s="80"/>
      <c r="L42" s="80"/>
      <c r="M42" s="82"/>
      <c r="N42" s="82"/>
    </row>
    <row r="43" spans="1:14" ht="12.75">
      <c r="A43" s="16" t="str">
        <f>'пр.5 вед.стр.'!A23</f>
        <v>Закупка товаров, работ и услуг для обеспечения государственных (муниципальных) нужд</v>
      </c>
      <c r="B43" s="20" t="s">
        <v>63</v>
      </c>
      <c r="C43" s="20" t="s">
        <v>65</v>
      </c>
      <c r="D43" s="110" t="s">
        <v>467</v>
      </c>
      <c r="E43" s="110" t="s">
        <v>94</v>
      </c>
      <c r="F43" s="61">
        <f>F44</f>
        <v>1085.1</v>
      </c>
      <c r="K43" s="80"/>
      <c r="L43" s="80"/>
      <c r="M43" s="82"/>
      <c r="N43" s="82"/>
    </row>
    <row r="44" spans="1:14" ht="12.75">
      <c r="A44" s="16" t="s">
        <v>608</v>
      </c>
      <c r="B44" s="20" t="s">
        <v>63</v>
      </c>
      <c r="C44" s="20" t="s">
        <v>65</v>
      </c>
      <c r="D44" s="110" t="s">
        <v>467</v>
      </c>
      <c r="E44" s="110" t="s">
        <v>91</v>
      </c>
      <c r="F44" s="61">
        <f>'пр.5 вед.стр.'!G24</f>
        <v>1085.1</v>
      </c>
      <c r="K44" s="80"/>
      <c r="L44" s="80"/>
      <c r="M44" s="82"/>
      <c r="N44" s="82"/>
    </row>
    <row r="45" spans="1:14" ht="12.75">
      <c r="A45" s="16" t="s">
        <v>177</v>
      </c>
      <c r="B45" s="20" t="s">
        <v>63</v>
      </c>
      <c r="C45" s="20" t="s">
        <v>65</v>
      </c>
      <c r="D45" s="110" t="s">
        <v>468</v>
      </c>
      <c r="E45" s="110"/>
      <c r="F45" s="61">
        <f>F46</f>
        <v>1494.6</v>
      </c>
      <c r="K45" s="80"/>
      <c r="L45" s="80"/>
      <c r="M45" s="82"/>
      <c r="N45" s="82"/>
    </row>
    <row r="46" spans="1:14" ht="38.25">
      <c r="A46" s="16" t="s">
        <v>92</v>
      </c>
      <c r="B46" s="20" t="s">
        <v>63</v>
      </c>
      <c r="C46" s="20" t="s">
        <v>65</v>
      </c>
      <c r="D46" s="110" t="s">
        <v>468</v>
      </c>
      <c r="E46" s="110" t="s">
        <v>93</v>
      </c>
      <c r="F46" s="61">
        <f>F47</f>
        <v>1494.6</v>
      </c>
      <c r="K46" s="80"/>
      <c r="L46" s="80"/>
      <c r="M46" s="82"/>
      <c r="N46" s="82"/>
    </row>
    <row r="47" spans="1:14" ht="12.75">
      <c r="A47" s="16" t="s">
        <v>89</v>
      </c>
      <c r="B47" s="20" t="s">
        <v>63</v>
      </c>
      <c r="C47" s="20" t="s">
        <v>65</v>
      </c>
      <c r="D47" s="110" t="s">
        <v>468</v>
      </c>
      <c r="E47" s="110" t="s">
        <v>90</v>
      </c>
      <c r="F47" s="61">
        <f>'пр.5 вед.стр.'!G27</f>
        <v>1494.6</v>
      </c>
      <c r="K47" s="80"/>
      <c r="L47" s="80"/>
      <c r="M47" s="82"/>
      <c r="N47" s="82"/>
    </row>
    <row r="48" spans="1:14" ht="12.75">
      <c r="A48" s="16" t="s">
        <v>178</v>
      </c>
      <c r="B48" s="20" t="s">
        <v>63</v>
      </c>
      <c r="C48" s="20" t="s">
        <v>65</v>
      </c>
      <c r="D48" s="110" t="s">
        <v>469</v>
      </c>
      <c r="E48" s="110"/>
      <c r="F48" s="61">
        <f>F49</f>
        <v>48.2</v>
      </c>
      <c r="K48" s="80"/>
      <c r="L48" s="80"/>
      <c r="M48" s="82"/>
      <c r="N48" s="82"/>
    </row>
    <row r="49" spans="1:14" ht="12.75">
      <c r="A49" s="16" t="s">
        <v>333</v>
      </c>
      <c r="B49" s="20" t="s">
        <v>63</v>
      </c>
      <c r="C49" s="20" t="s">
        <v>65</v>
      </c>
      <c r="D49" s="110" t="s">
        <v>469</v>
      </c>
      <c r="E49" s="110" t="s">
        <v>94</v>
      </c>
      <c r="F49" s="61">
        <f>F50</f>
        <v>48.2</v>
      </c>
      <c r="K49" s="80"/>
      <c r="L49" s="80"/>
      <c r="M49" s="82"/>
      <c r="N49" s="82"/>
    </row>
    <row r="50" spans="1:14" ht="12.75">
      <c r="A50" s="16" t="s">
        <v>608</v>
      </c>
      <c r="B50" s="20" t="s">
        <v>63</v>
      </c>
      <c r="C50" s="20" t="s">
        <v>65</v>
      </c>
      <c r="D50" s="110" t="s">
        <v>469</v>
      </c>
      <c r="E50" s="110" t="s">
        <v>91</v>
      </c>
      <c r="F50" s="61">
        <f>'пр.5 вед.стр.'!G30</f>
        <v>48.2</v>
      </c>
      <c r="K50" s="80"/>
      <c r="L50" s="80"/>
      <c r="M50" s="82"/>
      <c r="N50" s="82"/>
    </row>
    <row r="51" spans="1:14" ht="25.5">
      <c r="A51" s="16" t="s">
        <v>277</v>
      </c>
      <c r="B51" s="20" t="s">
        <v>63</v>
      </c>
      <c r="C51" s="20" t="s">
        <v>65</v>
      </c>
      <c r="D51" s="110" t="s">
        <v>175</v>
      </c>
      <c r="E51" s="110"/>
      <c r="F51" s="61">
        <f>F52</f>
        <v>88011.59999999999</v>
      </c>
      <c r="K51" s="80"/>
      <c r="L51" s="80"/>
      <c r="M51" s="82"/>
      <c r="N51" s="82"/>
    </row>
    <row r="52" spans="1:14" ht="12.75">
      <c r="A52" s="16" t="s">
        <v>47</v>
      </c>
      <c r="B52" s="20" t="s">
        <v>63</v>
      </c>
      <c r="C52" s="20" t="s">
        <v>65</v>
      </c>
      <c r="D52" s="110" t="s">
        <v>181</v>
      </c>
      <c r="E52" s="110"/>
      <c r="F52" s="61">
        <f>F53+F56+F62+F65+F68</f>
        <v>88011.59999999999</v>
      </c>
      <c r="K52" s="80"/>
      <c r="L52" s="80"/>
      <c r="M52" s="82"/>
      <c r="N52" s="82"/>
    </row>
    <row r="53" spans="1:14" ht="12.75">
      <c r="A53" s="16" t="s">
        <v>177</v>
      </c>
      <c r="B53" s="20" t="s">
        <v>63</v>
      </c>
      <c r="C53" s="20" t="s">
        <v>65</v>
      </c>
      <c r="D53" s="110" t="s">
        <v>182</v>
      </c>
      <c r="E53" s="110"/>
      <c r="F53" s="61">
        <f>F54</f>
        <v>78208.7</v>
      </c>
      <c r="K53" s="80"/>
      <c r="L53" s="80"/>
      <c r="M53" s="82"/>
      <c r="N53" s="82"/>
    </row>
    <row r="54" spans="1:14" ht="38.25">
      <c r="A54" s="16" t="s">
        <v>92</v>
      </c>
      <c r="B54" s="20" t="s">
        <v>63</v>
      </c>
      <c r="C54" s="20" t="s">
        <v>65</v>
      </c>
      <c r="D54" s="110" t="s">
        <v>182</v>
      </c>
      <c r="E54" s="110" t="s">
        <v>93</v>
      </c>
      <c r="F54" s="61">
        <f>F55</f>
        <v>78208.7</v>
      </c>
      <c r="K54" s="80"/>
      <c r="L54" s="80"/>
      <c r="M54" s="82"/>
      <c r="N54" s="82"/>
    </row>
    <row r="55" spans="1:14" ht="12.75">
      <c r="A55" s="16" t="s">
        <v>89</v>
      </c>
      <c r="B55" s="20" t="s">
        <v>63</v>
      </c>
      <c r="C55" s="20" t="s">
        <v>65</v>
      </c>
      <c r="D55" s="110" t="s">
        <v>182</v>
      </c>
      <c r="E55" s="110" t="s">
        <v>90</v>
      </c>
      <c r="F55" s="61">
        <f>'пр.5 вед.стр.'!G35</f>
        <v>78208.7</v>
      </c>
      <c r="K55" s="80"/>
      <c r="L55" s="80"/>
      <c r="M55" s="82"/>
      <c r="N55" s="82"/>
    </row>
    <row r="56" spans="1:14" ht="12.75">
      <c r="A56" s="16" t="s">
        <v>178</v>
      </c>
      <c r="B56" s="20" t="s">
        <v>63</v>
      </c>
      <c r="C56" s="20" t="s">
        <v>65</v>
      </c>
      <c r="D56" s="110" t="s">
        <v>183</v>
      </c>
      <c r="E56" s="110"/>
      <c r="F56" s="61">
        <f>F57+F59</f>
        <v>6444.9</v>
      </c>
      <c r="K56" s="80"/>
      <c r="L56" s="80"/>
      <c r="M56" s="82"/>
      <c r="N56" s="82"/>
    </row>
    <row r="57" spans="1:14" ht="12.75">
      <c r="A57" s="16" t="s">
        <v>333</v>
      </c>
      <c r="B57" s="20" t="s">
        <v>63</v>
      </c>
      <c r="C57" s="20" t="s">
        <v>65</v>
      </c>
      <c r="D57" s="110" t="s">
        <v>183</v>
      </c>
      <c r="E57" s="110" t="s">
        <v>94</v>
      </c>
      <c r="F57" s="61">
        <f>F58</f>
        <v>3958.3999999999996</v>
      </c>
      <c r="K57" s="80"/>
      <c r="L57" s="80"/>
      <c r="M57" s="82"/>
      <c r="N57" s="82"/>
    </row>
    <row r="58" spans="1:14" ht="12.75">
      <c r="A58" s="16" t="s">
        <v>608</v>
      </c>
      <c r="B58" s="20" t="s">
        <v>63</v>
      </c>
      <c r="C58" s="20" t="s">
        <v>65</v>
      </c>
      <c r="D58" s="110" t="s">
        <v>183</v>
      </c>
      <c r="E58" s="110" t="s">
        <v>91</v>
      </c>
      <c r="F58" s="61">
        <f>'пр.5 вед.стр.'!G40+'пр.5 вед.стр.'!G878</f>
        <v>3958.3999999999996</v>
      </c>
      <c r="K58" s="80"/>
      <c r="L58" s="80"/>
      <c r="M58" s="82"/>
      <c r="N58" s="82"/>
    </row>
    <row r="59" spans="1:14" ht="12.75">
      <c r="A59" s="16" t="s">
        <v>110</v>
      </c>
      <c r="B59" s="20" t="s">
        <v>63</v>
      </c>
      <c r="C59" s="20" t="s">
        <v>65</v>
      </c>
      <c r="D59" s="110" t="s">
        <v>183</v>
      </c>
      <c r="E59" s="110" t="s">
        <v>111</v>
      </c>
      <c r="F59" s="61">
        <f>F61+F60</f>
        <v>2486.5</v>
      </c>
      <c r="K59" s="80"/>
      <c r="L59" s="80"/>
      <c r="M59" s="82"/>
      <c r="N59" s="82"/>
    </row>
    <row r="60" spans="1:14" ht="12.75">
      <c r="A60" s="16" t="str">
        <f>'пр.5 вед.стр.'!A43</f>
        <v>Исполнение судебных актов</v>
      </c>
      <c r="B60" s="20" t="s">
        <v>63</v>
      </c>
      <c r="C60" s="20" t="s">
        <v>65</v>
      </c>
      <c r="D60" s="110" t="s">
        <v>183</v>
      </c>
      <c r="E60" s="142">
        <f>'пр.5 вед.стр.'!F43</f>
        <v>830</v>
      </c>
      <c r="F60" s="61">
        <f>'пр.5 вед.стр.'!G43+'пр.5 вед.стр.'!G880</f>
        <v>1847.8</v>
      </c>
      <c r="K60" s="80"/>
      <c r="L60" s="80"/>
      <c r="M60" s="82"/>
      <c r="N60" s="82"/>
    </row>
    <row r="61" spans="1:14" ht="12.75">
      <c r="A61" s="16" t="s">
        <v>113</v>
      </c>
      <c r="B61" s="20" t="s">
        <v>63</v>
      </c>
      <c r="C61" s="20" t="s">
        <v>65</v>
      </c>
      <c r="D61" s="110" t="s">
        <v>183</v>
      </c>
      <c r="E61" s="110" t="s">
        <v>114</v>
      </c>
      <c r="F61" s="61">
        <f>'пр.5 вед.стр.'!G44+'пр.5 вед.стр.'!G881</f>
        <v>638.6999999999999</v>
      </c>
      <c r="K61" s="80"/>
      <c r="L61" s="80"/>
      <c r="M61" s="82"/>
      <c r="N61" s="82"/>
    </row>
    <row r="62" spans="1:14" ht="38.25">
      <c r="A62" s="16" t="s">
        <v>204</v>
      </c>
      <c r="B62" s="20" t="s">
        <v>63</v>
      </c>
      <c r="C62" s="20" t="s">
        <v>65</v>
      </c>
      <c r="D62" s="110" t="s">
        <v>462</v>
      </c>
      <c r="E62" s="110"/>
      <c r="F62" s="61">
        <f>F63</f>
        <v>1850</v>
      </c>
      <c r="K62" s="80"/>
      <c r="L62" s="80"/>
      <c r="M62" s="82"/>
      <c r="N62" s="82"/>
    </row>
    <row r="63" spans="1:14" ht="38.25">
      <c r="A63" s="16" t="s">
        <v>92</v>
      </c>
      <c r="B63" s="20" t="s">
        <v>63</v>
      </c>
      <c r="C63" s="20" t="s">
        <v>65</v>
      </c>
      <c r="D63" s="110" t="s">
        <v>462</v>
      </c>
      <c r="E63" s="110" t="s">
        <v>93</v>
      </c>
      <c r="F63" s="61">
        <f>F64</f>
        <v>1850</v>
      </c>
      <c r="K63" s="80"/>
      <c r="L63" s="80"/>
      <c r="M63" s="82"/>
      <c r="N63" s="82"/>
    </row>
    <row r="64" spans="1:14" ht="12.75">
      <c r="A64" s="16" t="s">
        <v>89</v>
      </c>
      <c r="B64" s="20" t="s">
        <v>63</v>
      </c>
      <c r="C64" s="20" t="s">
        <v>65</v>
      </c>
      <c r="D64" s="110" t="s">
        <v>462</v>
      </c>
      <c r="E64" s="110" t="s">
        <v>90</v>
      </c>
      <c r="F64" s="61">
        <f>'пр.5 вед.стр.'!G47</f>
        <v>1850</v>
      </c>
      <c r="K64" s="80"/>
      <c r="L64" s="80"/>
      <c r="M64" s="82"/>
      <c r="N64" s="82"/>
    </row>
    <row r="65" spans="1:14" ht="12.75">
      <c r="A65" s="16" t="s">
        <v>176</v>
      </c>
      <c r="B65" s="20" t="s">
        <v>63</v>
      </c>
      <c r="C65" s="20" t="s">
        <v>65</v>
      </c>
      <c r="D65" s="110" t="s">
        <v>463</v>
      </c>
      <c r="E65" s="110"/>
      <c r="F65" s="61">
        <f>F66</f>
        <v>115</v>
      </c>
      <c r="K65" s="80"/>
      <c r="L65" s="80"/>
      <c r="M65" s="82"/>
      <c r="N65" s="82"/>
    </row>
    <row r="66" spans="1:14" ht="38.25">
      <c r="A66" s="16" t="s">
        <v>92</v>
      </c>
      <c r="B66" s="20" t="s">
        <v>63</v>
      </c>
      <c r="C66" s="20" t="s">
        <v>65</v>
      </c>
      <c r="D66" s="110" t="s">
        <v>463</v>
      </c>
      <c r="E66" s="110" t="s">
        <v>93</v>
      </c>
      <c r="F66" s="61">
        <f>F67</f>
        <v>115</v>
      </c>
      <c r="K66" s="80"/>
      <c r="L66" s="80"/>
      <c r="M66" s="82"/>
      <c r="N66" s="82"/>
    </row>
    <row r="67" spans="1:14" ht="12.75">
      <c r="A67" s="16" t="s">
        <v>89</v>
      </c>
      <c r="B67" s="20" t="s">
        <v>63</v>
      </c>
      <c r="C67" s="20" t="s">
        <v>65</v>
      </c>
      <c r="D67" s="110" t="s">
        <v>463</v>
      </c>
      <c r="E67" s="110" t="s">
        <v>90</v>
      </c>
      <c r="F67" s="61">
        <f>'пр.5 вед.стр.'!G50</f>
        <v>115</v>
      </c>
      <c r="K67" s="80"/>
      <c r="L67" s="80"/>
      <c r="M67" s="82"/>
      <c r="N67" s="82"/>
    </row>
    <row r="68" spans="1:14" ht="25.5">
      <c r="A68" s="16" t="str">
        <f>'пр.5 вед.стр.'!A36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68" s="20" t="s">
        <v>63</v>
      </c>
      <c r="C68" s="20" t="s">
        <v>65</v>
      </c>
      <c r="D68" s="110" t="str">
        <f>'пр.5 вед.стр.'!E36</f>
        <v>Р2 4 00 55500</v>
      </c>
      <c r="E68" s="110"/>
      <c r="F68" s="61">
        <f>F69</f>
        <v>1393</v>
      </c>
      <c r="K68" s="80"/>
      <c r="L68" s="80"/>
      <c r="M68" s="82"/>
      <c r="N68" s="82"/>
    </row>
    <row r="69" spans="1:14" ht="38.25">
      <c r="A69" s="16" t="str">
        <f>'пр.5 вед.стр.'!A37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9" s="20" t="s">
        <v>63</v>
      </c>
      <c r="C69" s="20" t="s">
        <v>65</v>
      </c>
      <c r="D69" s="110" t="str">
        <f>'пр.5 вед.стр.'!E37</f>
        <v>Р2 4 00 55500</v>
      </c>
      <c r="E69" s="110" t="s">
        <v>93</v>
      </c>
      <c r="F69" s="61">
        <f>F70</f>
        <v>1393</v>
      </c>
      <c r="K69" s="80"/>
      <c r="L69" s="80"/>
      <c r="M69" s="82"/>
      <c r="N69" s="82"/>
    </row>
    <row r="70" spans="1:14" ht="12.75">
      <c r="A70" s="16" t="str">
        <f>'пр.5 вед.стр.'!A38</f>
        <v>Расходы на выплаты персоналу государственных (муниципальных) органов</v>
      </c>
      <c r="B70" s="20" t="s">
        <v>63</v>
      </c>
      <c r="C70" s="20" t="s">
        <v>65</v>
      </c>
      <c r="D70" s="110" t="str">
        <f>'пр.5 вед.стр.'!E38</f>
        <v>Р2 4 00 55500</v>
      </c>
      <c r="E70" s="110" t="s">
        <v>90</v>
      </c>
      <c r="F70" s="61">
        <f>'пр.5 вед.стр.'!G38</f>
        <v>1393</v>
      </c>
      <c r="K70" s="80"/>
      <c r="L70" s="80"/>
      <c r="M70" s="82"/>
      <c r="N70" s="82"/>
    </row>
    <row r="71" spans="1:6" ht="25.5">
      <c r="A71" s="15" t="s">
        <v>76</v>
      </c>
      <c r="B71" s="32" t="s">
        <v>63</v>
      </c>
      <c r="C71" s="32" t="s">
        <v>73</v>
      </c>
      <c r="D71" s="113"/>
      <c r="E71" s="113"/>
      <c r="F71" s="174">
        <f>F72</f>
        <v>22543.399999999998</v>
      </c>
    </row>
    <row r="72" spans="1:6" ht="25.5">
      <c r="A72" s="16" t="s">
        <v>277</v>
      </c>
      <c r="B72" s="20" t="s">
        <v>63</v>
      </c>
      <c r="C72" s="20" t="s">
        <v>73</v>
      </c>
      <c r="D72" s="110" t="s">
        <v>175</v>
      </c>
      <c r="E72" s="110"/>
      <c r="F72" s="61">
        <f>F73+F77</f>
        <v>22543.399999999998</v>
      </c>
    </row>
    <row r="73" spans="1:6" ht="12.75">
      <c r="A73" s="30" t="s">
        <v>20</v>
      </c>
      <c r="B73" s="20" t="s">
        <v>63</v>
      </c>
      <c r="C73" s="20" t="s">
        <v>73</v>
      </c>
      <c r="D73" s="110" t="s">
        <v>179</v>
      </c>
      <c r="E73" s="110"/>
      <c r="F73" s="61">
        <f>F74</f>
        <v>3837</v>
      </c>
    </row>
    <row r="74" spans="1:6" ht="12.75">
      <c r="A74" s="16" t="s">
        <v>177</v>
      </c>
      <c r="B74" s="20" t="s">
        <v>63</v>
      </c>
      <c r="C74" s="20" t="s">
        <v>73</v>
      </c>
      <c r="D74" s="110" t="s">
        <v>180</v>
      </c>
      <c r="E74" s="110"/>
      <c r="F74" s="61">
        <f>F75</f>
        <v>3837</v>
      </c>
    </row>
    <row r="75" spans="1:6" ht="38.25">
      <c r="A75" s="16" t="s">
        <v>92</v>
      </c>
      <c r="B75" s="20" t="s">
        <v>63</v>
      </c>
      <c r="C75" s="20" t="s">
        <v>73</v>
      </c>
      <c r="D75" s="110" t="s">
        <v>180</v>
      </c>
      <c r="E75" s="110" t="s">
        <v>93</v>
      </c>
      <c r="F75" s="61">
        <f>F76</f>
        <v>3837</v>
      </c>
    </row>
    <row r="76" spans="1:6" ht="12.75">
      <c r="A76" s="16" t="s">
        <v>89</v>
      </c>
      <c r="B76" s="20" t="s">
        <v>63</v>
      </c>
      <c r="C76" s="20" t="s">
        <v>73</v>
      </c>
      <c r="D76" s="110" t="s">
        <v>180</v>
      </c>
      <c r="E76" s="110" t="s">
        <v>90</v>
      </c>
      <c r="F76" s="61">
        <f>'пр.5 вед.стр.'!G285</f>
        <v>3837</v>
      </c>
    </row>
    <row r="77" spans="1:6" ht="12.75">
      <c r="A77" s="16" t="s">
        <v>47</v>
      </c>
      <c r="B77" s="20" t="s">
        <v>63</v>
      </c>
      <c r="C77" s="20" t="s">
        <v>73</v>
      </c>
      <c r="D77" s="110" t="s">
        <v>181</v>
      </c>
      <c r="E77" s="110"/>
      <c r="F77" s="61">
        <f>F78+F81+F87+F90+F93</f>
        <v>18706.399999999998</v>
      </c>
    </row>
    <row r="78" spans="1:6" ht="12.75">
      <c r="A78" s="16" t="s">
        <v>177</v>
      </c>
      <c r="B78" s="20" t="s">
        <v>63</v>
      </c>
      <c r="C78" s="20" t="s">
        <v>73</v>
      </c>
      <c r="D78" s="110" t="s">
        <v>182</v>
      </c>
      <c r="E78" s="110"/>
      <c r="F78" s="61">
        <f>F79</f>
        <v>17131.8</v>
      </c>
    </row>
    <row r="79" spans="1:6" ht="38.25">
      <c r="A79" s="16" t="s">
        <v>92</v>
      </c>
      <c r="B79" s="20" t="s">
        <v>63</v>
      </c>
      <c r="C79" s="20" t="s">
        <v>73</v>
      </c>
      <c r="D79" s="110" t="s">
        <v>182</v>
      </c>
      <c r="E79" s="110" t="s">
        <v>93</v>
      </c>
      <c r="F79" s="61">
        <f>F80</f>
        <v>17131.8</v>
      </c>
    </row>
    <row r="80" spans="1:6" ht="12.75">
      <c r="A80" s="16" t="s">
        <v>89</v>
      </c>
      <c r="B80" s="20" t="s">
        <v>63</v>
      </c>
      <c r="C80" s="20" t="s">
        <v>73</v>
      </c>
      <c r="D80" s="110" t="s">
        <v>182</v>
      </c>
      <c r="E80" s="110" t="s">
        <v>90</v>
      </c>
      <c r="F80" s="61">
        <f>'пр.5 вед.стр.'!G230+'пр.5 вед.стр.'!G289</f>
        <v>17131.8</v>
      </c>
    </row>
    <row r="81" spans="1:6" ht="12.75">
      <c r="A81" s="16" t="s">
        <v>178</v>
      </c>
      <c r="B81" s="20" t="s">
        <v>63</v>
      </c>
      <c r="C81" s="20" t="s">
        <v>73</v>
      </c>
      <c r="D81" s="110" t="s">
        <v>183</v>
      </c>
      <c r="E81" s="110"/>
      <c r="F81" s="61">
        <f>F82+F84</f>
        <v>945.3</v>
      </c>
    </row>
    <row r="82" spans="1:6" ht="12.75">
      <c r="A82" s="16" t="s">
        <v>333</v>
      </c>
      <c r="B82" s="20" t="s">
        <v>63</v>
      </c>
      <c r="C82" s="20" t="s">
        <v>73</v>
      </c>
      <c r="D82" s="110" t="s">
        <v>183</v>
      </c>
      <c r="E82" s="110" t="s">
        <v>94</v>
      </c>
      <c r="F82" s="61">
        <f>F83</f>
        <v>941.5</v>
      </c>
    </row>
    <row r="83" spans="1:6" ht="12.75">
      <c r="A83" s="16" t="s">
        <v>608</v>
      </c>
      <c r="B83" s="20" t="s">
        <v>63</v>
      </c>
      <c r="C83" s="20" t="s">
        <v>73</v>
      </c>
      <c r="D83" s="110" t="s">
        <v>183</v>
      </c>
      <c r="E83" s="110" t="s">
        <v>91</v>
      </c>
      <c r="F83" s="61">
        <f>'пр.5 вед.стр.'!G236+'пр.5 вед.стр.'!G292</f>
        <v>941.5</v>
      </c>
    </row>
    <row r="84" spans="1:6" ht="12.75">
      <c r="A84" s="16" t="s">
        <v>110</v>
      </c>
      <c r="B84" s="20" t="s">
        <v>63</v>
      </c>
      <c r="C84" s="20" t="s">
        <v>73</v>
      </c>
      <c r="D84" s="110" t="s">
        <v>183</v>
      </c>
      <c r="E84" s="110" t="s">
        <v>111</v>
      </c>
      <c r="F84" s="61">
        <f>F86+F85</f>
        <v>3.8</v>
      </c>
    </row>
    <row r="85" spans="1:6" ht="12.75">
      <c r="A85" s="16" t="str">
        <f>'пр.5 вед.стр.'!A238</f>
        <v>Исполнение судебных актов</v>
      </c>
      <c r="B85" s="20" t="s">
        <v>63</v>
      </c>
      <c r="C85" s="20" t="s">
        <v>73</v>
      </c>
      <c r="D85" s="110" t="s">
        <v>183</v>
      </c>
      <c r="E85" s="142">
        <f>'пр.5 вед.стр.'!F238</f>
        <v>830</v>
      </c>
      <c r="F85" s="61">
        <f>'пр.5 вед.стр.'!G238</f>
        <v>1.3</v>
      </c>
    </row>
    <row r="86" spans="1:6" ht="12.75">
      <c r="A86" s="16" t="s">
        <v>113</v>
      </c>
      <c r="B86" s="20" t="s">
        <v>63</v>
      </c>
      <c r="C86" s="20" t="s">
        <v>73</v>
      </c>
      <c r="D86" s="110" t="s">
        <v>183</v>
      </c>
      <c r="E86" s="110" t="s">
        <v>114</v>
      </c>
      <c r="F86" s="61">
        <f>'пр.5 вед.стр.'!G239</f>
        <v>2.5</v>
      </c>
    </row>
    <row r="87" spans="1:6" ht="38.25">
      <c r="A87" s="16" t="s">
        <v>204</v>
      </c>
      <c r="B87" s="20" t="s">
        <v>63</v>
      </c>
      <c r="C87" s="20" t="s">
        <v>73</v>
      </c>
      <c r="D87" s="110" t="s">
        <v>462</v>
      </c>
      <c r="E87" s="110"/>
      <c r="F87" s="61">
        <f>F88</f>
        <v>333.5</v>
      </c>
    </row>
    <row r="88" spans="1:6" ht="38.25">
      <c r="A88" s="16" t="s">
        <v>92</v>
      </c>
      <c r="B88" s="20" t="s">
        <v>63</v>
      </c>
      <c r="C88" s="20" t="s">
        <v>73</v>
      </c>
      <c r="D88" s="110" t="s">
        <v>462</v>
      </c>
      <c r="E88" s="110" t="s">
        <v>93</v>
      </c>
      <c r="F88" s="61">
        <f>F89</f>
        <v>333.5</v>
      </c>
    </row>
    <row r="89" spans="1:6" ht="12.75">
      <c r="A89" s="16" t="s">
        <v>89</v>
      </c>
      <c r="B89" s="20" t="s">
        <v>63</v>
      </c>
      <c r="C89" s="20" t="s">
        <v>73</v>
      </c>
      <c r="D89" s="110" t="s">
        <v>462</v>
      </c>
      <c r="E89" s="110" t="s">
        <v>90</v>
      </c>
      <c r="F89" s="61">
        <f>'пр.5 вед.стр.'!G242+'пр.5 вед.стр.'!G295</f>
        <v>333.5</v>
      </c>
    </row>
    <row r="90" spans="1:6" ht="12.75">
      <c r="A90" s="16" t="s">
        <v>176</v>
      </c>
      <c r="B90" s="20" t="s">
        <v>63</v>
      </c>
      <c r="C90" s="20" t="s">
        <v>73</v>
      </c>
      <c r="D90" s="110" t="s">
        <v>463</v>
      </c>
      <c r="E90" s="110"/>
      <c r="F90" s="61">
        <f>F91</f>
        <v>42.8</v>
      </c>
    </row>
    <row r="91" spans="1:6" ht="38.25">
      <c r="A91" s="16" t="s">
        <v>92</v>
      </c>
      <c r="B91" s="20" t="s">
        <v>63</v>
      </c>
      <c r="C91" s="20" t="s">
        <v>73</v>
      </c>
      <c r="D91" s="110" t="s">
        <v>463</v>
      </c>
      <c r="E91" s="110" t="s">
        <v>93</v>
      </c>
      <c r="F91" s="61">
        <f>F92</f>
        <v>42.8</v>
      </c>
    </row>
    <row r="92" spans="1:6" ht="12.75">
      <c r="A92" s="16" t="s">
        <v>89</v>
      </c>
      <c r="B92" s="20" t="s">
        <v>63</v>
      </c>
      <c r="C92" s="20" t="s">
        <v>73</v>
      </c>
      <c r="D92" s="110" t="s">
        <v>463</v>
      </c>
      <c r="E92" s="110" t="s">
        <v>90</v>
      </c>
      <c r="F92" s="61">
        <f>'пр.5 вед.стр.'!G298+'пр.5 вед.стр.'!G245</f>
        <v>42.8</v>
      </c>
    </row>
    <row r="93" spans="1:6" ht="25.5">
      <c r="A93" s="16" t="str">
        <f>'пр.5 вед.стр.'!A231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93" s="20" t="s">
        <v>63</v>
      </c>
      <c r="C93" s="20" t="s">
        <v>73</v>
      </c>
      <c r="D93" s="110" t="str">
        <f>'пр.5 вед.стр.'!E231</f>
        <v>Р2 4 00 55500</v>
      </c>
      <c r="E93" s="110"/>
      <c r="F93" s="61">
        <f>F94</f>
        <v>253</v>
      </c>
    </row>
    <row r="94" spans="1:6" ht="38.25">
      <c r="A94" s="16" t="str">
        <f>'пр.5 вед.стр.'!A232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4" s="20" t="s">
        <v>63</v>
      </c>
      <c r="C94" s="20" t="s">
        <v>73</v>
      </c>
      <c r="D94" s="110" t="str">
        <f>'пр.5 вед.стр.'!E232</f>
        <v>Р2 4 00 55500</v>
      </c>
      <c r="E94" s="110" t="s">
        <v>93</v>
      </c>
      <c r="F94" s="61">
        <f>F95</f>
        <v>253</v>
      </c>
    </row>
    <row r="95" spans="1:6" ht="12.75">
      <c r="A95" s="16" t="str">
        <f>'пр.5 вед.стр.'!A233</f>
        <v>Расходы на выплаты персоналу государственных (муниципальных) органов</v>
      </c>
      <c r="B95" s="20" t="s">
        <v>63</v>
      </c>
      <c r="C95" s="20" t="s">
        <v>73</v>
      </c>
      <c r="D95" s="110" t="str">
        <f>'пр.5 вед.стр.'!E233</f>
        <v>Р2 4 00 55500</v>
      </c>
      <c r="E95" s="110" t="s">
        <v>90</v>
      </c>
      <c r="F95" s="61">
        <f>'пр.5 вед.стр.'!G233</f>
        <v>253</v>
      </c>
    </row>
    <row r="96" spans="1:6" ht="12.75">
      <c r="A96" s="15" t="s">
        <v>3</v>
      </c>
      <c r="B96" s="32" t="s">
        <v>63</v>
      </c>
      <c r="C96" s="32" t="s">
        <v>71</v>
      </c>
      <c r="D96" s="113"/>
      <c r="E96" s="113"/>
      <c r="F96" s="174">
        <f>F97</f>
        <v>200.50000000000003</v>
      </c>
    </row>
    <row r="97" spans="1:6" ht="12.75">
      <c r="A97" s="16" t="s">
        <v>3</v>
      </c>
      <c r="B97" s="20" t="s">
        <v>63</v>
      </c>
      <c r="C97" s="20" t="s">
        <v>71</v>
      </c>
      <c r="D97" s="110" t="s">
        <v>488</v>
      </c>
      <c r="E97" s="110"/>
      <c r="F97" s="61">
        <f>F98</f>
        <v>200.50000000000003</v>
      </c>
    </row>
    <row r="98" spans="1:6" ht="12.75">
      <c r="A98" s="16" t="s">
        <v>269</v>
      </c>
      <c r="B98" s="20" t="s">
        <v>63</v>
      </c>
      <c r="C98" s="20" t="s">
        <v>71</v>
      </c>
      <c r="D98" s="110" t="s">
        <v>489</v>
      </c>
      <c r="E98" s="110"/>
      <c r="F98" s="61">
        <f>F99</f>
        <v>200.50000000000003</v>
      </c>
    </row>
    <row r="99" spans="1:6" ht="12.75">
      <c r="A99" s="16" t="s">
        <v>110</v>
      </c>
      <c r="B99" s="20" t="s">
        <v>63</v>
      </c>
      <c r="C99" s="20" t="s">
        <v>71</v>
      </c>
      <c r="D99" s="110" t="s">
        <v>489</v>
      </c>
      <c r="E99" s="110" t="s">
        <v>111</v>
      </c>
      <c r="F99" s="61">
        <f>F100</f>
        <v>200.50000000000003</v>
      </c>
    </row>
    <row r="100" spans="1:6" ht="12.75">
      <c r="A100" s="16" t="s">
        <v>117</v>
      </c>
      <c r="B100" s="20" t="s">
        <v>63</v>
      </c>
      <c r="C100" s="20" t="s">
        <v>71</v>
      </c>
      <c r="D100" s="110" t="s">
        <v>489</v>
      </c>
      <c r="E100" s="110" t="s">
        <v>118</v>
      </c>
      <c r="F100" s="61">
        <f>'пр.5 вед.стр.'!G250</f>
        <v>200.50000000000003</v>
      </c>
    </row>
    <row r="101" spans="1:14" ht="12.75">
      <c r="A101" s="15" t="s">
        <v>60</v>
      </c>
      <c r="B101" s="32" t="s">
        <v>63</v>
      </c>
      <c r="C101" s="32" t="s">
        <v>84</v>
      </c>
      <c r="D101" s="113"/>
      <c r="E101" s="113"/>
      <c r="F101" s="174">
        <f>F102+F118+F137+F127+F131</f>
        <v>55728.9</v>
      </c>
      <c r="K101" s="80"/>
      <c r="L101" s="80"/>
      <c r="M101" s="82"/>
      <c r="N101" s="82"/>
    </row>
    <row r="102" spans="1:6" ht="12.75">
      <c r="A102" s="16" t="s">
        <v>292</v>
      </c>
      <c r="B102" s="20" t="s">
        <v>63</v>
      </c>
      <c r="C102" s="20" t="s">
        <v>84</v>
      </c>
      <c r="D102" s="115" t="s">
        <v>494</v>
      </c>
      <c r="E102" s="113"/>
      <c r="F102" s="174">
        <f>F103+F110+F113</f>
        <v>49250.5</v>
      </c>
    </row>
    <row r="103" spans="1:6" ht="12.75">
      <c r="A103" s="16" t="s">
        <v>185</v>
      </c>
      <c r="B103" s="20" t="s">
        <v>63</v>
      </c>
      <c r="C103" s="20" t="s">
        <v>84</v>
      </c>
      <c r="D103" s="115" t="s">
        <v>495</v>
      </c>
      <c r="E103" s="113"/>
      <c r="F103" s="174">
        <f>F104+F106+F108</f>
        <v>48042.2</v>
      </c>
    </row>
    <row r="104" spans="1:6" ht="38.25">
      <c r="A104" s="16" t="s">
        <v>92</v>
      </c>
      <c r="B104" s="20" t="s">
        <v>63</v>
      </c>
      <c r="C104" s="20" t="s">
        <v>84</v>
      </c>
      <c r="D104" s="115" t="s">
        <v>495</v>
      </c>
      <c r="E104" s="110" t="s">
        <v>93</v>
      </c>
      <c r="F104" s="61">
        <f>F105</f>
        <v>34547.299999999996</v>
      </c>
    </row>
    <row r="105" spans="1:6" ht="12.75">
      <c r="A105" s="16" t="s">
        <v>208</v>
      </c>
      <c r="B105" s="20" t="s">
        <v>63</v>
      </c>
      <c r="C105" s="20" t="s">
        <v>84</v>
      </c>
      <c r="D105" s="115" t="s">
        <v>495</v>
      </c>
      <c r="E105" s="110" t="s">
        <v>209</v>
      </c>
      <c r="F105" s="61">
        <f>'пр.5 вед.стр.'!G319</f>
        <v>34547.299999999996</v>
      </c>
    </row>
    <row r="106" spans="1:6" ht="12.75">
      <c r="A106" s="16" t="s">
        <v>333</v>
      </c>
      <c r="B106" s="20" t="s">
        <v>63</v>
      </c>
      <c r="C106" s="20" t="s">
        <v>84</v>
      </c>
      <c r="D106" s="115" t="s">
        <v>495</v>
      </c>
      <c r="E106" s="110" t="s">
        <v>94</v>
      </c>
      <c r="F106" s="61">
        <f>F107</f>
        <v>13203.5</v>
      </c>
    </row>
    <row r="107" spans="1:6" ht="12.75">
      <c r="A107" s="16" t="s">
        <v>608</v>
      </c>
      <c r="B107" s="20" t="s">
        <v>63</v>
      </c>
      <c r="C107" s="20" t="s">
        <v>84</v>
      </c>
      <c r="D107" s="115" t="s">
        <v>495</v>
      </c>
      <c r="E107" s="110" t="s">
        <v>91</v>
      </c>
      <c r="F107" s="61">
        <f>'пр.5 вед.стр.'!G321</f>
        <v>13203.5</v>
      </c>
    </row>
    <row r="108" spans="1:6" ht="12.75">
      <c r="A108" s="16" t="s">
        <v>110</v>
      </c>
      <c r="B108" s="20" t="s">
        <v>63</v>
      </c>
      <c r="C108" s="20" t="s">
        <v>84</v>
      </c>
      <c r="D108" s="115" t="s">
        <v>495</v>
      </c>
      <c r="E108" s="110" t="s">
        <v>111</v>
      </c>
      <c r="F108" s="61">
        <f>F109</f>
        <v>291.4</v>
      </c>
    </row>
    <row r="109" spans="1:6" ht="12.75">
      <c r="A109" s="16" t="s">
        <v>113</v>
      </c>
      <c r="B109" s="20" t="s">
        <v>63</v>
      </c>
      <c r="C109" s="20" t="s">
        <v>84</v>
      </c>
      <c r="D109" s="115" t="s">
        <v>495</v>
      </c>
      <c r="E109" s="110" t="s">
        <v>114</v>
      </c>
      <c r="F109" s="61">
        <f>'пр.5 вед.стр.'!G323</f>
        <v>291.4</v>
      </c>
    </row>
    <row r="110" spans="1:6" ht="38.25">
      <c r="A110" s="16" t="s">
        <v>204</v>
      </c>
      <c r="B110" s="20" t="s">
        <v>63</v>
      </c>
      <c r="C110" s="20" t="s">
        <v>84</v>
      </c>
      <c r="D110" s="115" t="s">
        <v>496</v>
      </c>
      <c r="E110" s="110"/>
      <c r="F110" s="61">
        <f>F111</f>
        <v>668.8</v>
      </c>
    </row>
    <row r="111" spans="1:6" ht="38.25">
      <c r="A111" s="16" t="s">
        <v>92</v>
      </c>
      <c r="B111" s="20" t="s">
        <v>63</v>
      </c>
      <c r="C111" s="20" t="s">
        <v>84</v>
      </c>
      <c r="D111" s="115" t="s">
        <v>496</v>
      </c>
      <c r="E111" s="110" t="s">
        <v>93</v>
      </c>
      <c r="F111" s="61">
        <f>F112</f>
        <v>668.8</v>
      </c>
    </row>
    <row r="112" spans="1:6" ht="12.75">
      <c r="A112" s="16" t="s">
        <v>208</v>
      </c>
      <c r="B112" s="20" t="s">
        <v>63</v>
      </c>
      <c r="C112" s="20" t="s">
        <v>84</v>
      </c>
      <c r="D112" s="115" t="s">
        <v>496</v>
      </c>
      <c r="E112" s="110" t="s">
        <v>209</v>
      </c>
      <c r="F112" s="61">
        <f>'пр.5 вед.стр.'!G326</f>
        <v>668.8</v>
      </c>
    </row>
    <row r="113" spans="1:6" ht="12.75">
      <c r="A113" s="16" t="s">
        <v>176</v>
      </c>
      <c r="B113" s="20" t="s">
        <v>63</v>
      </c>
      <c r="C113" s="20" t="s">
        <v>84</v>
      </c>
      <c r="D113" s="115" t="s">
        <v>497</v>
      </c>
      <c r="E113" s="110"/>
      <c r="F113" s="61">
        <f>F114+F116</f>
        <v>539.5</v>
      </c>
    </row>
    <row r="114" spans="1:6" ht="38.25">
      <c r="A114" s="16" t="s">
        <v>92</v>
      </c>
      <c r="B114" s="20" t="s">
        <v>63</v>
      </c>
      <c r="C114" s="20" t="s">
        <v>84</v>
      </c>
      <c r="D114" s="115" t="s">
        <v>497</v>
      </c>
      <c r="E114" s="110" t="s">
        <v>93</v>
      </c>
      <c r="F114" s="61">
        <f>F115</f>
        <v>47.80000000000007</v>
      </c>
    </row>
    <row r="115" spans="1:6" ht="12.75">
      <c r="A115" s="16" t="s">
        <v>208</v>
      </c>
      <c r="B115" s="20" t="s">
        <v>63</v>
      </c>
      <c r="C115" s="20" t="s">
        <v>84</v>
      </c>
      <c r="D115" s="115" t="s">
        <v>497</v>
      </c>
      <c r="E115" s="110" t="s">
        <v>209</v>
      </c>
      <c r="F115" s="61">
        <f>'пр.5 вед.стр.'!G329</f>
        <v>47.80000000000007</v>
      </c>
    </row>
    <row r="116" spans="1:6" ht="12.75">
      <c r="A116" s="16" t="str">
        <f>'пр.5 вед.стр.'!A330</f>
        <v>Социальное обеспечение и иные выплаты населению</v>
      </c>
      <c r="B116" s="20" t="s">
        <v>63</v>
      </c>
      <c r="C116" s="20" t="s">
        <v>84</v>
      </c>
      <c r="D116" s="115" t="s">
        <v>497</v>
      </c>
      <c r="E116" s="142">
        <v>300</v>
      </c>
      <c r="F116" s="61">
        <f>F117</f>
        <v>491.7</v>
      </c>
    </row>
    <row r="117" spans="1:6" ht="12.75">
      <c r="A117" s="16" t="str">
        <f>'пр.5 вед.стр.'!A331</f>
        <v>Социальные выплаты гражданам, кроме публичных нормативных социальных выплат</v>
      </c>
      <c r="B117" s="20" t="s">
        <v>63</v>
      </c>
      <c r="C117" s="20" t="s">
        <v>84</v>
      </c>
      <c r="D117" s="115" t="s">
        <v>497</v>
      </c>
      <c r="E117" s="142">
        <v>320</v>
      </c>
      <c r="F117" s="61">
        <f>'пр.5 вед.стр.'!G331</f>
        <v>491.7</v>
      </c>
    </row>
    <row r="118" spans="1:6" ht="25.5">
      <c r="A118" s="30" t="s">
        <v>169</v>
      </c>
      <c r="B118" s="20" t="s">
        <v>63</v>
      </c>
      <c r="C118" s="20" t="s">
        <v>84</v>
      </c>
      <c r="D118" s="110" t="s">
        <v>498</v>
      </c>
      <c r="E118" s="110"/>
      <c r="F118" s="61">
        <f>F119+F122</f>
        <v>2382.3</v>
      </c>
    </row>
    <row r="119" spans="1:6" ht="12.75">
      <c r="A119" s="30" t="s">
        <v>266</v>
      </c>
      <c r="B119" s="20" t="s">
        <v>63</v>
      </c>
      <c r="C119" s="20" t="s">
        <v>84</v>
      </c>
      <c r="D119" s="110" t="s">
        <v>499</v>
      </c>
      <c r="E119" s="110"/>
      <c r="F119" s="61">
        <f>F120</f>
        <v>1713.4</v>
      </c>
    </row>
    <row r="120" spans="1:6" ht="12.75">
      <c r="A120" s="16" t="s">
        <v>333</v>
      </c>
      <c r="B120" s="20" t="s">
        <v>63</v>
      </c>
      <c r="C120" s="20" t="s">
        <v>84</v>
      </c>
      <c r="D120" s="110" t="s">
        <v>499</v>
      </c>
      <c r="E120" s="110" t="s">
        <v>94</v>
      </c>
      <c r="F120" s="61">
        <f>F121</f>
        <v>1713.4</v>
      </c>
    </row>
    <row r="121" spans="1:6" ht="12.75">
      <c r="A121" s="16" t="s">
        <v>608</v>
      </c>
      <c r="B121" s="20" t="s">
        <v>63</v>
      </c>
      <c r="C121" s="20" t="s">
        <v>84</v>
      </c>
      <c r="D121" s="110" t="s">
        <v>499</v>
      </c>
      <c r="E121" s="110" t="s">
        <v>91</v>
      </c>
      <c r="F121" s="61">
        <f>'пр.5 вед.стр.'!G335</f>
        <v>1713.4</v>
      </c>
    </row>
    <row r="122" spans="1:6" ht="25.5">
      <c r="A122" s="30" t="s">
        <v>591</v>
      </c>
      <c r="B122" s="20" t="s">
        <v>63</v>
      </c>
      <c r="C122" s="20" t="s">
        <v>84</v>
      </c>
      <c r="D122" s="110" t="s">
        <v>500</v>
      </c>
      <c r="E122" s="110"/>
      <c r="F122" s="61">
        <f>F123+F125</f>
        <v>668.9</v>
      </c>
    </row>
    <row r="123" spans="1:6" ht="12.75">
      <c r="A123" s="16" t="s">
        <v>333</v>
      </c>
      <c r="B123" s="20" t="s">
        <v>63</v>
      </c>
      <c r="C123" s="20" t="s">
        <v>84</v>
      </c>
      <c r="D123" s="110" t="s">
        <v>500</v>
      </c>
      <c r="E123" s="110" t="s">
        <v>94</v>
      </c>
      <c r="F123" s="61">
        <f>F124</f>
        <v>528.9</v>
      </c>
    </row>
    <row r="124" spans="1:6" ht="12.75">
      <c r="A124" s="16" t="s">
        <v>608</v>
      </c>
      <c r="B124" s="20" t="s">
        <v>63</v>
      </c>
      <c r="C124" s="20" t="s">
        <v>84</v>
      </c>
      <c r="D124" s="110" t="s">
        <v>500</v>
      </c>
      <c r="E124" s="110" t="s">
        <v>91</v>
      </c>
      <c r="F124" s="61">
        <f>'пр.5 вед.стр.'!G338+'пр.5 вед.стр.'!G886</f>
        <v>528.9</v>
      </c>
    </row>
    <row r="125" spans="1:6" ht="12.75">
      <c r="A125" s="16" t="s">
        <v>110</v>
      </c>
      <c r="B125" s="20" t="s">
        <v>63</v>
      </c>
      <c r="C125" s="20" t="s">
        <v>84</v>
      </c>
      <c r="D125" s="110" t="s">
        <v>500</v>
      </c>
      <c r="E125" s="110" t="s">
        <v>111</v>
      </c>
      <c r="F125" s="61">
        <f>F126</f>
        <v>140</v>
      </c>
    </row>
    <row r="126" spans="1:6" ht="12.75">
      <c r="A126" s="16" t="str">
        <f>'пр.5 вед.стр.'!A340</f>
        <v>Исполнение судебных актов</v>
      </c>
      <c r="B126" s="20" t="s">
        <v>63</v>
      </c>
      <c r="C126" s="20" t="s">
        <v>84</v>
      </c>
      <c r="D126" s="110" t="s">
        <v>500</v>
      </c>
      <c r="E126" s="142">
        <v>830</v>
      </c>
      <c r="F126" s="61">
        <f>'пр.5 вед.стр.'!G340</f>
        <v>140</v>
      </c>
    </row>
    <row r="127" spans="1:6" ht="25.5">
      <c r="A127" s="185" t="s">
        <v>470</v>
      </c>
      <c r="B127" s="20" t="s">
        <v>63</v>
      </c>
      <c r="C127" s="20" t="s">
        <v>84</v>
      </c>
      <c r="D127" s="110" t="s">
        <v>471</v>
      </c>
      <c r="E127" s="110"/>
      <c r="F127" s="61">
        <f>F128</f>
        <v>695.5999999999999</v>
      </c>
    </row>
    <row r="128" spans="1:6" ht="25.5">
      <c r="A128" s="16" t="s">
        <v>472</v>
      </c>
      <c r="B128" s="20" t="s">
        <v>63</v>
      </c>
      <c r="C128" s="20" t="s">
        <v>84</v>
      </c>
      <c r="D128" s="110" t="s">
        <v>473</v>
      </c>
      <c r="E128" s="110"/>
      <c r="F128" s="61">
        <f>F129</f>
        <v>695.5999999999999</v>
      </c>
    </row>
    <row r="129" spans="1:6" ht="38.25">
      <c r="A129" s="16" t="s">
        <v>92</v>
      </c>
      <c r="B129" s="20" t="s">
        <v>63</v>
      </c>
      <c r="C129" s="20" t="s">
        <v>84</v>
      </c>
      <c r="D129" s="110" t="s">
        <v>473</v>
      </c>
      <c r="E129" s="110" t="s">
        <v>93</v>
      </c>
      <c r="F129" s="61">
        <f>F130</f>
        <v>695.5999999999999</v>
      </c>
    </row>
    <row r="130" spans="1:6" ht="12.75">
      <c r="A130" s="16" t="s">
        <v>89</v>
      </c>
      <c r="B130" s="20" t="s">
        <v>63</v>
      </c>
      <c r="C130" s="20" t="s">
        <v>84</v>
      </c>
      <c r="D130" s="110" t="s">
        <v>473</v>
      </c>
      <c r="E130" s="110" t="s">
        <v>90</v>
      </c>
      <c r="F130" s="61">
        <f>'пр.5 вед.стр.'!G55</f>
        <v>695.5999999999999</v>
      </c>
    </row>
    <row r="131" spans="1:6" ht="25.5">
      <c r="A131" s="16" t="s">
        <v>474</v>
      </c>
      <c r="B131" s="20" t="s">
        <v>63</v>
      </c>
      <c r="C131" s="20" t="s">
        <v>84</v>
      </c>
      <c r="D131" s="110" t="s">
        <v>475</v>
      </c>
      <c r="E131" s="110"/>
      <c r="F131" s="61">
        <f>F132</f>
        <v>763.7</v>
      </c>
    </row>
    <row r="132" spans="1:6" ht="76.5">
      <c r="A132" s="16" t="s">
        <v>476</v>
      </c>
      <c r="B132" s="20" t="s">
        <v>63</v>
      </c>
      <c r="C132" s="20" t="s">
        <v>84</v>
      </c>
      <c r="D132" s="110" t="s">
        <v>477</v>
      </c>
      <c r="E132" s="110"/>
      <c r="F132" s="61">
        <f>F133+F135</f>
        <v>763.7</v>
      </c>
    </row>
    <row r="133" spans="1:6" ht="38.25">
      <c r="A133" s="16" t="s">
        <v>92</v>
      </c>
      <c r="B133" s="20" t="s">
        <v>63</v>
      </c>
      <c r="C133" s="20" t="s">
        <v>84</v>
      </c>
      <c r="D133" s="110" t="s">
        <v>477</v>
      </c>
      <c r="E133" s="110" t="s">
        <v>93</v>
      </c>
      <c r="F133" s="61">
        <f>F134</f>
        <v>734.7</v>
      </c>
    </row>
    <row r="134" spans="1:6" ht="12.75">
      <c r="A134" s="16" t="s">
        <v>89</v>
      </c>
      <c r="B134" s="20" t="s">
        <v>63</v>
      </c>
      <c r="C134" s="20" t="s">
        <v>84</v>
      </c>
      <c r="D134" s="110" t="s">
        <v>477</v>
      </c>
      <c r="E134" s="110" t="s">
        <v>90</v>
      </c>
      <c r="F134" s="61">
        <f>'пр.5 вед.стр.'!G59</f>
        <v>734.7</v>
      </c>
    </row>
    <row r="135" spans="1:6" ht="12.75">
      <c r="A135" s="16" t="s">
        <v>333</v>
      </c>
      <c r="B135" s="20" t="s">
        <v>63</v>
      </c>
      <c r="C135" s="20" t="s">
        <v>84</v>
      </c>
      <c r="D135" s="110" t="s">
        <v>477</v>
      </c>
      <c r="E135" s="110" t="s">
        <v>94</v>
      </c>
      <c r="F135" s="61">
        <f>F136</f>
        <v>28.999999999999993</v>
      </c>
    </row>
    <row r="136" spans="1:6" ht="12.75">
      <c r="A136" s="16" t="s">
        <v>608</v>
      </c>
      <c r="B136" s="20" t="s">
        <v>63</v>
      </c>
      <c r="C136" s="20" t="s">
        <v>84</v>
      </c>
      <c r="D136" s="110" t="s">
        <v>477</v>
      </c>
      <c r="E136" s="110" t="s">
        <v>91</v>
      </c>
      <c r="F136" s="61">
        <f>'пр.5 вед.стр.'!G61</f>
        <v>28.999999999999993</v>
      </c>
    </row>
    <row r="137" spans="1:6" ht="17.45" customHeight="1">
      <c r="A137" s="16" t="s">
        <v>478</v>
      </c>
      <c r="B137" s="20" t="s">
        <v>63</v>
      </c>
      <c r="C137" s="20" t="s">
        <v>84</v>
      </c>
      <c r="D137" s="115" t="s">
        <v>479</v>
      </c>
      <c r="E137" s="110"/>
      <c r="F137" s="61">
        <f>F146+F158+F169+F181+F138</f>
        <v>2636.8</v>
      </c>
    </row>
    <row r="138" spans="1:6" ht="25.5">
      <c r="A138" s="150" t="s">
        <v>422</v>
      </c>
      <c r="B138" s="20" t="s">
        <v>63</v>
      </c>
      <c r="C138" s="20" t="s">
        <v>84</v>
      </c>
      <c r="D138" s="115" t="str">
        <f>'пр.5 вед.стр.'!E303</f>
        <v xml:space="preserve">7Р 0 00 00000 </v>
      </c>
      <c r="E138" s="111"/>
      <c r="F138" s="61">
        <f>F139</f>
        <v>1400</v>
      </c>
    </row>
    <row r="139" spans="1:6" ht="25.5">
      <c r="A139" s="16" t="str">
        <f>'пр.5 вед.стр.'!A304</f>
        <v>Основное мероприятие "Обеспечение государственных полномочий по организации и осуществлению деятельности органов опеки и попечительства"</v>
      </c>
      <c r="B139" s="20" t="s">
        <v>63</v>
      </c>
      <c r="C139" s="20" t="s">
        <v>84</v>
      </c>
      <c r="D139" s="115" t="str">
        <f>'пр.5 вед.стр.'!E304</f>
        <v xml:space="preserve">7Р 0 04 00000 </v>
      </c>
      <c r="E139" s="110"/>
      <c r="F139" s="61">
        <f>F140+F143</f>
        <v>1400</v>
      </c>
    </row>
    <row r="140" spans="1:6" ht="38.25">
      <c r="A140" s="16" t="str">
        <f>'пр.5 вед.стр.'!A305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v>
      </c>
      <c r="B140" s="20" t="s">
        <v>63</v>
      </c>
      <c r="C140" s="20" t="s">
        <v>84</v>
      </c>
      <c r="D140" s="115" t="str">
        <f>'пр.5 вед.стр.'!E305</f>
        <v>7Р 0 04 R0820</v>
      </c>
      <c r="E140" s="110"/>
      <c r="F140" s="61">
        <f>F141</f>
        <v>1162.2</v>
      </c>
    </row>
    <row r="141" spans="1:6" ht="12.75">
      <c r="A141" s="16" t="str">
        <f>'пр.5 вед.стр.'!A306</f>
        <v>Капитальные вложения в объекты государственной (муниципальной) собственности</v>
      </c>
      <c r="B141" s="20" t="s">
        <v>63</v>
      </c>
      <c r="C141" s="20" t="s">
        <v>84</v>
      </c>
      <c r="D141" s="115" t="str">
        <f>'пр.5 вед.стр.'!E306</f>
        <v>7Р 0 04 R0820</v>
      </c>
      <c r="E141" s="110" t="str">
        <f>'пр.5 вед.стр.'!F306</f>
        <v>400</v>
      </c>
      <c r="F141" s="61">
        <f>F142</f>
        <v>1162.2</v>
      </c>
    </row>
    <row r="142" spans="1:6" ht="12.75">
      <c r="A142" s="16" t="str">
        <f>'пр.5 вед.стр.'!A307</f>
        <v>Бюджетные инвестиции</v>
      </c>
      <c r="B142" s="20" t="s">
        <v>63</v>
      </c>
      <c r="C142" s="20" t="s">
        <v>84</v>
      </c>
      <c r="D142" s="115" t="str">
        <f>'пр.5 вед.стр.'!E307</f>
        <v>7Р 0 04 R0820</v>
      </c>
      <c r="E142" s="110" t="str">
        <f>'пр.5 вед.стр.'!F307</f>
        <v>410</v>
      </c>
      <c r="F142" s="61">
        <f>'пр.5 вед.стр.'!G307</f>
        <v>1162.2</v>
      </c>
    </row>
    <row r="143" spans="1:6" ht="38.25">
      <c r="A143" s="16" t="str">
        <f>'пр.5 вед.стр.'!A308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v>
      </c>
      <c r="B143" s="20" t="s">
        <v>63</v>
      </c>
      <c r="C143" s="20" t="s">
        <v>84</v>
      </c>
      <c r="D143" s="115" t="str">
        <f>'пр.5 вед.стр.'!E308</f>
        <v>7Р 0 04 74100</v>
      </c>
      <c r="E143" s="110"/>
      <c r="F143" s="61">
        <f>F144</f>
        <v>237.8</v>
      </c>
    </row>
    <row r="144" spans="1:6" ht="12.75">
      <c r="A144" s="16" t="str">
        <f>'пр.5 вед.стр.'!A309</f>
        <v>Капитальные вложения в объекты государственной (муниципальной) собственности</v>
      </c>
      <c r="B144" s="20" t="s">
        <v>63</v>
      </c>
      <c r="C144" s="20" t="s">
        <v>84</v>
      </c>
      <c r="D144" s="115" t="str">
        <f>'пр.5 вед.стр.'!E309</f>
        <v>7Р 0 04 74100</v>
      </c>
      <c r="E144" s="110" t="str">
        <f>'пр.5 вед.стр.'!F309</f>
        <v>400</v>
      </c>
      <c r="F144" s="61">
        <f>F145</f>
        <v>237.8</v>
      </c>
    </row>
    <row r="145" spans="1:6" ht="12.75">
      <c r="A145" s="16" t="str">
        <f>'пр.5 вед.стр.'!A310</f>
        <v>Бюджетные инвестиции</v>
      </c>
      <c r="B145" s="20" t="s">
        <v>63</v>
      </c>
      <c r="C145" s="20" t="s">
        <v>84</v>
      </c>
      <c r="D145" s="115" t="str">
        <f>'пр.5 вед.стр.'!E310</f>
        <v>7Р 0 04 74100</v>
      </c>
      <c r="E145" s="110" t="str">
        <f>'пр.5 вед.стр.'!F310</f>
        <v>410</v>
      </c>
      <c r="F145" s="61">
        <f>'пр.5 вед.стр.'!G310</f>
        <v>237.8</v>
      </c>
    </row>
    <row r="146" spans="1:6" ht="25.5">
      <c r="A146" s="29" t="str">
        <f>'пр.5 вед.стр.'!A63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146" s="20" t="s">
        <v>63</v>
      </c>
      <c r="C146" s="20" t="s">
        <v>84</v>
      </c>
      <c r="D146" s="115" t="str">
        <f>'пр.5 вед.стр.'!E63</f>
        <v xml:space="preserve">7Т 0 00 00000 </v>
      </c>
      <c r="E146" s="111"/>
      <c r="F146" s="61">
        <f>F147+F154</f>
        <v>70</v>
      </c>
    </row>
    <row r="147" spans="1:6" ht="25.5">
      <c r="A147" s="29" t="str">
        <f>'пр.5 вед.стр.'!A64</f>
        <v>Основное мероприятие "Усиление роли общественности в профилактике правонарушений и борьбе с преступностью"</v>
      </c>
      <c r="B147" s="20" t="s">
        <v>63</v>
      </c>
      <c r="C147" s="20" t="s">
        <v>84</v>
      </c>
      <c r="D147" s="115" t="str">
        <f>'пр.5 вед.стр.'!E64</f>
        <v xml:space="preserve">7Т 0 04 00000 </v>
      </c>
      <c r="E147" s="111"/>
      <c r="F147" s="61">
        <f>F148+F151</f>
        <v>46.7</v>
      </c>
    </row>
    <row r="148" spans="1:6" ht="38.25">
      <c r="A148" s="29" t="str">
        <f>'пр.5 вед.стр.'!A65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148" s="20" t="s">
        <v>63</v>
      </c>
      <c r="C148" s="20" t="s">
        <v>84</v>
      </c>
      <c r="D148" s="115" t="str">
        <f>'пр.5 вед.стр.'!E65</f>
        <v xml:space="preserve">7Т 0 04 95000 </v>
      </c>
      <c r="E148" s="111"/>
      <c r="F148" s="61">
        <f>F149</f>
        <v>8</v>
      </c>
    </row>
    <row r="149" spans="1:6" ht="12.75">
      <c r="A149" s="16" t="str">
        <f>'пр.5 вед.стр.'!A66</f>
        <v>Закупка товаров, работ и услуг для обеспечения государственных (муниципальных) нужд</v>
      </c>
      <c r="B149" s="20" t="s">
        <v>63</v>
      </c>
      <c r="C149" s="20" t="s">
        <v>84</v>
      </c>
      <c r="D149" s="115" t="str">
        <f>'пр.5 вед.стр.'!E66</f>
        <v xml:space="preserve">7Т 0 04 95000 </v>
      </c>
      <c r="E149" s="111" t="str">
        <f>'пр.5 вед.стр.'!F66</f>
        <v>200</v>
      </c>
      <c r="F149" s="61">
        <f>F150</f>
        <v>8</v>
      </c>
    </row>
    <row r="150" spans="1:6" ht="12.75">
      <c r="A150" s="16" t="s">
        <v>608</v>
      </c>
      <c r="B150" s="20" t="s">
        <v>63</v>
      </c>
      <c r="C150" s="20" t="s">
        <v>84</v>
      </c>
      <c r="D150" s="115" t="str">
        <f>'пр.5 вед.стр.'!E67</f>
        <v xml:space="preserve">7Т 0 04 95000 </v>
      </c>
      <c r="E150" s="111" t="str">
        <f>'пр.5 вед.стр.'!F67</f>
        <v>240</v>
      </c>
      <c r="F150" s="61">
        <f>'пр.5 вед.стр.'!G67</f>
        <v>8</v>
      </c>
    </row>
    <row r="151" spans="1:6" ht="25.5">
      <c r="A151" s="29" t="str">
        <f>'пр.5 вед.стр.'!A68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151" s="20" t="s">
        <v>63</v>
      </c>
      <c r="C151" s="20" t="s">
        <v>84</v>
      </c>
      <c r="D151" s="115" t="str">
        <f>'пр.5 вед.стр.'!E68</f>
        <v xml:space="preserve">7Т 0 04 95140 </v>
      </c>
      <c r="E151" s="111"/>
      <c r="F151" s="61">
        <f>F152</f>
        <v>38.7</v>
      </c>
    </row>
    <row r="152" spans="1:6" ht="38.25">
      <c r="A152" s="16" t="str">
        <f>'пр.5 вед.стр.'!A69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2" s="20" t="s">
        <v>63</v>
      </c>
      <c r="C152" s="20" t="s">
        <v>84</v>
      </c>
      <c r="D152" s="115" t="str">
        <f>D151</f>
        <v xml:space="preserve">7Т 0 04 95140 </v>
      </c>
      <c r="E152" s="111" t="str">
        <f>'пр.5 вед.стр.'!F69</f>
        <v>100</v>
      </c>
      <c r="F152" s="61">
        <f>F153</f>
        <v>38.7</v>
      </c>
    </row>
    <row r="153" spans="1:6" ht="12.75">
      <c r="A153" s="16" t="str">
        <f>'пр.5 вед.стр.'!A70</f>
        <v>Расходы на выплаты персоналу государственных (муниципальных) органов</v>
      </c>
      <c r="B153" s="20" t="s">
        <v>63</v>
      </c>
      <c r="C153" s="20" t="s">
        <v>84</v>
      </c>
      <c r="D153" s="115" t="str">
        <f>D152</f>
        <v xml:space="preserve">7Т 0 04 95140 </v>
      </c>
      <c r="E153" s="111" t="str">
        <f>'пр.5 вед.стр.'!F70</f>
        <v>120</v>
      </c>
      <c r="F153" s="61">
        <f>'пр.5 вед.стр.'!G70</f>
        <v>38.7</v>
      </c>
    </row>
    <row r="154" spans="1:6" ht="25.5">
      <c r="A154" s="16" t="str">
        <f>'пр.5 вед.стр.'!A71</f>
        <v>Основное мероприятие "Формирование доступной среды в образовательных учреждениях Сусуманского городского округа"</v>
      </c>
      <c r="B154" s="20" t="s">
        <v>63</v>
      </c>
      <c r="C154" s="20" t="s">
        <v>84</v>
      </c>
      <c r="D154" s="115" t="str">
        <f>'пр.5 вед.стр.'!E71</f>
        <v xml:space="preserve">7Т 0 05 00000 </v>
      </c>
      <c r="E154" s="111"/>
      <c r="F154" s="61">
        <f>F155</f>
        <v>23.3</v>
      </c>
    </row>
    <row r="155" spans="1:6" ht="25.5">
      <c r="A155" s="16" t="str">
        <f>'пр.5 вед.стр.'!A72</f>
        <v>Приобретение, изготовление баннеров и иной наглядной продукции антитеррористической направленности</v>
      </c>
      <c r="B155" s="20" t="s">
        <v>63</v>
      </c>
      <c r="C155" s="20" t="s">
        <v>84</v>
      </c>
      <c r="D155" s="115" t="str">
        <f>'пр.5 вед.стр.'!E72</f>
        <v xml:space="preserve">7Т 0 05 95160 </v>
      </c>
      <c r="E155" s="111"/>
      <c r="F155" s="61">
        <f>F156</f>
        <v>23.3</v>
      </c>
    </row>
    <row r="156" spans="1:6" ht="12.75">
      <c r="A156" s="16" t="str">
        <f>'пр.5 вед.стр.'!A73</f>
        <v>Закупка товаров, работ и услуг для обеспечения государственных (муниципальных) нужд</v>
      </c>
      <c r="B156" s="20" t="s">
        <v>63</v>
      </c>
      <c r="C156" s="20" t="s">
        <v>84</v>
      </c>
      <c r="D156" s="115" t="str">
        <f>'пр.5 вед.стр.'!E73</f>
        <v xml:space="preserve">7Т 0 05 95160 </v>
      </c>
      <c r="E156" s="111" t="str">
        <f>'пр.5 вед.стр.'!F73</f>
        <v>200</v>
      </c>
      <c r="F156" s="61">
        <f>F157</f>
        <v>23.3</v>
      </c>
    </row>
    <row r="157" spans="1:6" ht="12.75">
      <c r="A157" s="16" t="s">
        <v>608</v>
      </c>
      <c r="B157" s="20" t="s">
        <v>63</v>
      </c>
      <c r="C157" s="20" t="s">
        <v>84</v>
      </c>
      <c r="D157" s="115" t="str">
        <f>'пр.5 вед.стр.'!E74</f>
        <v xml:space="preserve">7Т 0 05 95160 </v>
      </c>
      <c r="E157" s="111" t="str">
        <f>'пр.5 вед.стр.'!F74</f>
        <v>240</v>
      </c>
      <c r="F157" s="61">
        <f>'пр.5 вед.стр.'!G74</f>
        <v>23.3</v>
      </c>
    </row>
    <row r="158" spans="1:6" ht="25.5">
      <c r="A158" s="16" t="str">
        <f>'пр.5 вед.стр.'!A75</f>
        <v>Муниципальная программа "Развитие муниципальной службы в муниципальном образовании  "Сусуманский городской округ" на 2018- 2022 годы"</v>
      </c>
      <c r="B158" s="20" t="s">
        <v>63</v>
      </c>
      <c r="C158" s="20" t="s">
        <v>84</v>
      </c>
      <c r="D158" s="115" t="str">
        <f>'пр.5 вед.стр.'!E75</f>
        <v>7R 0 00 00000</v>
      </c>
      <c r="E158" s="111"/>
      <c r="F158" s="61">
        <f>F159</f>
        <v>122.3</v>
      </c>
    </row>
    <row r="159" spans="1:6" ht="25.5">
      <c r="A159" s="16" t="str">
        <f>'пр.5 вед.стр.'!A76</f>
        <v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59" s="20" t="s">
        <v>63</v>
      </c>
      <c r="C159" s="20" t="s">
        <v>84</v>
      </c>
      <c r="D159" s="115" t="str">
        <f>'пр.5 вед.стр.'!E76</f>
        <v>7R 0 01 00000</v>
      </c>
      <c r="E159" s="111"/>
      <c r="F159" s="61">
        <f>F160+F163+F166</f>
        <v>122.3</v>
      </c>
    </row>
    <row r="160" spans="1:6" ht="12.75">
      <c r="A160" s="16" t="str">
        <f>'пр.5 вед.стр.'!A77</f>
        <v xml:space="preserve">Дополнительное профессиональное образование для лиц, замещающих муниципальные должности                         </v>
      </c>
      <c r="B160" s="20" t="s">
        <v>63</v>
      </c>
      <c r="C160" s="20" t="s">
        <v>84</v>
      </c>
      <c r="D160" s="115" t="str">
        <f>'пр.5 вед.стр.'!E77</f>
        <v>7R 0 01 73260</v>
      </c>
      <c r="E160" s="111"/>
      <c r="F160" s="61">
        <f>F161</f>
        <v>20</v>
      </c>
    </row>
    <row r="161" spans="1:6" ht="12.75">
      <c r="A161" s="16" t="str">
        <f>'пр.5 вед.стр.'!A78</f>
        <v>Закупка товаров, работ и услуг для обеспечения государственных (муниципальных) нужд</v>
      </c>
      <c r="B161" s="20" t="s">
        <v>63</v>
      </c>
      <c r="C161" s="20" t="s">
        <v>84</v>
      </c>
      <c r="D161" s="115" t="str">
        <f>'пр.5 вед.стр.'!E78</f>
        <v>7R 0 01 73260</v>
      </c>
      <c r="E161" s="111" t="str">
        <f>'пр.5 вед.стр.'!F78</f>
        <v>200</v>
      </c>
      <c r="F161" s="61">
        <f>F162</f>
        <v>20</v>
      </c>
    </row>
    <row r="162" spans="1:6" ht="12.75">
      <c r="A162" s="16" t="s">
        <v>608</v>
      </c>
      <c r="B162" s="20" t="s">
        <v>63</v>
      </c>
      <c r="C162" s="20" t="s">
        <v>84</v>
      </c>
      <c r="D162" s="115" t="str">
        <f>'пр.5 вед.стр.'!E79</f>
        <v>7R 0 01 73260</v>
      </c>
      <c r="E162" s="111" t="str">
        <f>'пр.5 вед.стр.'!F79</f>
        <v>240</v>
      </c>
      <c r="F162" s="61">
        <f>'пр.5 вед.стр.'!G79</f>
        <v>20</v>
      </c>
    </row>
    <row r="163" spans="1:6" ht="25.5">
      <c r="A163" s="16" t="str">
        <f>'пр.5 вед.стр.'!A80</f>
        <v xml:space="preserve"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163" s="20" t="s">
        <v>63</v>
      </c>
      <c r="C163" s="20" t="s">
        <v>84</v>
      </c>
      <c r="D163" s="115" t="str">
        <f>'пр.5 вед.стр.'!E80</f>
        <v>7R 0 01 S3260</v>
      </c>
      <c r="E163" s="111"/>
      <c r="F163" s="61">
        <f>F164</f>
        <v>7.3</v>
      </c>
    </row>
    <row r="164" spans="1:6" ht="12.75">
      <c r="A164" s="16" t="str">
        <f>'пр.5 вед.стр.'!A81</f>
        <v>Закупка товаров, работ и услуг для обеспечения государственных (муниципальных) нужд</v>
      </c>
      <c r="B164" s="20" t="s">
        <v>63</v>
      </c>
      <c r="C164" s="20" t="s">
        <v>84</v>
      </c>
      <c r="D164" s="115" t="str">
        <f>'пр.5 вед.стр.'!E81</f>
        <v>7R 0 01 S3260</v>
      </c>
      <c r="E164" s="111" t="str">
        <f>'пр.5 вед.стр.'!F81</f>
        <v>200</v>
      </c>
      <c r="F164" s="61">
        <f>F165</f>
        <v>7.3</v>
      </c>
    </row>
    <row r="165" spans="1:6" ht="12.75">
      <c r="A165" s="16" t="s">
        <v>608</v>
      </c>
      <c r="B165" s="20" t="s">
        <v>63</v>
      </c>
      <c r="C165" s="20" t="s">
        <v>84</v>
      </c>
      <c r="D165" s="115" t="str">
        <f>'пр.5 вед.стр.'!E82</f>
        <v>7R 0 01 S3260</v>
      </c>
      <c r="E165" s="111" t="str">
        <f>'пр.5 вед.стр.'!F82</f>
        <v>240</v>
      </c>
      <c r="F165" s="61">
        <f>'пр.5 вед.стр.'!G82</f>
        <v>7.3</v>
      </c>
    </row>
    <row r="166" spans="1:6" ht="12.75">
      <c r="A166" s="16" t="str">
        <f>'пр.5 вед.стр.'!A83</f>
        <v>Повышение профессионального уровня муниципальных служащих</v>
      </c>
      <c r="B166" s="20" t="s">
        <v>63</v>
      </c>
      <c r="C166" s="20" t="s">
        <v>84</v>
      </c>
      <c r="D166" s="115" t="str">
        <f>'пр.5 вед.стр.'!E83</f>
        <v>7R 0 01 98600</v>
      </c>
      <c r="E166" s="111"/>
      <c r="F166" s="61">
        <f>F167</f>
        <v>95</v>
      </c>
    </row>
    <row r="167" spans="1:6" ht="12.75">
      <c r="A167" s="16" t="str">
        <f>'пр.5 вед.стр.'!A84</f>
        <v>Закупка товаров, работ и услуг для обеспечения государственных (муниципальных) нужд</v>
      </c>
      <c r="B167" s="20" t="s">
        <v>63</v>
      </c>
      <c r="C167" s="20" t="s">
        <v>84</v>
      </c>
      <c r="D167" s="115" t="str">
        <f>'пр.5 вед.стр.'!E84</f>
        <v>7R 0 01 98600</v>
      </c>
      <c r="E167" s="111" t="str">
        <f>'пр.5 вед.стр.'!F84</f>
        <v>200</v>
      </c>
      <c r="F167" s="61">
        <f>F168</f>
        <v>95</v>
      </c>
    </row>
    <row r="168" spans="1:6" ht="12.75">
      <c r="A168" s="16" t="s">
        <v>608</v>
      </c>
      <c r="B168" s="20" t="s">
        <v>63</v>
      </c>
      <c r="C168" s="20" t="s">
        <v>84</v>
      </c>
      <c r="D168" s="115" t="str">
        <f>'пр.5 вед.стр.'!E85</f>
        <v>7R 0 01 98600</v>
      </c>
      <c r="E168" s="111" t="str">
        <f>'пр.5 вед.стр.'!F85</f>
        <v>240</v>
      </c>
      <c r="F168" s="61">
        <f>'пр.5 вед.стр.'!G85</f>
        <v>95</v>
      </c>
    </row>
    <row r="169" spans="1:14" ht="38.25">
      <c r="A169" s="16" t="str">
        <f>'пр.5 вед.стр.'!A86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169" s="20" t="s">
        <v>63</v>
      </c>
      <c r="C169" s="20" t="s">
        <v>84</v>
      </c>
      <c r="D169" s="110" t="str">
        <f>'пр.5 вед.стр.'!E86</f>
        <v>7L 0 00 00000</v>
      </c>
      <c r="E169" s="111"/>
      <c r="F169" s="61">
        <f>F170+F174</f>
        <v>44.5</v>
      </c>
      <c r="K169" s="81"/>
      <c r="L169" s="81"/>
      <c r="M169" s="81"/>
      <c r="N169" s="81"/>
    </row>
    <row r="170" spans="1:6" ht="12.75">
      <c r="A170" s="16" t="str">
        <f>'пр.5 вед.стр.'!A87</f>
        <v>Основное мероприятие "Содействие развитию институтов гражданского общества"</v>
      </c>
      <c r="B170" s="20" t="s">
        <v>63</v>
      </c>
      <c r="C170" s="20" t="s">
        <v>84</v>
      </c>
      <c r="D170" s="110" t="str">
        <f>'пр.5 вед.стр.'!E87</f>
        <v>7L 0 02 00000</v>
      </c>
      <c r="E170" s="111"/>
      <c r="F170" s="61">
        <f>F171</f>
        <v>13.600000000000001</v>
      </c>
    </row>
    <row r="171" spans="1:6" ht="12.75">
      <c r="A171" s="16" t="str">
        <f>'пр.5 вед.стр.'!A88</f>
        <v>Организация участия представителей общественности в мероприятиях областного уровня</v>
      </c>
      <c r="B171" s="20" t="s">
        <v>63</v>
      </c>
      <c r="C171" s="20" t="s">
        <v>84</v>
      </c>
      <c r="D171" s="110" t="str">
        <f>'пр.5 вед.стр.'!E88</f>
        <v>7L 0 02 91800</v>
      </c>
      <c r="E171" s="111"/>
      <c r="F171" s="61">
        <f>F172</f>
        <v>13.600000000000001</v>
      </c>
    </row>
    <row r="172" spans="1:6" ht="38.25">
      <c r="A172" s="16" t="str">
        <f>'пр.5 вед.стр.'!A89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20" t="s">
        <v>63</v>
      </c>
      <c r="C172" s="20" t="s">
        <v>84</v>
      </c>
      <c r="D172" s="110" t="str">
        <f>'пр.5 вед.стр.'!E89</f>
        <v>7L 0 02 91800</v>
      </c>
      <c r="E172" s="111" t="str">
        <f>'пр.5 вед.стр.'!F89</f>
        <v>100</v>
      </c>
      <c r="F172" s="61">
        <f>F173</f>
        <v>13.600000000000001</v>
      </c>
    </row>
    <row r="173" spans="1:6" ht="12.75">
      <c r="A173" s="16" t="str">
        <f>'пр.5 вед.стр.'!A90</f>
        <v>Расходы на выплаты персоналу государственных (муниципальных) органов</v>
      </c>
      <c r="B173" s="20" t="s">
        <v>63</v>
      </c>
      <c r="C173" s="20" t="s">
        <v>84</v>
      </c>
      <c r="D173" s="110" t="str">
        <f>'пр.5 вед.стр.'!E90</f>
        <v>7L 0 02 91800</v>
      </c>
      <c r="E173" s="111" t="str">
        <f>'пр.5 вед.стр.'!F90</f>
        <v>120</v>
      </c>
      <c r="F173" s="61">
        <f>'пр.5 вед.стр.'!G90</f>
        <v>13.600000000000001</v>
      </c>
    </row>
    <row r="174" spans="1:6" ht="12.75">
      <c r="A174" s="16" t="str">
        <f>'пр.5 вед.стр.'!A91</f>
        <v>Основное мероприятие "Гармонизация межнациональных отношений"</v>
      </c>
      <c r="B174" s="20" t="s">
        <v>63</v>
      </c>
      <c r="C174" s="20" t="s">
        <v>84</v>
      </c>
      <c r="D174" s="110" t="str">
        <f>'пр.5 вед.стр.'!E91</f>
        <v>7L 0 03 00000</v>
      </c>
      <c r="E174" s="111"/>
      <c r="F174" s="61">
        <f>F175+F178</f>
        <v>30.9</v>
      </c>
    </row>
    <row r="175" spans="1:6" ht="25.5">
      <c r="A175" s="16" t="str">
        <f>'пр.5 вед.стр.'!A92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75" s="20" t="s">
        <v>63</v>
      </c>
      <c r="C175" s="20" t="s">
        <v>84</v>
      </c>
      <c r="D175" s="110" t="str">
        <f>'пр.5 вед.стр.'!E92</f>
        <v>7L 0 03 97100</v>
      </c>
      <c r="E175" s="111"/>
      <c r="F175" s="61">
        <f>F176</f>
        <v>20.9</v>
      </c>
    </row>
    <row r="176" spans="1:6" ht="38.25">
      <c r="A176" s="16" t="str">
        <f>'пр.5 вед.стр.'!A93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20" t="s">
        <v>63</v>
      </c>
      <c r="C176" s="20" t="s">
        <v>84</v>
      </c>
      <c r="D176" s="110" t="str">
        <f>'пр.5 вед.стр.'!E93</f>
        <v>7L 0 03 97100</v>
      </c>
      <c r="E176" s="111" t="str">
        <f>'пр.5 вед.стр.'!F93</f>
        <v>100</v>
      </c>
      <c r="F176" s="61">
        <f>F177</f>
        <v>20.9</v>
      </c>
    </row>
    <row r="177" spans="1:6" ht="12.75">
      <c r="A177" s="16" t="str">
        <f>'пр.5 вед.стр.'!A94</f>
        <v>Расходы на выплаты персоналу государственных (муниципальных) органов</v>
      </c>
      <c r="B177" s="20" t="s">
        <v>63</v>
      </c>
      <c r="C177" s="20" t="s">
        <v>84</v>
      </c>
      <c r="D177" s="110" t="str">
        <f>'пр.5 вед.стр.'!E94</f>
        <v>7L 0 03 97100</v>
      </c>
      <c r="E177" s="111" t="str">
        <f>'пр.5 вед.стр.'!F94</f>
        <v>120</v>
      </c>
      <c r="F177" s="61">
        <f>'пр.5 вед.стр.'!G94</f>
        <v>20.9</v>
      </c>
    </row>
    <row r="178" spans="1:6" ht="25.5">
      <c r="A178" s="16" t="str">
        <f>'пр.5 вед.стр.'!A95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178" s="20" t="s">
        <v>63</v>
      </c>
      <c r="C178" s="20" t="s">
        <v>84</v>
      </c>
      <c r="D178" s="110" t="str">
        <f>'пр.5 вед.стр.'!E95</f>
        <v>7L 0 03 97200</v>
      </c>
      <c r="E178" s="111"/>
      <c r="F178" s="61">
        <f>F179</f>
        <v>10</v>
      </c>
    </row>
    <row r="179" spans="1:6" ht="12.75">
      <c r="A179" s="16" t="str">
        <f>'пр.5 вед.стр.'!A96</f>
        <v>Закупка товаров, работ и услуг для обеспечения государственных (муниципальных) нужд</v>
      </c>
      <c r="B179" s="20" t="s">
        <v>63</v>
      </c>
      <c r="C179" s="20" t="s">
        <v>84</v>
      </c>
      <c r="D179" s="110" t="str">
        <f>'пр.5 вед.стр.'!E96</f>
        <v>7L 0 03 97200</v>
      </c>
      <c r="E179" s="110" t="str">
        <f>'пр.5 вед.стр.'!F96</f>
        <v>200</v>
      </c>
      <c r="F179" s="61">
        <f>F180</f>
        <v>10</v>
      </c>
    </row>
    <row r="180" spans="1:6" ht="12.75">
      <c r="A180" s="16" t="s">
        <v>608</v>
      </c>
      <c r="B180" s="20" t="s">
        <v>63</v>
      </c>
      <c r="C180" s="20" t="s">
        <v>84</v>
      </c>
      <c r="D180" s="110" t="str">
        <f>'пр.5 вед.стр.'!E97</f>
        <v>7L 0 03 97200</v>
      </c>
      <c r="E180" s="110" t="str">
        <f>'пр.5 вед.стр.'!F97</f>
        <v>240</v>
      </c>
      <c r="F180" s="61">
        <f>'пр.5 вед.стр.'!G97</f>
        <v>10</v>
      </c>
    </row>
    <row r="181" spans="1:6" ht="25.5">
      <c r="A181" s="16" t="str">
        <f>'пр.5 вед.стр.'!A311</f>
        <v>Муниципальная программа "Управление муниципальным имуществом Сусуманского городского округа на 2018-2021 годы"</v>
      </c>
      <c r="B181" s="20" t="s">
        <v>63</v>
      </c>
      <c r="C181" s="20" t="s">
        <v>84</v>
      </c>
      <c r="D181" s="110" t="str">
        <f>'пр.5 вед.стр.'!E311</f>
        <v xml:space="preserve">7Щ 0 00 00000 </v>
      </c>
      <c r="E181" s="111"/>
      <c r="F181" s="61">
        <f>F182</f>
        <v>1000</v>
      </c>
    </row>
    <row r="182" spans="1:6" ht="26.45" customHeight="1">
      <c r="A182" s="16" t="str">
        <f>'пр.5 вед.стр.'!A312</f>
        <v>Основное мероприятие "Проведение на территории Сусуманского городского округа комплексных кадастровых работ"</v>
      </c>
      <c r="B182" s="20" t="s">
        <v>63</v>
      </c>
      <c r="C182" s="20" t="s">
        <v>84</v>
      </c>
      <c r="D182" s="110" t="str">
        <f>'пр.5 вед.стр.'!E312</f>
        <v xml:space="preserve">7Щ 0 01 00000 </v>
      </c>
      <c r="E182" s="110"/>
      <c r="F182" s="61">
        <f>F183</f>
        <v>1000</v>
      </c>
    </row>
    <row r="183" spans="1:6" ht="12.75">
      <c r="A183" s="16" t="str">
        <f>'пр.5 вед.стр.'!A313</f>
        <v>Проведение комплексных кадастровых работ за счет средств областного бюджета</v>
      </c>
      <c r="B183" s="20" t="s">
        <v>63</v>
      </c>
      <c r="C183" s="20" t="s">
        <v>84</v>
      </c>
      <c r="D183" s="110" t="str">
        <f>'пр.5 вед.стр.'!E313</f>
        <v>7Щ 0 01 R5110</v>
      </c>
      <c r="E183" s="110"/>
      <c r="F183" s="61">
        <f>F184</f>
        <v>1000</v>
      </c>
    </row>
    <row r="184" spans="1:6" ht="12.75">
      <c r="A184" s="16" t="str">
        <f>'пр.5 вед.стр.'!A314</f>
        <v>Закупка товаров, работ и услуг для обеспечения государственных (муниципальных) нужд</v>
      </c>
      <c r="B184" s="20" t="s">
        <v>63</v>
      </c>
      <c r="C184" s="20" t="s">
        <v>84</v>
      </c>
      <c r="D184" s="110" t="str">
        <f>'пр.5 вед.стр.'!E314</f>
        <v>7Щ 0 01 R5110</v>
      </c>
      <c r="E184" s="142">
        <v>200</v>
      </c>
      <c r="F184" s="61">
        <f>F185</f>
        <v>1000</v>
      </c>
    </row>
    <row r="185" spans="1:6" ht="12.75">
      <c r="A185" s="16" t="str">
        <f>'пр.5 вед.стр.'!A315</f>
        <v>Иные закупки товаров, работ и услуг для обеспечения государственных ( муниципальных ) нужд</v>
      </c>
      <c r="B185" s="20" t="s">
        <v>63</v>
      </c>
      <c r="C185" s="20" t="s">
        <v>84</v>
      </c>
      <c r="D185" s="110" t="str">
        <f>'пр.5 вед.стр.'!E315</f>
        <v>7Щ 0 01 R5110</v>
      </c>
      <c r="E185" s="142">
        <v>240</v>
      </c>
      <c r="F185" s="61">
        <f>'пр.5 вед.стр.'!G315</f>
        <v>1000</v>
      </c>
    </row>
    <row r="186" spans="1:6" ht="12.75">
      <c r="A186" s="15" t="s">
        <v>197</v>
      </c>
      <c r="B186" s="32" t="s">
        <v>64</v>
      </c>
      <c r="C186" s="32" t="s">
        <v>34</v>
      </c>
      <c r="D186" s="116"/>
      <c r="E186" s="114"/>
      <c r="F186" s="174">
        <f>F187</f>
        <v>443.9</v>
      </c>
    </row>
    <row r="187" spans="1:6" ht="12.75">
      <c r="A187" s="15" t="s">
        <v>196</v>
      </c>
      <c r="B187" s="32" t="s">
        <v>64</v>
      </c>
      <c r="C187" s="32" t="s">
        <v>67</v>
      </c>
      <c r="D187" s="116"/>
      <c r="E187" s="114"/>
      <c r="F187" s="174">
        <f>F188</f>
        <v>443.9</v>
      </c>
    </row>
    <row r="188" spans="1:6" ht="25.5">
      <c r="A188" s="186" t="str">
        <f>'пр.5 вед.стр.'!A100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88" s="20" t="s">
        <v>64</v>
      </c>
      <c r="C188" s="20" t="s">
        <v>67</v>
      </c>
      <c r="D188" s="110" t="s">
        <v>464</v>
      </c>
      <c r="E188" s="114"/>
      <c r="F188" s="61">
        <f>F189</f>
        <v>443.9</v>
      </c>
    </row>
    <row r="189" spans="1:6" ht="25.5">
      <c r="A189" s="16" t="s">
        <v>480</v>
      </c>
      <c r="B189" s="20" t="s">
        <v>64</v>
      </c>
      <c r="C189" s="20" t="s">
        <v>67</v>
      </c>
      <c r="D189" s="110" t="str">
        <f>'пр.5 вед.стр.'!E101</f>
        <v>Р1 5 00 00000</v>
      </c>
      <c r="E189" s="114"/>
      <c r="F189" s="61">
        <f>F190</f>
        <v>443.9</v>
      </c>
    </row>
    <row r="190" spans="1:6" ht="12.75">
      <c r="A190" s="16" t="s">
        <v>195</v>
      </c>
      <c r="B190" s="20" t="s">
        <v>64</v>
      </c>
      <c r="C190" s="20" t="s">
        <v>67</v>
      </c>
      <c r="D190" s="110" t="str">
        <f>'пр.5 вед.стр.'!E102</f>
        <v>Р1 5 00 51180</v>
      </c>
      <c r="E190" s="111"/>
      <c r="F190" s="61">
        <f>F192</f>
        <v>443.9</v>
      </c>
    </row>
    <row r="191" spans="1:6" ht="38.25">
      <c r="A191" s="16" t="s">
        <v>92</v>
      </c>
      <c r="B191" s="20" t="s">
        <v>64</v>
      </c>
      <c r="C191" s="20" t="s">
        <v>67</v>
      </c>
      <c r="D191" s="110" t="str">
        <f>'пр.5 вед.стр.'!E103</f>
        <v>Р1 5 00 51180</v>
      </c>
      <c r="E191" s="111" t="s">
        <v>93</v>
      </c>
      <c r="F191" s="61">
        <f>F192</f>
        <v>443.9</v>
      </c>
    </row>
    <row r="192" spans="1:6" ht="12.75">
      <c r="A192" s="16" t="s">
        <v>89</v>
      </c>
      <c r="B192" s="20" t="s">
        <v>64</v>
      </c>
      <c r="C192" s="20" t="s">
        <v>67</v>
      </c>
      <c r="D192" s="110" t="str">
        <f>'пр.5 вед.стр.'!E104</f>
        <v>Р1 5 00 51180</v>
      </c>
      <c r="E192" s="110" t="s">
        <v>90</v>
      </c>
      <c r="F192" s="61">
        <f>'пр.5 вед.стр.'!G104</f>
        <v>443.9</v>
      </c>
    </row>
    <row r="193" spans="1:6" ht="12.75">
      <c r="A193" s="15" t="s">
        <v>4</v>
      </c>
      <c r="B193" s="32" t="s">
        <v>67</v>
      </c>
      <c r="C193" s="32" t="s">
        <v>34</v>
      </c>
      <c r="D193" s="110"/>
      <c r="E193" s="110"/>
      <c r="F193" s="174">
        <f>F194</f>
        <v>13737</v>
      </c>
    </row>
    <row r="194" spans="1:6" ht="25.5">
      <c r="A194" s="15" t="s">
        <v>77</v>
      </c>
      <c r="B194" s="32" t="s">
        <v>67</v>
      </c>
      <c r="C194" s="32" t="s">
        <v>72</v>
      </c>
      <c r="D194" s="110"/>
      <c r="E194" s="110"/>
      <c r="F194" s="174">
        <f>F196+F201+F210</f>
        <v>13737</v>
      </c>
    </row>
    <row r="195" spans="1:6" ht="12.75">
      <c r="A195" s="16" t="s">
        <v>478</v>
      </c>
      <c r="B195" s="40" t="s">
        <v>67</v>
      </c>
      <c r="C195" s="40" t="s">
        <v>72</v>
      </c>
      <c r="D195" s="115" t="s">
        <v>479</v>
      </c>
      <c r="E195" s="110"/>
      <c r="F195" s="61">
        <f>F196</f>
        <v>350</v>
      </c>
    </row>
    <row r="196" spans="1:6" ht="25.5">
      <c r="A196" s="16" t="str">
        <f>'пр.5 вед.стр.'!A108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2018- 2022 годы"</v>
      </c>
      <c r="B196" s="40" t="s">
        <v>67</v>
      </c>
      <c r="C196" s="40" t="s">
        <v>72</v>
      </c>
      <c r="D196" s="115" t="str">
        <f>'пр.5 вед.стр.'!E108</f>
        <v xml:space="preserve">7Ч 0 00 00000 </v>
      </c>
      <c r="E196" s="111"/>
      <c r="F196" s="61">
        <f>F197</f>
        <v>350</v>
      </c>
    </row>
    <row r="197" spans="1:6" ht="38.25">
      <c r="A197" s="16" t="str">
        <f>'пр.5 вед.стр.'!A109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97" s="20" t="s">
        <v>67</v>
      </c>
      <c r="C197" s="20" t="s">
        <v>72</v>
      </c>
      <c r="D197" s="115" t="str">
        <f>'пр.5 вед.стр.'!E109</f>
        <v xml:space="preserve">7Ч 0 01 00000 </v>
      </c>
      <c r="E197" s="111"/>
      <c r="F197" s="61">
        <f>F198</f>
        <v>350</v>
      </c>
    </row>
    <row r="198" spans="1:6" ht="25.5">
      <c r="A198" s="16" t="str">
        <f>'пр.5 вед.стр.'!A110</f>
        <v xml:space="preserve">Приобретение технических средств и создание материального резерва в целях ликвидации чрезвычайных ситуаций </v>
      </c>
      <c r="B198" s="40" t="s">
        <v>67</v>
      </c>
      <c r="C198" s="40" t="s">
        <v>72</v>
      </c>
      <c r="D198" s="115" t="str">
        <f>'пр.5 вед.стр.'!E110</f>
        <v xml:space="preserve">7Ч 0 01 96400 </v>
      </c>
      <c r="E198" s="111"/>
      <c r="F198" s="61">
        <f>F199</f>
        <v>350</v>
      </c>
    </row>
    <row r="199" spans="1:6" ht="12.75">
      <c r="A199" s="16" t="str">
        <f>'пр.5 вед.стр.'!A111</f>
        <v>Закупка товаров, работ и услуг для обеспечения государственных (муниципальных) нужд</v>
      </c>
      <c r="B199" s="40" t="s">
        <v>67</v>
      </c>
      <c r="C199" s="40" t="s">
        <v>72</v>
      </c>
      <c r="D199" s="115" t="str">
        <f>'пр.5 вед.стр.'!E111</f>
        <v xml:space="preserve">7Ч 0 01 96400 </v>
      </c>
      <c r="E199" s="111" t="str">
        <f>'пр.5 вед.стр.'!F111</f>
        <v>200</v>
      </c>
      <c r="F199" s="61">
        <f>F200</f>
        <v>350</v>
      </c>
    </row>
    <row r="200" spans="1:6" ht="12.75">
      <c r="A200" s="16" t="s">
        <v>608</v>
      </c>
      <c r="B200" s="40" t="s">
        <v>67</v>
      </c>
      <c r="C200" s="40" t="s">
        <v>72</v>
      </c>
      <c r="D200" s="115" t="str">
        <f>'пр.5 вед.стр.'!E112</f>
        <v xml:space="preserve">7Ч 0 01 96400 </v>
      </c>
      <c r="E200" s="111" t="str">
        <f>'пр.5 вед.стр.'!F112</f>
        <v>240</v>
      </c>
      <c r="F200" s="61">
        <f>'пр.5 вед.стр.'!G112</f>
        <v>350</v>
      </c>
    </row>
    <row r="201" spans="1:6" ht="25.5">
      <c r="A201" s="16" t="s">
        <v>288</v>
      </c>
      <c r="B201" s="20" t="s">
        <v>67</v>
      </c>
      <c r="C201" s="20" t="s">
        <v>72</v>
      </c>
      <c r="D201" s="115" t="s">
        <v>481</v>
      </c>
      <c r="E201" s="110"/>
      <c r="F201" s="61">
        <f>F202+F207</f>
        <v>8924.4</v>
      </c>
    </row>
    <row r="202" spans="1:6" ht="12.75">
      <c r="A202" s="16" t="s">
        <v>267</v>
      </c>
      <c r="B202" s="20" t="s">
        <v>67</v>
      </c>
      <c r="C202" s="20" t="s">
        <v>72</v>
      </c>
      <c r="D202" s="115" t="s">
        <v>482</v>
      </c>
      <c r="E202" s="110"/>
      <c r="F202" s="61">
        <f>F203+F205</f>
        <v>8794.4</v>
      </c>
    </row>
    <row r="203" spans="1:6" ht="38.25">
      <c r="A203" s="16" t="s">
        <v>92</v>
      </c>
      <c r="B203" s="20" t="s">
        <v>67</v>
      </c>
      <c r="C203" s="20" t="s">
        <v>72</v>
      </c>
      <c r="D203" s="115" t="s">
        <v>482</v>
      </c>
      <c r="E203" s="110" t="s">
        <v>93</v>
      </c>
      <c r="F203" s="61">
        <f>F204</f>
        <v>8547.4</v>
      </c>
    </row>
    <row r="204" spans="1:6" ht="12.75">
      <c r="A204" s="16" t="s">
        <v>208</v>
      </c>
      <c r="B204" s="20" t="s">
        <v>67</v>
      </c>
      <c r="C204" s="20" t="s">
        <v>72</v>
      </c>
      <c r="D204" s="115" t="s">
        <v>482</v>
      </c>
      <c r="E204" s="110" t="s">
        <v>209</v>
      </c>
      <c r="F204" s="61">
        <f>'пр.5 вед.стр.'!G116</f>
        <v>8547.4</v>
      </c>
    </row>
    <row r="205" spans="1:6" ht="12.75">
      <c r="A205" s="16" t="s">
        <v>333</v>
      </c>
      <c r="B205" s="20" t="s">
        <v>67</v>
      </c>
      <c r="C205" s="20" t="s">
        <v>72</v>
      </c>
      <c r="D205" s="115" t="s">
        <v>482</v>
      </c>
      <c r="E205" s="110" t="s">
        <v>94</v>
      </c>
      <c r="F205" s="61">
        <f>F206</f>
        <v>247</v>
      </c>
    </row>
    <row r="206" spans="1:6" ht="12.75">
      <c r="A206" s="16" t="s">
        <v>608</v>
      </c>
      <c r="B206" s="20" t="s">
        <v>67</v>
      </c>
      <c r="C206" s="20" t="s">
        <v>72</v>
      </c>
      <c r="D206" s="115" t="s">
        <v>482</v>
      </c>
      <c r="E206" s="110" t="s">
        <v>91</v>
      </c>
      <c r="F206" s="61">
        <f>'пр.5 вед.стр.'!G118</f>
        <v>247</v>
      </c>
    </row>
    <row r="207" spans="1:6" ht="38.25">
      <c r="A207" s="16" t="s">
        <v>287</v>
      </c>
      <c r="B207" s="20" t="s">
        <v>67</v>
      </c>
      <c r="C207" s="20" t="s">
        <v>72</v>
      </c>
      <c r="D207" s="115" t="s">
        <v>483</v>
      </c>
      <c r="E207" s="110"/>
      <c r="F207" s="61">
        <f>F208</f>
        <v>130</v>
      </c>
    </row>
    <row r="208" spans="1:6" ht="38.25">
      <c r="A208" s="16" t="s">
        <v>92</v>
      </c>
      <c r="B208" s="20" t="s">
        <v>67</v>
      </c>
      <c r="C208" s="20" t="s">
        <v>72</v>
      </c>
      <c r="D208" s="115" t="s">
        <v>483</v>
      </c>
      <c r="E208" s="110" t="s">
        <v>93</v>
      </c>
      <c r="F208" s="61">
        <f>F209</f>
        <v>130</v>
      </c>
    </row>
    <row r="209" spans="1:6" ht="12.75">
      <c r="A209" s="16" t="s">
        <v>208</v>
      </c>
      <c r="B209" s="20" t="s">
        <v>67</v>
      </c>
      <c r="C209" s="20" t="s">
        <v>72</v>
      </c>
      <c r="D209" s="115" t="s">
        <v>483</v>
      </c>
      <c r="E209" s="110" t="s">
        <v>209</v>
      </c>
      <c r="F209" s="61">
        <f>'пр.5 вед.стр.'!G121</f>
        <v>130</v>
      </c>
    </row>
    <row r="210" spans="1:6" ht="25.9" customHeight="1">
      <c r="A210" s="16" t="str">
        <f>'пр.5 вед.стр.'!A122</f>
        <v>Мероприятия в области предупреждения и ликвидации последствий чрезвычайных ситуаций и области гражданской обороны.</v>
      </c>
      <c r="B210" s="20" t="s">
        <v>67</v>
      </c>
      <c r="C210" s="20" t="s">
        <v>72</v>
      </c>
      <c r="D210" s="115" t="str">
        <f>'пр.5 вед.стр.'!E122</f>
        <v>Ч2 0 00 00000</v>
      </c>
      <c r="E210" s="110"/>
      <c r="F210" s="61">
        <f>F211+F214</f>
        <v>4462.6</v>
      </c>
    </row>
    <row r="211" spans="1:6" ht="25.5">
      <c r="A211" s="16" t="str">
        <f>'пр.5 вед.стр.'!A123</f>
        <v xml:space="preserve">Средства из областного бюджета по статье «Резервный фонд Правительства Магаданской области» на ликвидацию последствий чрезвычайной ситуации на территории Сусуманского городского округа </v>
      </c>
      <c r="B211" s="20" t="s">
        <v>67</v>
      </c>
      <c r="C211" s="20" t="s">
        <v>72</v>
      </c>
      <c r="D211" s="115" t="str">
        <f>'пр.5 вед.стр.'!E123</f>
        <v>Ч2 0 00 08200</v>
      </c>
      <c r="E211" s="110"/>
      <c r="F211" s="61">
        <f>F212</f>
        <v>4399</v>
      </c>
    </row>
    <row r="212" spans="1:6" ht="12.75">
      <c r="A212" s="16" t="str">
        <f>'пр.5 вед.стр.'!A124</f>
        <v>Закупка товаров, работ и услуг для обеспечения государственных (муниципальных) нужд</v>
      </c>
      <c r="B212" s="20" t="s">
        <v>67</v>
      </c>
      <c r="C212" s="20" t="s">
        <v>72</v>
      </c>
      <c r="D212" s="115" t="str">
        <f>'пр.5 вед.стр.'!E124</f>
        <v>Ч2 0 00 08200</v>
      </c>
      <c r="E212" s="110" t="s">
        <v>94</v>
      </c>
      <c r="F212" s="61">
        <f>F213</f>
        <v>4399</v>
      </c>
    </row>
    <row r="213" spans="1:6" ht="12.75">
      <c r="A213" s="16" t="s">
        <v>608</v>
      </c>
      <c r="B213" s="20" t="s">
        <v>67</v>
      </c>
      <c r="C213" s="20" t="s">
        <v>72</v>
      </c>
      <c r="D213" s="115" t="str">
        <f>'пр.5 вед.стр.'!E125</f>
        <v>Ч2 0 00 08200</v>
      </c>
      <c r="E213" s="110" t="s">
        <v>91</v>
      </c>
      <c r="F213" s="61">
        <f>'пр.5 вед.стр.'!G125</f>
        <v>4399</v>
      </c>
    </row>
    <row r="214" spans="1:6" ht="25.5">
      <c r="A214" s="16" t="str">
        <f>'пр.5 вед.стр.'!A126</f>
        <v>Предупреждение и ликвидация последствий чрезвычайной ситуации на территории Сусуманского городского округа за счет средств местного бюджета</v>
      </c>
      <c r="B214" s="20" t="s">
        <v>67</v>
      </c>
      <c r="C214" s="20" t="s">
        <v>72</v>
      </c>
      <c r="D214" s="115" t="str">
        <f>'пр.5 вед.стр.'!E126</f>
        <v>Ч2 0 00 08300</v>
      </c>
      <c r="E214" s="110"/>
      <c r="F214" s="61">
        <f>F215</f>
        <v>63.6</v>
      </c>
    </row>
    <row r="215" spans="1:6" ht="12.75">
      <c r="A215" s="16" t="str">
        <f>'пр.5 вед.стр.'!A127</f>
        <v>Закупка товаров, работ и услуг для обеспечения государственных (муниципальных) нужд</v>
      </c>
      <c r="B215" s="20" t="s">
        <v>67</v>
      </c>
      <c r="C215" s="20" t="s">
        <v>72</v>
      </c>
      <c r="D215" s="115" t="str">
        <f>'пр.5 вед.стр.'!E127</f>
        <v>Ч2 0 00 08300</v>
      </c>
      <c r="E215" s="110" t="s">
        <v>94</v>
      </c>
      <c r="F215" s="61">
        <f>F216</f>
        <v>63.6</v>
      </c>
    </row>
    <row r="216" spans="1:6" ht="12.75">
      <c r="A216" s="16" t="s">
        <v>608</v>
      </c>
      <c r="B216" s="20" t="s">
        <v>67</v>
      </c>
      <c r="C216" s="20" t="s">
        <v>72</v>
      </c>
      <c r="D216" s="115" t="str">
        <f>'пр.5 вед.стр.'!E128</f>
        <v>Ч2 0 00 08300</v>
      </c>
      <c r="E216" s="110" t="s">
        <v>91</v>
      </c>
      <c r="F216" s="61">
        <f>'пр.5 вед.стр.'!G128</f>
        <v>63.6</v>
      </c>
    </row>
    <row r="217" spans="1:6" ht="12.75">
      <c r="A217" s="15" t="s">
        <v>5</v>
      </c>
      <c r="B217" s="37" t="s">
        <v>65</v>
      </c>
      <c r="C217" s="37" t="s">
        <v>34</v>
      </c>
      <c r="D217" s="113"/>
      <c r="E217" s="113"/>
      <c r="F217" s="174">
        <f>F218+F229+F248</f>
        <v>9506.300000000001</v>
      </c>
    </row>
    <row r="218" spans="1:7" ht="12.75">
      <c r="A218" s="15" t="s">
        <v>321</v>
      </c>
      <c r="B218" s="37" t="s">
        <v>65</v>
      </c>
      <c r="C218" s="37" t="s">
        <v>73</v>
      </c>
      <c r="D218" s="113"/>
      <c r="E218" s="113"/>
      <c r="F218" s="174">
        <f>F225+F219</f>
        <v>1419.5</v>
      </c>
      <c r="G218" s="133"/>
    </row>
    <row r="219" spans="1:7" ht="12.75">
      <c r="A219" s="16" t="s">
        <v>478</v>
      </c>
      <c r="B219" s="40" t="s">
        <v>65</v>
      </c>
      <c r="C219" s="40" t="s">
        <v>73</v>
      </c>
      <c r="D219" s="115" t="s">
        <v>479</v>
      </c>
      <c r="E219" s="110"/>
      <c r="F219" s="61">
        <f>F220</f>
        <v>1414.4</v>
      </c>
      <c r="G219" s="133"/>
    </row>
    <row r="220" spans="1:7" ht="25.5">
      <c r="A220" s="16" t="str">
        <f>'пр.5 вед.стр.'!A890</f>
        <v>Муниципальная программа "Развитие водохозяйственного комплекса Сусуманского городского округа на 2018-2022 год"</v>
      </c>
      <c r="B220" s="40" t="s">
        <v>65</v>
      </c>
      <c r="C220" s="40" t="s">
        <v>73</v>
      </c>
      <c r="D220" s="115" t="str">
        <f>'пр.5 вед.стр.'!E890</f>
        <v>7А 0 00 00000</v>
      </c>
      <c r="E220" s="111"/>
      <c r="F220" s="61">
        <f>F221</f>
        <v>1414.4</v>
      </c>
      <c r="G220" s="133"/>
    </row>
    <row r="221" spans="1:7" ht="12.75">
      <c r="A221" s="16" t="str">
        <f>'пр.5 вед.стр.'!A891</f>
        <v>Основное мероприятие "Разработка декларации безопасности (включая государственную экспертизу)"</v>
      </c>
      <c r="B221" s="40" t="s">
        <v>65</v>
      </c>
      <c r="C221" s="40" t="s">
        <v>73</v>
      </c>
      <c r="D221" s="110" t="str">
        <f>'пр.5 вед.стр.'!E891</f>
        <v>7А 0 01 00000</v>
      </c>
      <c r="E221" s="113"/>
      <c r="F221" s="61">
        <f>F222</f>
        <v>1414.4</v>
      </c>
      <c r="G221" s="133"/>
    </row>
    <row r="222" spans="1:7" ht="25.5">
      <c r="A222" s="16" t="str">
        <f>'пр.5 вед.стр.'!A892</f>
        <v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v>
      </c>
      <c r="B222" s="40" t="s">
        <v>65</v>
      </c>
      <c r="C222" s="40" t="s">
        <v>73</v>
      </c>
      <c r="D222" s="110" t="str">
        <f>'пр.5 вед.стр.'!E892</f>
        <v>7А 0 01 93340</v>
      </c>
      <c r="E222" s="113"/>
      <c r="F222" s="61">
        <f>F223</f>
        <v>1414.4</v>
      </c>
      <c r="G222" s="133"/>
    </row>
    <row r="223" spans="1:7" ht="12.75">
      <c r="A223" s="16" t="str">
        <f>'пр.5 вед.стр.'!A893</f>
        <v>Закупка товаров, работ и услуг для обеспечения государственных (муниципальных) нужд</v>
      </c>
      <c r="B223" s="40" t="s">
        <v>65</v>
      </c>
      <c r="C223" s="40" t="s">
        <v>73</v>
      </c>
      <c r="D223" s="110" t="str">
        <f>'пр.5 вед.стр.'!E893</f>
        <v>7А 0 01 93340</v>
      </c>
      <c r="E223" s="110" t="str">
        <f>'пр.5 вед.стр.'!F897</f>
        <v>200</v>
      </c>
      <c r="F223" s="61">
        <f>F224</f>
        <v>1414.4</v>
      </c>
      <c r="G223" s="133"/>
    </row>
    <row r="224" spans="1:7" ht="12.75">
      <c r="A224" s="16" t="s">
        <v>608</v>
      </c>
      <c r="B224" s="40" t="s">
        <v>65</v>
      </c>
      <c r="C224" s="40" t="s">
        <v>73</v>
      </c>
      <c r="D224" s="110" t="str">
        <f>'пр.5 вед.стр.'!E894</f>
        <v>7А 0 01 93340</v>
      </c>
      <c r="E224" s="110" t="str">
        <f>'пр.5 вед.стр.'!F898</f>
        <v>240</v>
      </c>
      <c r="F224" s="61">
        <f>'пр.5 вед.стр.'!G894</f>
        <v>1414.4</v>
      </c>
      <c r="G224" s="133"/>
    </row>
    <row r="225" spans="1:6" ht="12.75">
      <c r="A225" s="16" t="s">
        <v>549</v>
      </c>
      <c r="B225" s="20" t="s">
        <v>65</v>
      </c>
      <c r="C225" s="20" t="s">
        <v>73</v>
      </c>
      <c r="D225" s="110" t="s">
        <v>550</v>
      </c>
      <c r="E225" s="110"/>
      <c r="F225" s="61">
        <f>F226</f>
        <v>5.1</v>
      </c>
    </row>
    <row r="226" spans="1:6" ht="12.75">
      <c r="A226" s="16" t="s">
        <v>551</v>
      </c>
      <c r="B226" s="20" t="s">
        <v>65</v>
      </c>
      <c r="C226" s="20" t="s">
        <v>73</v>
      </c>
      <c r="D226" s="110" t="s">
        <v>552</v>
      </c>
      <c r="E226" s="110"/>
      <c r="F226" s="61">
        <f>F227</f>
        <v>5.1</v>
      </c>
    </row>
    <row r="227" spans="1:6" ht="12.75">
      <c r="A227" s="16" t="s">
        <v>333</v>
      </c>
      <c r="B227" s="20" t="s">
        <v>65</v>
      </c>
      <c r="C227" s="20" t="s">
        <v>73</v>
      </c>
      <c r="D227" s="110" t="s">
        <v>552</v>
      </c>
      <c r="E227" s="110" t="s">
        <v>94</v>
      </c>
      <c r="F227" s="61">
        <f>F228</f>
        <v>5.1</v>
      </c>
    </row>
    <row r="228" spans="1:6" ht="12.75">
      <c r="A228" s="16" t="s">
        <v>608</v>
      </c>
      <c r="B228" s="20" t="s">
        <v>65</v>
      </c>
      <c r="C228" s="20" t="s">
        <v>73</v>
      </c>
      <c r="D228" s="110" t="s">
        <v>552</v>
      </c>
      <c r="E228" s="110" t="s">
        <v>91</v>
      </c>
      <c r="F228" s="61">
        <f>'пр.5 вед.стр.'!G898</f>
        <v>5.1</v>
      </c>
    </row>
    <row r="229" spans="1:6" ht="12.75">
      <c r="A229" s="15" t="s">
        <v>79</v>
      </c>
      <c r="B229" s="37" t="s">
        <v>65</v>
      </c>
      <c r="C229" s="37" t="s">
        <v>72</v>
      </c>
      <c r="D229" s="113"/>
      <c r="E229" s="113"/>
      <c r="F229" s="174">
        <f>F231+F239+F244</f>
        <v>7613.200000000001</v>
      </c>
    </row>
    <row r="230" spans="1:6" ht="12.75">
      <c r="A230" s="16" t="s">
        <v>478</v>
      </c>
      <c r="B230" s="20" t="s">
        <v>65</v>
      </c>
      <c r="C230" s="20" t="s">
        <v>72</v>
      </c>
      <c r="D230" s="115" t="s">
        <v>548</v>
      </c>
      <c r="E230" s="110"/>
      <c r="F230" s="61">
        <f>F231+F239</f>
        <v>6141.8</v>
      </c>
    </row>
    <row r="231" spans="1:6" ht="25.5">
      <c r="A231" s="185" t="str">
        <f>'пр.5 вед.стр.'!A901</f>
        <v>Муниципальная программа "Повышение безопасности дорожного движения на территории Сусуманского городского округа на 2018- 2022 годы"</v>
      </c>
      <c r="B231" s="20" t="s">
        <v>65</v>
      </c>
      <c r="C231" s="20" t="s">
        <v>72</v>
      </c>
      <c r="D231" s="115" t="str">
        <f>'пр.5 вед.стр.'!E901</f>
        <v>7D 0 00 00000</v>
      </c>
      <c r="E231" s="110"/>
      <c r="F231" s="61">
        <f>F232</f>
        <v>1825.2</v>
      </c>
    </row>
    <row r="232" spans="1:6" ht="12.75">
      <c r="A232" s="29" t="str">
        <f>'пр.5 вед.стр.'!A902</f>
        <v>Основное мероприятие "Обеспечение реализации программы"</v>
      </c>
      <c r="B232" s="20" t="s">
        <v>65</v>
      </c>
      <c r="C232" s="20" t="s">
        <v>72</v>
      </c>
      <c r="D232" s="115" t="str">
        <f>'пр.5 вед.стр.'!E902</f>
        <v>7D 0 01 00000</v>
      </c>
      <c r="E232" s="110"/>
      <c r="F232" s="61">
        <f>F236+F233</f>
        <v>1825.2</v>
      </c>
    </row>
    <row r="233" spans="1:6" ht="12.75">
      <c r="A233" s="29" t="str">
        <f>'пр.5 вед.стр.'!A903</f>
        <v>Приобретение пешеходных ограждений</v>
      </c>
      <c r="B233" s="20" t="s">
        <v>65</v>
      </c>
      <c r="C233" s="20" t="s">
        <v>72</v>
      </c>
      <c r="D233" s="115" t="str">
        <f>'пр.5 вед.стр.'!E903</f>
        <v>7D 0 01 95420</v>
      </c>
      <c r="E233" s="110"/>
      <c r="F233" s="61">
        <f>F234</f>
        <v>1200</v>
      </c>
    </row>
    <row r="234" spans="1:6" ht="12.75">
      <c r="A234" s="29" t="str">
        <f>'пр.5 вед.стр.'!A904</f>
        <v>Закупка товаров, работ и услуг для обеспечения государственных (муниципальных) нужд</v>
      </c>
      <c r="B234" s="20" t="s">
        <v>65</v>
      </c>
      <c r="C234" s="20" t="s">
        <v>72</v>
      </c>
      <c r="D234" s="115" t="str">
        <f>'пр.5 вед.стр.'!E904</f>
        <v>7D 0 01 95420</v>
      </c>
      <c r="E234" s="142">
        <f>'пр.5 вед.стр.'!F904</f>
        <v>200</v>
      </c>
      <c r="F234" s="61">
        <f>F235</f>
        <v>1200</v>
      </c>
    </row>
    <row r="235" spans="1:6" ht="12.75">
      <c r="A235" s="16" t="s">
        <v>608</v>
      </c>
      <c r="B235" s="20" t="s">
        <v>65</v>
      </c>
      <c r="C235" s="20" t="s">
        <v>72</v>
      </c>
      <c r="D235" s="115" t="str">
        <f>'пр.5 вед.стр.'!E905</f>
        <v>7D 0 01 95420</v>
      </c>
      <c r="E235" s="142">
        <f>'пр.5 вед.стр.'!F905</f>
        <v>240</v>
      </c>
      <c r="F235" s="61">
        <f>'пр.5 вед.стр.'!G905</f>
        <v>1200</v>
      </c>
    </row>
    <row r="236" spans="1:6" ht="38.25">
      <c r="A236" s="16" t="str">
        <f>'пр.5 вед.стр.'!A906</f>
        <v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v>
      </c>
      <c r="B236" s="20" t="s">
        <v>65</v>
      </c>
      <c r="C236" s="20" t="s">
        <v>72</v>
      </c>
      <c r="D236" s="115" t="str">
        <f>'пр.5 вед.стр.'!E906</f>
        <v>7D 0 01 95450</v>
      </c>
      <c r="E236" s="110"/>
      <c r="F236" s="61">
        <f>F237</f>
        <v>625.2</v>
      </c>
    </row>
    <row r="237" spans="1:6" ht="12.75">
      <c r="A237" s="16" t="str">
        <f>'пр.5 вед.стр.'!A907</f>
        <v>Закупка товаров, работ и услуг для обеспечения государственных (муниципальных) нужд</v>
      </c>
      <c r="B237" s="20" t="s">
        <v>65</v>
      </c>
      <c r="C237" s="20" t="s">
        <v>72</v>
      </c>
      <c r="D237" s="115" t="str">
        <f>'пр.5 вед.стр.'!E907</f>
        <v>7D 0 01 95450</v>
      </c>
      <c r="E237" s="110" t="str">
        <f>'пр.5 вед.стр.'!F907</f>
        <v>200</v>
      </c>
      <c r="F237" s="61">
        <f>F238</f>
        <v>625.2</v>
      </c>
    </row>
    <row r="238" spans="1:6" ht="12.75">
      <c r="A238" s="16" t="s">
        <v>608</v>
      </c>
      <c r="B238" s="20" t="s">
        <v>65</v>
      </c>
      <c r="C238" s="20" t="s">
        <v>72</v>
      </c>
      <c r="D238" s="115" t="str">
        <f>'пр.5 вед.стр.'!E908</f>
        <v>7D 0 01 95450</v>
      </c>
      <c r="E238" s="110" t="str">
        <f>'пр.5 вед.стр.'!F908</f>
        <v>240</v>
      </c>
      <c r="F238" s="61">
        <f>'пр.5 вед.стр.'!G908</f>
        <v>625.2</v>
      </c>
    </row>
    <row r="239" spans="1:6" ht="25.5">
      <c r="A239" s="29" t="str">
        <f>'пр.5 вед.стр.'!A909</f>
        <v>Муниципальная программа "Содержание автомобильных дорог общего пользования местного значения Сусуманского городского округа на 2018- 2022 годы"</v>
      </c>
      <c r="B239" s="20" t="s">
        <v>65</v>
      </c>
      <c r="C239" s="20" t="s">
        <v>72</v>
      </c>
      <c r="D239" s="115" t="str">
        <f>'пр.5 вед.стр.'!E909</f>
        <v xml:space="preserve">7S 0 00 00000 </v>
      </c>
      <c r="E239" s="110"/>
      <c r="F239" s="61">
        <f>F240</f>
        <v>4316.6</v>
      </c>
    </row>
    <row r="240" spans="1:6" ht="12.75">
      <c r="A240" s="29" t="str">
        <f>'пр.5 вед.стр.'!A910</f>
        <v>Основное мероприятие "Содержание автомобильных дорог общего пользования местного значения"</v>
      </c>
      <c r="B240" s="20" t="s">
        <v>65</v>
      </c>
      <c r="C240" s="20" t="s">
        <v>72</v>
      </c>
      <c r="D240" s="115" t="str">
        <f>'пр.5 вед.стр.'!E910</f>
        <v xml:space="preserve">7S 0 01 00000 </v>
      </c>
      <c r="E240" s="110"/>
      <c r="F240" s="61">
        <f>F241</f>
        <v>4316.6</v>
      </c>
    </row>
    <row r="241" spans="1:6" ht="25.5">
      <c r="A241" s="29" t="str">
        <f>'пр.5 вед.стр.'!A911</f>
        <v>Содержание автомобильных дорог общего пользования местного значения Сусуманского городского округа</v>
      </c>
      <c r="B241" s="20" t="s">
        <v>65</v>
      </c>
      <c r="C241" s="20" t="s">
        <v>72</v>
      </c>
      <c r="D241" s="115" t="str">
        <f>'пр.5 вед.стр.'!E911</f>
        <v xml:space="preserve">7S 0 01 95310 </v>
      </c>
      <c r="E241" s="110"/>
      <c r="F241" s="61">
        <f>F242</f>
        <v>4316.6</v>
      </c>
    </row>
    <row r="242" spans="1:6" ht="12.75">
      <c r="A242" s="29" t="str">
        <f>'пр.5 вед.стр.'!A912</f>
        <v>Закупка товаров, работ и услуг для обеспечения государственных (муниципальных) нужд</v>
      </c>
      <c r="B242" s="20" t="s">
        <v>65</v>
      </c>
      <c r="C242" s="20" t="s">
        <v>72</v>
      </c>
      <c r="D242" s="115" t="str">
        <f>'пр.5 вед.стр.'!E912</f>
        <v xml:space="preserve">7S 0 01 95310 </v>
      </c>
      <c r="E242" s="110" t="str">
        <f>'пр.5 вед.стр.'!F912</f>
        <v>200</v>
      </c>
      <c r="F242" s="61">
        <f>F243</f>
        <v>4316.6</v>
      </c>
    </row>
    <row r="243" spans="1:6" ht="12.75">
      <c r="A243" s="16" t="s">
        <v>608</v>
      </c>
      <c r="B243" s="20" t="s">
        <v>65</v>
      </c>
      <c r="C243" s="20" t="s">
        <v>72</v>
      </c>
      <c r="D243" s="115" t="str">
        <f>'пр.5 вед.стр.'!E913</f>
        <v xml:space="preserve">7S 0 01 95310 </v>
      </c>
      <c r="E243" s="110" t="str">
        <f>'пр.5 вед.стр.'!F913</f>
        <v>240</v>
      </c>
      <c r="F243" s="61">
        <f>'пр.5 вед.стр.'!G913</f>
        <v>4316.6</v>
      </c>
    </row>
    <row r="244" spans="1:6" ht="12.75">
      <c r="A244" s="16" t="s">
        <v>268</v>
      </c>
      <c r="B244" s="19" t="s">
        <v>65</v>
      </c>
      <c r="C244" s="19" t="s">
        <v>72</v>
      </c>
      <c r="D244" s="110" t="s">
        <v>553</v>
      </c>
      <c r="E244" s="113"/>
      <c r="F244" s="61">
        <f>F245</f>
        <v>1471.4</v>
      </c>
    </row>
    <row r="245" spans="1:6" ht="12.75">
      <c r="A245" s="16" t="s">
        <v>554</v>
      </c>
      <c r="B245" s="19" t="s">
        <v>65</v>
      </c>
      <c r="C245" s="19" t="s">
        <v>72</v>
      </c>
      <c r="D245" s="110" t="s">
        <v>555</v>
      </c>
      <c r="E245" s="113"/>
      <c r="F245" s="61">
        <f>F246</f>
        <v>1471.4</v>
      </c>
    </row>
    <row r="246" spans="1:6" ht="12.75">
      <c r="A246" s="16" t="s">
        <v>333</v>
      </c>
      <c r="B246" s="19" t="s">
        <v>65</v>
      </c>
      <c r="C246" s="19" t="s">
        <v>72</v>
      </c>
      <c r="D246" s="110" t="s">
        <v>555</v>
      </c>
      <c r="E246" s="110" t="s">
        <v>94</v>
      </c>
      <c r="F246" s="61">
        <f>F247</f>
        <v>1471.4</v>
      </c>
    </row>
    <row r="247" spans="1:6" ht="12.75">
      <c r="A247" s="16" t="s">
        <v>608</v>
      </c>
      <c r="B247" s="19" t="s">
        <v>65</v>
      </c>
      <c r="C247" s="19" t="s">
        <v>72</v>
      </c>
      <c r="D247" s="110" t="s">
        <v>555</v>
      </c>
      <c r="E247" s="110" t="s">
        <v>91</v>
      </c>
      <c r="F247" s="61">
        <f>'пр.5 вед.стр.'!G917</f>
        <v>1471.4</v>
      </c>
    </row>
    <row r="248" spans="1:6" ht="12.75">
      <c r="A248" s="15" t="s">
        <v>7</v>
      </c>
      <c r="B248" s="32" t="s">
        <v>65</v>
      </c>
      <c r="C248" s="32" t="s">
        <v>75</v>
      </c>
      <c r="D248" s="116"/>
      <c r="E248" s="113"/>
      <c r="F248" s="174">
        <f>F249</f>
        <v>473.6</v>
      </c>
    </row>
    <row r="249" spans="1:6" ht="12.75">
      <c r="A249" s="16" t="s">
        <v>478</v>
      </c>
      <c r="B249" s="20" t="s">
        <v>65</v>
      </c>
      <c r="C249" s="20" t="s">
        <v>75</v>
      </c>
      <c r="D249" s="115" t="s">
        <v>479</v>
      </c>
      <c r="E249" s="113"/>
      <c r="F249" s="61">
        <f>F250+F255</f>
        <v>473.6</v>
      </c>
    </row>
    <row r="250" spans="1:6" ht="25.5">
      <c r="A250" s="29" t="str">
        <f>'пр.5 вед.стр.'!A132</f>
        <v>Муниципальная программа  "Развитие малого и среднего предпринимательства в Сусуманском городском округе  на 2018- 2022 годы"</v>
      </c>
      <c r="B250" s="20" t="s">
        <v>65</v>
      </c>
      <c r="C250" s="20" t="s">
        <v>75</v>
      </c>
      <c r="D250" s="115" t="str">
        <f>'пр.5 вед.стр.'!E132</f>
        <v xml:space="preserve">7И 0 00 00000 </v>
      </c>
      <c r="E250" s="110"/>
      <c r="F250" s="61">
        <f>F251</f>
        <v>100</v>
      </c>
    </row>
    <row r="251" spans="1:6" ht="25.5">
      <c r="A251" s="29" t="str">
        <f>'пр.5 вед.стр.'!A133</f>
        <v>Основное мероприятие "Обеспечение устойчивого развития малого и среднего предпринимательства, создание новых рабочих мест"</v>
      </c>
      <c r="B251" s="20" t="s">
        <v>65</v>
      </c>
      <c r="C251" s="20" t="s">
        <v>75</v>
      </c>
      <c r="D251" s="115" t="str">
        <f>'пр.5 вед.стр.'!E133</f>
        <v xml:space="preserve">7И 0 01 00000 </v>
      </c>
      <c r="E251" s="110"/>
      <c r="F251" s="61">
        <f>F252</f>
        <v>100</v>
      </c>
    </row>
    <row r="252" spans="1:6" ht="12.75">
      <c r="A252" s="29" t="str">
        <f>'пр.5 вед.стр.'!A134</f>
        <v xml:space="preserve">Финансовая поддержка субъектов малого и среднего предпринимательства </v>
      </c>
      <c r="B252" s="20" t="s">
        <v>65</v>
      </c>
      <c r="C252" s="20" t="s">
        <v>75</v>
      </c>
      <c r="D252" s="115" t="str">
        <f>'пр.5 вед.стр.'!E134</f>
        <v xml:space="preserve">7И 0 01 93360 </v>
      </c>
      <c r="E252" s="110"/>
      <c r="F252" s="61">
        <f>F253</f>
        <v>100</v>
      </c>
    </row>
    <row r="253" spans="1:6" ht="12.75">
      <c r="A253" s="29" t="str">
        <f>'пр.5 вед.стр.'!A135</f>
        <v>Иные бюджетные ассигнования</v>
      </c>
      <c r="B253" s="20" t="s">
        <v>65</v>
      </c>
      <c r="C253" s="20" t="s">
        <v>75</v>
      </c>
      <c r="D253" s="115" t="str">
        <f>'пр.5 вед.стр.'!E135</f>
        <v xml:space="preserve">7И 0 01 93360 </v>
      </c>
      <c r="E253" s="110" t="str">
        <f>'пр.5 вед.стр.'!F135</f>
        <v>800</v>
      </c>
      <c r="F253" s="61">
        <f>F254</f>
        <v>100</v>
      </c>
    </row>
    <row r="254" spans="1:6" ht="25.5">
      <c r="A254" s="29" t="str">
        <f>'пр.5 вед.стр.'!A136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54" s="20" t="s">
        <v>65</v>
      </c>
      <c r="C254" s="20" t="s">
        <v>75</v>
      </c>
      <c r="D254" s="115" t="str">
        <f>'пр.5 вед.стр.'!E136</f>
        <v xml:space="preserve">7И 0 01 93360 </v>
      </c>
      <c r="E254" s="110" t="str">
        <f>'пр.5 вед.стр.'!F136</f>
        <v>810</v>
      </c>
      <c r="F254" s="61">
        <f>'пр.5 вед.стр.'!G136</f>
        <v>100</v>
      </c>
    </row>
    <row r="255" spans="1:6" ht="25.5">
      <c r="A255" s="16" t="str">
        <f>'пр.5 вед.стр.'!A137</f>
        <v>Муниципальная программа "Развитие торговли  на территории Сусуманского городского округа на 2018- 2022 годы"</v>
      </c>
      <c r="B255" s="20" t="s">
        <v>65</v>
      </c>
      <c r="C255" s="20" t="s">
        <v>75</v>
      </c>
      <c r="D255" s="115" t="str">
        <f>'пр.5 вед.стр.'!E137</f>
        <v xml:space="preserve">7Н 0 00 00000 </v>
      </c>
      <c r="E255" s="110"/>
      <c r="F255" s="61">
        <f>F256</f>
        <v>373.6</v>
      </c>
    </row>
    <row r="256" spans="1:6" ht="25.5">
      <c r="A256" s="16" t="str">
        <f>'пр.5 вед.стр.'!A138</f>
        <v>Основное мероприятие "Организация проведения областных универсальных совместных ярмарок товаров"</v>
      </c>
      <c r="B256" s="20" t="s">
        <v>65</v>
      </c>
      <c r="C256" s="20" t="s">
        <v>75</v>
      </c>
      <c r="D256" s="115" t="str">
        <f>'пр.5 вед.стр.'!E138</f>
        <v xml:space="preserve">7Н 0 01 00000 </v>
      </c>
      <c r="E256" s="110"/>
      <c r="F256" s="61">
        <f>F258+F260</f>
        <v>373.6</v>
      </c>
    </row>
    <row r="257" spans="1:6" ht="12.75">
      <c r="A257" s="16" t="str">
        <f>'пр.5 вед.стр.'!A139</f>
        <v>Мероприятия по организации и проведению областных универсальных совместных ярмарок</v>
      </c>
      <c r="B257" s="20" t="s">
        <v>65</v>
      </c>
      <c r="C257" s="20" t="s">
        <v>75</v>
      </c>
      <c r="D257" s="115" t="str">
        <f>'пр.5 вед.стр.'!E139</f>
        <v>7Н 0 01 73900</v>
      </c>
      <c r="E257" s="110"/>
      <c r="F257" s="61">
        <f>F258</f>
        <v>306</v>
      </c>
    </row>
    <row r="258" spans="1:6" ht="12.75">
      <c r="A258" s="16" t="s">
        <v>333</v>
      </c>
      <c r="B258" s="20" t="s">
        <v>65</v>
      </c>
      <c r="C258" s="20" t="s">
        <v>75</v>
      </c>
      <c r="D258" s="115" t="str">
        <f>'пр.5 вед.стр.'!E139</f>
        <v>7Н 0 01 73900</v>
      </c>
      <c r="E258" s="110" t="s">
        <v>94</v>
      </c>
      <c r="F258" s="61">
        <f>F259</f>
        <v>306</v>
      </c>
    </row>
    <row r="259" spans="1:6" ht="12.75">
      <c r="A259" s="16" t="s">
        <v>608</v>
      </c>
      <c r="B259" s="20" t="s">
        <v>65</v>
      </c>
      <c r="C259" s="20" t="s">
        <v>75</v>
      </c>
      <c r="D259" s="115" t="str">
        <f>'пр.5 вед.стр.'!E140</f>
        <v>7Н 0 01 73900</v>
      </c>
      <c r="E259" s="110" t="s">
        <v>91</v>
      </c>
      <c r="F259" s="61">
        <f>'пр.5 вед.стр.'!G141</f>
        <v>306</v>
      </c>
    </row>
    <row r="260" spans="1:6" ht="25.5">
      <c r="A260" s="16" t="str">
        <f>'пр.5 вед.стр.'!A142</f>
        <v>Мероприятия по организации и проведению областных универсальных совместных ярмарок за счет средств местного бюджета</v>
      </c>
      <c r="B260" s="20" t="s">
        <v>65</v>
      </c>
      <c r="C260" s="20" t="s">
        <v>75</v>
      </c>
      <c r="D260" s="115" t="str">
        <f>'пр.5 вед.стр.'!E142</f>
        <v xml:space="preserve">7Н 0 01 S3900 </v>
      </c>
      <c r="E260" s="110"/>
      <c r="F260" s="61">
        <f>F263+F261</f>
        <v>67.6</v>
      </c>
    </row>
    <row r="261" spans="1:6" ht="38.25">
      <c r="A261" s="16" t="str">
        <f>'пр.5 вед.стр.'!A143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1" s="20" t="s">
        <v>65</v>
      </c>
      <c r="C261" s="20" t="s">
        <v>75</v>
      </c>
      <c r="D261" s="115" t="str">
        <f>'пр.5 вед.стр.'!E143</f>
        <v xml:space="preserve">7Н 0 01 S3900 </v>
      </c>
      <c r="E261" s="110" t="str">
        <f>'пр.5 вед.стр.'!F143</f>
        <v>100</v>
      </c>
      <c r="F261" s="61">
        <f>F262</f>
        <v>15</v>
      </c>
    </row>
    <row r="262" spans="1:6" ht="12.75">
      <c r="A262" s="16" t="str">
        <f>'пр.5 вед.стр.'!A144</f>
        <v>Расходы на выплаты персоналу государственных (муниципальных) органов</v>
      </c>
      <c r="B262" s="20" t="s">
        <v>65</v>
      </c>
      <c r="C262" s="20" t="s">
        <v>75</v>
      </c>
      <c r="D262" s="115" t="str">
        <f>'пр.5 вед.стр.'!E144</f>
        <v xml:space="preserve">7Н 0 01 S3900 </v>
      </c>
      <c r="E262" s="110" t="str">
        <f>'пр.5 вед.стр.'!F144</f>
        <v>120</v>
      </c>
      <c r="F262" s="61">
        <f>'пр.5 вед.стр.'!G144</f>
        <v>15</v>
      </c>
    </row>
    <row r="263" spans="1:6" ht="12.75">
      <c r="A263" s="16" t="str">
        <f>'пр.5 вед.стр.'!A145</f>
        <v>Закупка товаров, работ и услуг для обеспечения государственных (муниципальных) нужд</v>
      </c>
      <c r="B263" s="20" t="s">
        <v>65</v>
      </c>
      <c r="C263" s="20" t="s">
        <v>75</v>
      </c>
      <c r="D263" s="115" t="str">
        <f>'пр.5 вед.стр.'!E145</f>
        <v xml:space="preserve">7Н 0 01 S3900 </v>
      </c>
      <c r="E263" s="110" t="str">
        <f>'пр.5 вед.стр.'!F145</f>
        <v>200</v>
      </c>
      <c r="F263" s="61">
        <f>F264</f>
        <v>52.6</v>
      </c>
    </row>
    <row r="264" spans="1:6" ht="12.75">
      <c r="A264" s="16" t="s">
        <v>608</v>
      </c>
      <c r="B264" s="20" t="s">
        <v>65</v>
      </c>
      <c r="C264" s="20" t="s">
        <v>75</v>
      </c>
      <c r="D264" s="115" t="str">
        <f>'пр.5 вед.стр.'!E146</f>
        <v xml:space="preserve">7Н 0 01 S3900 </v>
      </c>
      <c r="E264" s="110" t="str">
        <f>'пр.5 вед.стр.'!F146</f>
        <v>240</v>
      </c>
      <c r="F264" s="61">
        <f>'пр.5 вед.стр.'!G146</f>
        <v>52.6</v>
      </c>
    </row>
    <row r="265" spans="1:6" ht="12.75">
      <c r="A265" s="14" t="s">
        <v>128</v>
      </c>
      <c r="B265" s="37" t="s">
        <v>69</v>
      </c>
      <c r="C265" s="37" t="s">
        <v>34</v>
      </c>
      <c r="D265" s="116"/>
      <c r="E265" s="113"/>
      <c r="F265" s="174">
        <f>F266+F282+F304</f>
        <v>47286.7</v>
      </c>
    </row>
    <row r="266" spans="1:6" ht="12.75">
      <c r="A266" s="14" t="s">
        <v>127</v>
      </c>
      <c r="B266" s="37" t="s">
        <v>69</v>
      </c>
      <c r="C266" s="37" t="s">
        <v>63</v>
      </c>
      <c r="D266" s="115"/>
      <c r="E266" s="110"/>
      <c r="F266" s="174">
        <f>F267+F273</f>
        <v>17113.6</v>
      </c>
    </row>
    <row r="267" spans="1:6" ht="12.75">
      <c r="A267" s="16" t="s">
        <v>478</v>
      </c>
      <c r="B267" s="19" t="s">
        <v>69</v>
      </c>
      <c r="C267" s="19" t="s">
        <v>63</v>
      </c>
      <c r="D267" s="115" t="s">
        <v>479</v>
      </c>
      <c r="E267" s="110"/>
      <c r="F267" s="61">
        <f>F268</f>
        <v>4475</v>
      </c>
    </row>
    <row r="268" spans="1:6" ht="25.5">
      <c r="A268" s="29" t="str">
        <f>'пр.5 вед.стр.'!A921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268" s="19" t="s">
        <v>69</v>
      </c>
      <c r="C268" s="19" t="s">
        <v>63</v>
      </c>
      <c r="D268" s="115" t="str">
        <f>'пр.5 вед.стр.'!E921</f>
        <v xml:space="preserve">7Г 0 00 00000 </v>
      </c>
      <c r="E268" s="110"/>
      <c r="F268" s="61">
        <f>F269</f>
        <v>4475</v>
      </c>
    </row>
    <row r="269" spans="1:6" ht="12.75">
      <c r="A269" s="29" t="str">
        <f>'пр.5 вед.стр.'!A922</f>
        <v>Основное мероприятие "Оптимизация системы расселения в Сусуманском городском округе"</v>
      </c>
      <c r="B269" s="19" t="s">
        <v>69</v>
      </c>
      <c r="C269" s="19" t="s">
        <v>63</v>
      </c>
      <c r="D269" s="115" t="str">
        <f>'пр.5 вед.стр.'!E922</f>
        <v xml:space="preserve">7Г 0 01 00000 </v>
      </c>
      <c r="E269" s="110"/>
      <c r="F269" s="61">
        <f>F270</f>
        <v>4475</v>
      </c>
    </row>
    <row r="270" spans="1:6" ht="12.75">
      <c r="A270" s="29" t="str">
        <f>'пр.5 вед.стр.'!A923</f>
        <v xml:space="preserve">Оптимизация жилищного фонда в виде расселения </v>
      </c>
      <c r="B270" s="19" t="s">
        <v>69</v>
      </c>
      <c r="C270" s="19" t="s">
        <v>63</v>
      </c>
      <c r="D270" s="115" t="str">
        <f>'пр.5 вед.стр.'!E923</f>
        <v xml:space="preserve">7Г 0 01 96610 </v>
      </c>
      <c r="E270" s="110"/>
      <c r="F270" s="61">
        <f>F271</f>
        <v>4475</v>
      </c>
    </row>
    <row r="271" spans="1:6" ht="12.75">
      <c r="A271" s="29" t="str">
        <f>'пр.5 вед.стр.'!A924</f>
        <v>Закупка товаров, работ и услуг для обеспечения государственных (муниципальных) нужд</v>
      </c>
      <c r="B271" s="19" t="s">
        <v>69</v>
      </c>
      <c r="C271" s="19" t="s">
        <v>63</v>
      </c>
      <c r="D271" s="115" t="str">
        <f>'пр.5 вед.стр.'!E924</f>
        <v xml:space="preserve">7Г 0 01 96610 </v>
      </c>
      <c r="E271" s="110" t="str">
        <f>'пр.5 вед.стр.'!F924</f>
        <v>200</v>
      </c>
      <c r="F271" s="61">
        <f>F272</f>
        <v>4475</v>
      </c>
    </row>
    <row r="272" spans="1:6" ht="12.75">
      <c r="A272" s="16" t="s">
        <v>608</v>
      </c>
      <c r="B272" s="19" t="s">
        <v>69</v>
      </c>
      <c r="C272" s="19" t="s">
        <v>63</v>
      </c>
      <c r="D272" s="115" t="str">
        <f>'пр.5 вед.стр.'!E925</f>
        <v xml:space="preserve">7Г 0 01 96610 </v>
      </c>
      <c r="E272" s="110" t="str">
        <f>'пр.5 вед.стр.'!F925</f>
        <v>240</v>
      </c>
      <c r="F272" s="61">
        <f>'пр.5 вед.стр.'!G924</f>
        <v>4475</v>
      </c>
    </row>
    <row r="273" spans="1:6" ht="12.75">
      <c r="A273" s="30" t="s">
        <v>170</v>
      </c>
      <c r="B273" s="19" t="s">
        <v>69</v>
      </c>
      <c r="C273" s="19" t="s">
        <v>63</v>
      </c>
      <c r="D273" s="110" t="s">
        <v>484</v>
      </c>
      <c r="E273" s="110"/>
      <c r="F273" s="61">
        <f>F274+F277</f>
        <v>12638.599999999999</v>
      </c>
    </row>
    <row r="274" spans="1:6" ht="12.75">
      <c r="A274" s="16" t="s">
        <v>201</v>
      </c>
      <c r="B274" s="19" t="s">
        <v>69</v>
      </c>
      <c r="C274" s="19" t="s">
        <v>63</v>
      </c>
      <c r="D274" s="110" t="s">
        <v>485</v>
      </c>
      <c r="E274" s="110"/>
      <c r="F274" s="61">
        <f>F275</f>
        <v>5407.299999999999</v>
      </c>
    </row>
    <row r="275" spans="1:6" ht="12.75">
      <c r="A275" s="16" t="s">
        <v>333</v>
      </c>
      <c r="B275" s="19" t="s">
        <v>69</v>
      </c>
      <c r="C275" s="19" t="s">
        <v>63</v>
      </c>
      <c r="D275" s="110" t="s">
        <v>485</v>
      </c>
      <c r="E275" s="110" t="s">
        <v>94</v>
      </c>
      <c r="F275" s="61">
        <f>F276</f>
        <v>5407.299999999999</v>
      </c>
    </row>
    <row r="276" spans="1:6" ht="12.75">
      <c r="A276" s="16" t="s">
        <v>608</v>
      </c>
      <c r="B276" s="19" t="s">
        <v>69</v>
      </c>
      <c r="C276" s="19" t="s">
        <v>63</v>
      </c>
      <c r="D276" s="110" t="s">
        <v>485</v>
      </c>
      <c r="E276" s="110" t="s">
        <v>91</v>
      </c>
      <c r="F276" s="61">
        <f>'пр.5 вед.стр.'!G152+'пр.5 вед.стр.'!G346+'пр.5 вед.стр.'!G929</f>
        <v>5407.299999999999</v>
      </c>
    </row>
    <row r="277" spans="1:6" ht="12.75">
      <c r="A277" s="16" t="s">
        <v>205</v>
      </c>
      <c r="B277" s="19" t="s">
        <v>69</v>
      </c>
      <c r="C277" s="19" t="s">
        <v>63</v>
      </c>
      <c r="D277" s="110" t="s">
        <v>556</v>
      </c>
      <c r="E277" s="110"/>
      <c r="F277" s="61">
        <f>F280+F278</f>
        <v>7231.3</v>
      </c>
    </row>
    <row r="278" spans="1:6" ht="12.75">
      <c r="A278" s="16" t="s">
        <v>333</v>
      </c>
      <c r="B278" s="19" t="s">
        <v>69</v>
      </c>
      <c r="C278" s="19" t="s">
        <v>63</v>
      </c>
      <c r="D278" s="110" t="s">
        <v>556</v>
      </c>
      <c r="E278" s="110" t="s">
        <v>94</v>
      </c>
      <c r="F278" s="61">
        <f>F279</f>
        <v>350</v>
      </c>
    </row>
    <row r="279" spans="1:6" ht="12.75">
      <c r="A279" s="16" t="s">
        <v>608</v>
      </c>
      <c r="B279" s="19" t="s">
        <v>69</v>
      </c>
      <c r="C279" s="19" t="s">
        <v>63</v>
      </c>
      <c r="D279" s="110" t="s">
        <v>556</v>
      </c>
      <c r="E279" s="110" t="s">
        <v>91</v>
      </c>
      <c r="F279" s="61">
        <f>'пр.5 вед.стр.'!G932</f>
        <v>350</v>
      </c>
    </row>
    <row r="280" spans="1:6" ht="12.75">
      <c r="A280" s="16" t="s">
        <v>110</v>
      </c>
      <c r="B280" s="19" t="s">
        <v>69</v>
      </c>
      <c r="C280" s="19" t="s">
        <v>63</v>
      </c>
      <c r="D280" s="110" t="s">
        <v>556</v>
      </c>
      <c r="E280" s="110" t="s">
        <v>111</v>
      </c>
      <c r="F280" s="61">
        <f>F281</f>
        <v>6881.3</v>
      </c>
    </row>
    <row r="281" spans="1:6" ht="12.75">
      <c r="A281" s="16" t="s">
        <v>113</v>
      </c>
      <c r="B281" s="19" t="s">
        <v>69</v>
      </c>
      <c r="C281" s="19" t="s">
        <v>63</v>
      </c>
      <c r="D281" s="110" t="s">
        <v>556</v>
      </c>
      <c r="E281" s="110" t="s">
        <v>114</v>
      </c>
      <c r="F281" s="61">
        <f>'пр.5 вед.стр.'!G934</f>
        <v>6881.3</v>
      </c>
    </row>
    <row r="282" spans="1:6" ht="12.75">
      <c r="A282" s="15" t="s">
        <v>172</v>
      </c>
      <c r="B282" s="37" t="s">
        <v>69</v>
      </c>
      <c r="C282" s="37" t="s">
        <v>64</v>
      </c>
      <c r="D282" s="116"/>
      <c r="E282" s="113"/>
      <c r="F282" s="174">
        <f>F283+F297</f>
        <v>25104.399999999998</v>
      </c>
    </row>
    <row r="283" spans="1:6" ht="12.75">
      <c r="A283" s="16" t="s">
        <v>478</v>
      </c>
      <c r="B283" s="19" t="s">
        <v>69</v>
      </c>
      <c r="C283" s="19" t="s">
        <v>64</v>
      </c>
      <c r="D283" s="115" t="s">
        <v>548</v>
      </c>
      <c r="E283" s="110"/>
      <c r="F283" s="61">
        <f>F284+F289</f>
        <v>21166.8</v>
      </c>
    </row>
    <row r="284" spans="1:6" ht="25.5">
      <c r="A284" s="16" t="str">
        <f>'пр.5 вед.стр.'!A937</f>
        <v>Муниципальная программа "Финансовая поддержка организациям коммунального комплекса Сусуманского городского округа на 2018- 2022 годы"</v>
      </c>
      <c r="B284" s="19" t="s">
        <v>69</v>
      </c>
      <c r="C284" s="19" t="s">
        <v>64</v>
      </c>
      <c r="D284" s="115" t="str">
        <f>'пр.5 вед.стр.'!E937</f>
        <v>7Я 0 00 00000</v>
      </c>
      <c r="E284" s="110"/>
      <c r="F284" s="61">
        <f>F285</f>
        <v>800</v>
      </c>
    </row>
    <row r="285" spans="1:6" ht="12.75">
      <c r="A285" s="30" t="str">
        <f>'пр.5 вед.стр.'!A938</f>
        <v>Основное мероприятие  "Финансовая поддержка организациям коммунального комплекса"</v>
      </c>
      <c r="B285" s="19" t="s">
        <v>69</v>
      </c>
      <c r="C285" s="19" t="s">
        <v>64</v>
      </c>
      <c r="D285" s="115" t="str">
        <f>'пр.5 вед.стр.'!E938</f>
        <v>7Я 0 01 00000</v>
      </c>
      <c r="E285" s="110"/>
      <c r="F285" s="61">
        <f>F286</f>
        <v>800</v>
      </c>
    </row>
    <row r="286" spans="1:6" ht="25.5">
      <c r="A286" s="16" t="str">
        <f>'пр.5 вед.стр.'!A939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286" s="19" t="s">
        <v>69</v>
      </c>
      <c r="C286" s="19" t="s">
        <v>64</v>
      </c>
      <c r="D286" s="115" t="str">
        <f>'пр.5 вед.стр.'!E939</f>
        <v>7Я 0 01 98700</v>
      </c>
      <c r="E286" s="110"/>
      <c r="F286" s="61">
        <f>F287</f>
        <v>800</v>
      </c>
    </row>
    <row r="287" spans="1:6" ht="12.75">
      <c r="A287" s="16" t="str">
        <f>'пр.5 вед.стр.'!A940</f>
        <v>Иные бюджетные ассигнования</v>
      </c>
      <c r="B287" s="19" t="s">
        <v>69</v>
      </c>
      <c r="C287" s="19" t="s">
        <v>64</v>
      </c>
      <c r="D287" s="115" t="str">
        <f>'пр.5 вед.стр.'!E940</f>
        <v>7Я 0 01 98700</v>
      </c>
      <c r="E287" s="110" t="str">
        <f>'пр.5 вед.стр.'!F940</f>
        <v>800</v>
      </c>
      <c r="F287" s="61">
        <f>F288</f>
        <v>800</v>
      </c>
    </row>
    <row r="288" spans="1:6" ht="25.5">
      <c r="A288" s="16" t="str">
        <f>'пр.5 вед.стр.'!A941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88" s="19" t="s">
        <v>69</v>
      </c>
      <c r="C288" s="19" t="s">
        <v>64</v>
      </c>
      <c r="D288" s="115" t="str">
        <f>'пр.5 вед.стр.'!E941</f>
        <v>7Я 0 01 98700</v>
      </c>
      <c r="E288" s="110" t="str">
        <f>'пр.5 вед.стр.'!F941</f>
        <v>810</v>
      </c>
      <c r="F288" s="61">
        <f>'пр.5 вед.стр.'!G941</f>
        <v>800</v>
      </c>
    </row>
    <row r="289" spans="1:6" ht="25.5">
      <c r="A289" s="16" t="str">
        <f>'пр.5 вед.стр.'!A942</f>
        <v>Муниципальная программа "Комплексное развитие систем коммунальной инфраструктуры Сусуманского городского округа на 2018- 2022 годы"</v>
      </c>
      <c r="B289" s="19" t="s">
        <v>69</v>
      </c>
      <c r="C289" s="19" t="s">
        <v>64</v>
      </c>
      <c r="D289" s="115" t="str">
        <f>'пр.5 вед.стр.'!E942</f>
        <v>7N 0 00 00000</v>
      </c>
      <c r="E289" s="110"/>
      <c r="F289" s="61">
        <f>F290</f>
        <v>20366.8</v>
      </c>
    </row>
    <row r="290" spans="1:6" ht="25.5">
      <c r="A290" s="16" t="str">
        <f>'пр.5 вед.стр.'!A943</f>
        <v>Основное мероприятие "Проведение реконструкции, ремонта или замены оборудования на объектах коммунальной инфраструктуры"</v>
      </c>
      <c r="B290" s="19" t="s">
        <v>69</v>
      </c>
      <c r="C290" s="19" t="s">
        <v>64</v>
      </c>
      <c r="D290" s="115" t="str">
        <f>'пр.5 вед.стр.'!E943</f>
        <v>7N 0 01 00000</v>
      </c>
      <c r="E290" s="110"/>
      <c r="F290" s="61">
        <f>F291+F294</f>
        <v>20366.8</v>
      </c>
    </row>
    <row r="291" spans="1:6" ht="25.5">
      <c r="A291" s="16" t="str">
        <f>'пр.5 вед.стр.'!A944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291" s="19" t="s">
        <v>69</v>
      </c>
      <c r="C291" s="19" t="s">
        <v>64</v>
      </c>
      <c r="D291" s="115" t="str">
        <f>'пр.5 вед.стр.'!E944</f>
        <v>7N 0 01  98200</v>
      </c>
      <c r="E291" s="110"/>
      <c r="F291" s="61">
        <f>F292</f>
        <v>300</v>
      </c>
    </row>
    <row r="292" spans="1:6" ht="12.75">
      <c r="A292" s="16" t="str">
        <f>'пр.5 вед.стр.'!A945</f>
        <v>Закупка товаров, работ и услуг для обеспечения государственных (муниципальных) нужд</v>
      </c>
      <c r="B292" s="19" t="s">
        <v>69</v>
      </c>
      <c r="C292" s="19" t="s">
        <v>64</v>
      </c>
      <c r="D292" s="115" t="str">
        <f>'пр.5 вед.стр.'!E945</f>
        <v>7N 0 01  98200</v>
      </c>
      <c r="E292" s="110" t="str">
        <f>'пр.5 вед.стр.'!F945</f>
        <v>200</v>
      </c>
      <c r="F292" s="61">
        <f>F293</f>
        <v>300</v>
      </c>
    </row>
    <row r="293" spans="1:6" ht="12.75">
      <c r="A293" s="16" t="s">
        <v>608</v>
      </c>
      <c r="B293" s="19" t="s">
        <v>69</v>
      </c>
      <c r="C293" s="19" t="s">
        <v>64</v>
      </c>
      <c r="D293" s="115" t="str">
        <f>'пр.5 вед.стр.'!E946</f>
        <v>7N 0 01  98200</v>
      </c>
      <c r="E293" s="110" t="str">
        <f>'пр.5 вед.стр.'!F946</f>
        <v>240</v>
      </c>
      <c r="F293" s="61">
        <f>'пр.5 вед.стр.'!G946</f>
        <v>300</v>
      </c>
    </row>
    <row r="294" spans="1:6" ht="24" customHeight="1">
      <c r="A294" s="16" t="str">
        <f>'пр.5 вед.стр.'!A947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294" s="19" t="s">
        <v>69</v>
      </c>
      <c r="C294" s="19" t="s">
        <v>64</v>
      </c>
      <c r="D294" s="115" t="str">
        <f>'пр.5 вед.стр.'!E947</f>
        <v>7N 0 01  98100</v>
      </c>
      <c r="E294" s="110"/>
      <c r="F294" s="61">
        <f>F295</f>
        <v>20066.8</v>
      </c>
    </row>
    <row r="295" spans="1:6" ht="12.75">
      <c r="A295" s="16" t="str">
        <f>'пр.5 вед.стр.'!A948</f>
        <v>Закупка товаров, работ и услуг для обеспечения государственных (муниципальных) нужд</v>
      </c>
      <c r="B295" s="19" t="s">
        <v>69</v>
      </c>
      <c r="C295" s="19" t="s">
        <v>64</v>
      </c>
      <c r="D295" s="115" t="str">
        <f>'пр.5 вед.стр.'!E948</f>
        <v>7N 0 01  98100</v>
      </c>
      <c r="E295" s="110" t="str">
        <f>'пр.5 вед.стр.'!F948</f>
        <v>200</v>
      </c>
      <c r="F295" s="61">
        <f>F296</f>
        <v>20066.8</v>
      </c>
    </row>
    <row r="296" spans="1:6" ht="12.75">
      <c r="A296" s="16" t="str">
        <f>'пр.5 вед.стр.'!A949</f>
        <v>Иные закупки товаров, работ и услуг для обеспечения государственных ( муниципальных ) нужд</v>
      </c>
      <c r="B296" s="19" t="s">
        <v>69</v>
      </c>
      <c r="C296" s="19" t="s">
        <v>64</v>
      </c>
      <c r="D296" s="115" t="str">
        <f>'пр.5 вед.стр.'!E949</f>
        <v>7N 0 01  98100</v>
      </c>
      <c r="E296" s="110" t="str">
        <f>'пр.5 вед.стр.'!F949</f>
        <v>240</v>
      </c>
      <c r="F296" s="61">
        <f>'пр.5 вед.стр.'!G949</f>
        <v>20066.8</v>
      </c>
    </row>
    <row r="297" spans="1:6" ht="12.75">
      <c r="A297" s="16" t="str">
        <f>'пр.5 вед.стр.'!A950</f>
        <v>Поддержка коммунального хозяйства</v>
      </c>
      <c r="B297" s="19" t="s">
        <v>69</v>
      </c>
      <c r="C297" s="19" t="s">
        <v>64</v>
      </c>
      <c r="D297" s="110" t="s">
        <v>558</v>
      </c>
      <c r="E297" s="110"/>
      <c r="F297" s="61">
        <f>F298+F301</f>
        <v>3937.6</v>
      </c>
    </row>
    <row r="298" spans="1:6" ht="25.5">
      <c r="A298" s="16" t="str">
        <f>'пр.5 вед.стр.'!A951</f>
        <v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298" s="19" t="s">
        <v>69</v>
      </c>
      <c r="C298" s="19" t="s">
        <v>64</v>
      </c>
      <c r="D298" s="110" t="s">
        <v>559</v>
      </c>
      <c r="E298" s="110"/>
      <c r="F298" s="61">
        <f>F299</f>
        <v>2177</v>
      </c>
    </row>
    <row r="299" spans="1:6" ht="12.75">
      <c r="A299" s="16" t="s">
        <v>110</v>
      </c>
      <c r="B299" s="19" t="s">
        <v>69</v>
      </c>
      <c r="C299" s="19" t="s">
        <v>64</v>
      </c>
      <c r="D299" s="110" t="s">
        <v>559</v>
      </c>
      <c r="E299" s="110" t="s">
        <v>111</v>
      </c>
      <c r="F299" s="61">
        <f>F300</f>
        <v>2177</v>
      </c>
    </row>
    <row r="300" spans="1:6" ht="25.5">
      <c r="A300" s="16" t="s">
        <v>135</v>
      </c>
      <c r="B300" s="19" t="s">
        <v>69</v>
      </c>
      <c r="C300" s="19" t="s">
        <v>64</v>
      </c>
      <c r="D300" s="110" t="s">
        <v>559</v>
      </c>
      <c r="E300" s="110" t="s">
        <v>112</v>
      </c>
      <c r="F300" s="61">
        <f>'пр.5 вед.стр.'!G953</f>
        <v>2177</v>
      </c>
    </row>
    <row r="301" spans="1:6" ht="12.75">
      <c r="A301" s="16" t="str">
        <f>'пр.5 вед.стр.'!A954</f>
        <v>Прочие мероприятия в области коммунального хозяйства</v>
      </c>
      <c r="B301" s="19" t="s">
        <v>69</v>
      </c>
      <c r="C301" s="19" t="s">
        <v>64</v>
      </c>
      <c r="D301" s="110" t="str">
        <f>'пр.5 вед.стр.'!E954</f>
        <v>К1 0 00 08050</v>
      </c>
      <c r="E301" s="110"/>
      <c r="F301" s="61">
        <f>F302</f>
        <v>1760.6</v>
      </c>
    </row>
    <row r="302" spans="1:6" ht="12.75">
      <c r="A302" s="16" t="str">
        <f>'пр.5 вед.стр.'!A955</f>
        <v>Закупка товаров, работ и услуг для обеспечения государственных (муниципальных) нужд</v>
      </c>
      <c r="B302" s="19" t="s">
        <v>69</v>
      </c>
      <c r="C302" s="19" t="s">
        <v>64</v>
      </c>
      <c r="D302" s="110" t="str">
        <f>'пр.5 вед.стр.'!E955</f>
        <v>К1 0 00 08050</v>
      </c>
      <c r="E302" s="110" t="str">
        <f>'пр.5 вед.стр.'!F955</f>
        <v>200</v>
      </c>
      <c r="F302" s="61">
        <f>F303</f>
        <v>1760.6</v>
      </c>
    </row>
    <row r="303" spans="1:6" ht="12.75">
      <c r="A303" s="16" t="s">
        <v>608</v>
      </c>
      <c r="B303" s="19" t="s">
        <v>69</v>
      </c>
      <c r="C303" s="19" t="s">
        <v>64</v>
      </c>
      <c r="D303" s="110" t="str">
        <f>'пр.5 вед.стр.'!E956</f>
        <v>К1 0 00 08050</v>
      </c>
      <c r="E303" s="110" t="str">
        <f>'пр.5 вед.стр.'!F956</f>
        <v>240</v>
      </c>
      <c r="F303" s="61">
        <f>'пр.5 вед.стр.'!G956</f>
        <v>1760.6</v>
      </c>
    </row>
    <row r="304" spans="1:6" ht="12.75">
      <c r="A304" s="15" t="s">
        <v>174</v>
      </c>
      <c r="B304" s="37" t="s">
        <v>69</v>
      </c>
      <c r="C304" s="37" t="s">
        <v>67</v>
      </c>
      <c r="D304" s="113"/>
      <c r="E304" s="113"/>
      <c r="F304" s="174">
        <f>F305+F316+F323+F330</f>
        <v>5068.7</v>
      </c>
    </row>
    <row r="305" spans="1:6" ht="12.75">
      <c r="A305" s="16" t="s">
        <v>478</v>
      </c>
      <c r="B305" s="19" t="s">
        <v>69</v>
      </c>
      <c r="C305" s="19" t="s">
        <v>67</v>
      </c>
      <c r="D305" s="115" t="s">
        <v>548</v>
      </c>
      <c r="E305" s="110"/>
      <c r="F305" s="61">
        <f>F306+F311</f>
        <v>197</v>
      </c>
    </row>
    <row r="306" spans="1:6" ht="25.5">
      <c r="A306" s="16" t="str">
        <f>'пр.5 вед.стр.'!A959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306" s="19" t="s">
        <v>69</v>
      </c>
      <c r="C306" s="19" t="s">
        <v>67</v>
      </c>
      <c r="D306" s="115" t="str">
        <f>'пр.5 вед.стр.'!E959</f>
        <v xml:space="preserve">7К 0 00 00000 </v>
      </c>
      <c r="E306" s="110"/>
      <c r="F306" s="61">
        <f>F307</f>
        <v>55</v>
      </c>
    </row>
    <row r="307" spans="1:6" ht="25.5">
      <c r="A307" s="30" t="str">
        <f>'пр.5 вед.стр.'!A960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307" s="19" t="s">
        <v>69</v>
      </c>
      <c r="C307" s="19" t="s">
        <v>67</v>
      </c>
      <c r="D307" s="115" t="str">
        <f>'пр.5 вед.стр.'!E960</f>
        <v xml:space="preserve">7К 0 01 00000 </v>
      </c>
      <c r="E307" s="110"/>
      <c r="F307" s="61">
        <f>F308</f>
        <v>55</v>
      </c>
    </row>
    <row r="308" spans="1:6" ht="25.5">
      <c r="A308" s="30" t="str">
        <f>'пр.5 вед.стр.'!A961</f>
        <v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308" s="19" t="s">
        <v>69</v>
      </c>
      <c r="C308" s="19" t="s">
        <v>67</v>
      </c>
      <c r="D308" s="115" t="str">
        <f>'пр.5 вед.стр.'!E961</f>
        <v>7К 0 01 L5550</v>
      </c>
      <c r="E308" s="110"/>
      <c r="F308" s="61">
        <f>F309</f>
        <v>55</v>
      </c>
    </row>
    <row r="309" spans="1:6" ht="12.75">
      <c r="A309" s="30" t="str">
        <f>'пр.5 вед.стр.'!A962</f>
        <v>Закупка товаров, работ и услуг для обеспечения государственных (муниципальных) нужд</v>
      </c>
      <c r="B309" s="19" t="s">
        <v>69</v>
      </c>
      <c r="C309" s="19" t="s">
        <v>67</v>
      </c>
      <c r="D309" s="115" t="str">
        <f>'пр.5 вед.стр.'!E962</f>
        <v>7К 0 01 L5550</v>
      </c>
      <c r="E309" s="110" t="str">
        <f>'пр.5 вед.стр.'!F962</f>
        <v>200</v>
      </c>
      <c r="F309" s="61">
        <f>F310</f>
        <v>55</v>
      </c>
    </row>
    <row r="310" spans="1:6" ht="12.75">
      <c r="A310" s="16" t="s">
        <v>608</v>
      </c>
      <c r="B310" s="19" t="s">
        <v>69</v>
      </c>
      <c r="C310" s="19" t="s">
        <v>67</v>
      </c>
      <c r="D310" s="115" t="str">
        <f>'пр.5 вед.стр.'!E963</f>
        <v>7К 0 01 L5550</v>
      </c>
      <c r="E310" s="110" t="str">
        <f>'пр.5 вед.стр.'!F963</f>
        <v>240</v>
      </c>
      <c r="F310" s="61">
        <f>'пр.5 вед.стр.'!G963</f>
        <v>55</v>
      </c>
    </row>
    <row r="311" spans="1:6" ht="12.75">
      <c r="A311" s="16" t="str">
        <f>'пр.5 вед.стр.'!A964</f>
        <v>Муниципальная программа "Благоустройство Сусуманского городского округа на 2018- 2022 годы"</v>
      </c>
      <c r="B311" s="19" t="s">
        <v>69</v>
      </c>
      <c r="C311" s="19" t="s">
        <v>67</v>
      </c>
      <c r="D311" s="115" t="str">
        <f>'пр.5 вед.стр.'!E964</f>
        <v>7Z 0 00 00000</v>
      </c>
      <c r="E311" s="110"/>
      <c r="F311" s="61">
        <f>F312</f>
        <v>142</v>
      </c>
    </row>
    <row r="312" spans="1:6" ht="12.75">
      <c r="A312" s="30" t="str">
        <f>'пр.5 вед.стр.'!A965</f>
        <v>Основное мероприятие "Обеспечение реализации программы"</v>
      </c>
      <c r="B312" s="19" t="s">
        <v>69</v>
      </c>
      <c r="C312" s="19" t="s">
        <v>67</v>
      </c>
      <c r="D312" s="115" t="str">
        <f>'пр.5 вед.стр.'!E965</f>
        <v>7Z 0 01 00000</v>
      </c>
      <c r="E312" s="110"/>
      <c r="F312" s="61">
        <f>F313</f>
        <v>142</v>
      </c>
    </row>
    <row r="313" spans="1:6" ht="12.75">
      <c r="A313" s="30" t="str">
        <f>'пр.5 вед.стр.'!A966</f>
        <v>Мероприятия по благоустройству территории Сусуманского городского округа</v>
      </c>
      <c r="B313" s="19" t="s">
        <v>69</v>
      </c>
      <c r="C313" s="19" t="s">
        <v>67</v>
      </c>
      <c r="D313" s="115" t="str">
        <f>'пр.5 вед.стр.'!E966</f>
        <v>7Z 0 01 92010</v>
      </c>
      <c r="E313" s="110"/>
      <c r="F313" s="61">
        <f>F314</f>
        <v>142</v>
      </c>
    </row>
    <row r="314" spans="1:6" ht="12.75">
      <c r="A314" s="30" t="str">
        <f>'пр.5 вед.стр.'!A967</f>
        <v>Закупка товаров, работ и услуг для обеспечения государственных (муниципальных) нужд</v>
      </c>
      <c r="B314" s="19" t="s">
        <v>69</v>
      </c>
      <c r="C314" s="19" t="s">
        <v>67</v>
      </c>
      <c r="D314" s="115" t="str">
        <f>'пр.5 вед.стр.'!E967</f>
        <v>7Z 0 01 92010</v>
      </c>
      <c r="E314" s="110" t="str">
        <f>'пр.5 вед.стр.'!F967</f>
        <v>200</v>
      </c>
      <c r="F314" s="61">
        <f>F315</f>
        <v>142</v>
      </c>
    </row>
    <row r="315" spans="1:6" ht="12.75">
      <c r="A315" s="16" t="s">
        <v>608</v>
      </c>
      <c r="B315" s="19" t="s">
        <v>69</v>
      </c>
      <c r="C315" s="19" t="s">
        <v>67</v>
      </c>
      <c r="D315" s="115" t="str">
        <f>'пр.5 вед.стр.'!E968</f>
        <v>7Z 0 01 92010</v>
      </c>
      <c r="E315" s="110" t="str">
        <f>'пр.5 вед.стр.'!F968</f>
        <v>240</v>
      </c>
      <c r="F315" s="61">
        <f>'пр.5 вед.стр.'!G968</f>
        <v>142</v>
      </c>
    </row>
    <row r="316" spans="1:6" ht="12.75">
      <c r="A316" s="30" t="s">
        <v>564</v>
      </c>
      <c r="B316" s="19" t="s">
        <v>69</v>
      </c>
      <c r="C316" s="19" t="s">
        <v>67</v>
      </c>
      <c r="D316" s="110" t="s">
        <v>565</v>
      </c>
      <c r="E316" s="110"/>
      <c r="F316" s="61">
        <f>F317+F320</f>
        <v>3154.7</v>
      </c>
    </row>
    <row r="317" spans="1:6" ht="12.75">
      <c r="A317" s="16" t="str">
        <f>'пр.5 вед.стр.'!A970</f>
        <v xml:space="preserve"> Уличное освещение</v>
      </c>
      <c r="B317" s="19" t="s">
        <v>69</v>
      </c>
      <c r="C317" s="19" t="s">
        <v>67</v>
      </c>
      <c r="D317" s="110" t="s">
        <v>574</v>
      </c>
      <c r="E317" s="110"/>
      <c r="F317" s="61">
        <f>F318</f>
        <v>2983.2</v>
      </c>
    </row>
    <row r="318" spans="1:6" ht="12.75">
      <c r="A318" s="16" t="s">
        <v>333</v>
      </c>
      <c r="B318" s="19" t="s">
        <v>69</v>
      </c>
      <c r="C318" s="19" t="s">
        <v>67</v>
      </c>
      <c r="D318" s="110" t="s">
        <v>574</v>
      </c>
      <c r="E318" s="110" t="s">
        <v>94</v>
      </c>
      <c r="F318" s="61">
        <f>F319</f>
        <v>2983.2</v>
      </c>
    </row>
    <row r="319" spans="1:6" ht="12.75">
      <c r="A319" s="16" t="s">
        <v>608</v>
      </c>
      <c r="B319" s="19" t="s">
        <v>69</v>
      </c>
      <c r="C319" s="19" t="s">
        <v>67</v>
      </c>
      <c r="D319" s="110" t="s">
        <v>574</v>
      </c>
      <c r="E319" s="110" t="s">
        <v>91</v>
      </c>
      <c r="F319" s="61">
        <f>'пр.5 вед.стр.'!G972</f>
        <v>2983.2</v>
      </c>
    </row>
    <row r="320" spans="1:6" ht="12.75">
      <c r="A320" s="16" t="str">
        <f>'пр.5 вед.стр.'!A973</f>
        <v>Прочие мероприятия по благоустройству</v>
      </c>
      <c r="B320" s="19" t="s">
        <v>69</v>
      </c>
      <c r="C320" s="19" t="s">
        <v>67</v>
      </c>
      <c r="D320" s="110" t="s">
        <v>628</v>
      </c>
      <c r="E320" s="110"/>
      <c r="F320" s="61">
        <f>F321</f>
        <v>171.5</v>
      </c>
    </row>
    <row r="321" spans="1:6" ht="12.75">
      <c r="A321" s="16" t="str">
        <f>'пр.5 вед.стр.'!A974</f>
        <v>Закупка товаров, работ и услуг для обеспечения государственных (муниципальных) нужд</v>
      </c>
      <c r="B321" s="19" t="s">
        <v>69</v>
      </c>
      <c r="C321" s="19" t="s">
        <v>67</v>
      </c>
      <c r="D321" s="110" t="s">
        <v>628</v>
      </c>
      <c r="E321" s="110" t="s">
        <v>94</v>
      </c>
      <c r="F321" s="61">
        <f>F322</f>
        <v>171.5</v>
      </c>
    </row>
    <row r="322" spans="1:6" ht="12.75">
      <c r="A322" s="16" t="s">
        <v>608</v>
      </c>
      <c r="B322" s="19" t="s">
        <v>69</v>
      </c>
      <c r="C322" s="19" t="s">
        <v>67</v>
      </c>
      <c r="D322" s="110" t="s">
        <v>628</v>
      </c>
      <c r="E322" s="110" t="s">
        <v>91</v>
      </c>
      <c r="F322" s="61">
        <f>'пр.5 вед.стр.'!G975</f>
        <v>171.5</v>
      </c>
    </row>
    <row r="323" spans="1:6" ht="12.75">
      <c r="A323" s="29" t="s">
        <v>566</v>
      </c>
      <c r="B323" s="19" t="s">
        <v>69</v>
      </c>
      <c r="C323" s="19" t="s">
        <v>67</v>
      </c>
      <c r="D323" s="110" t="s">
        <v>567</v>
      </c>
      <c r="E323" s="110"/>
      <c r="F323" s="61">
        <f>F324+F327</f>
        <v>641.9</v>
      </c>
    </row>
    <row r="324" spans="1:6" ht="12.75">
      <c r="A324" s="30" t="s">
        <v>203</v>
      </c>
      <c r="B324" s="19" t="s">
        <v>69</v>
      </c>
      <c r="C324" s="19" t="s">
        <v>67</v>
      </c>
      <c r="D324" s="110" t="s">
        <v>568</v>
      </c>
      <c r="E324" s="110"/>
      <c r="F324" s="61">
        <f>F325</f>
        <v>150</v>
      </c>
    </row>
    <row r="325" spans="1:6" ht="12.75">
      <c r="A325" s="16" t="s">
        <v>333</v>
      </c>
      <c r="B325" s="19" t="s">
        <v>69</v>
      </c>
      <c r="C325" s="19" t="s">
        <v>67</v>
      </c>
      <c r="D325" s="110" t="s">
        <v>568</v>
      </c>
      <c r="E325" s="110" t="s">
        <v>94</v>
      </c>
      <c r="F325" s="61">
        <f>F326</f>
        <v>150</v>
      </c>
    </row>
    <row r="326" spans="1:6" ht="12.75">
      <c r="A326" s="16" t="s">
        <v>608</v>
      </c>
      <c r="B326" s="19" t="s">
        <v>69</v>
      </c>
      <c r="C326" s="19" t="s">
        <v>67</v>
      </c>
      <c r="D326" s="110" t="s">
        <v>568</v>
      </c>
      <c r="E326" s="110" t="s">
        <v>91</v>
      </c>
      <c r="F326" s="61">
        <f>'пр.5 вед.стр.'!G979</f>
        <v>150</v>
      </c>
    </row>
    <row r="327" spans="1:6" ht="12.75">
      <c r="A327" s="16" t="s">
        <v>715</v>
      </c>
      <c r="B327" s="19" t="s">
        <v>69</v>
      </c>
      <c r="C327" s="19" t="s">
        <v>67</v>
      </c>
      <c r="D327" s="110" t="s">
        <v>569</v>
      </c>
      <c r="E327" s="110"/>
      <c r="F327" s="61">
        <f>F328</f>
        <v>491.9</v>
      </c>
    </row>
    <row r="328" spans="1:6" ht="12.75">
      <c r="A328" s="16" t="s">
        <v>333</v>
      </c>
      <c r="B328" s="19" t="s">
        <v>69</v>
      </c>
      <c r="C328" s="19" t="s">
        <v>67</v>
      </c>
      <c r="D328" s="110" t="s">
        <v>569</v>
      </c>
      <c r="E328" s="142">
        <v>200</v>
      </c>
      <c r="F328" s="61">
        <f>F329</f>
        <v>491.9</v>
      </c>
    </row>
    <row r="329" spans="1:6" ht="12.75">
      <c r="A329" s="16" t="s">
        <v>608</v>
      </c>
      <c r="B329" s="19" t="s">
        <v>69</v>
      </c>
      <c r="C329" s="19" t="s">
        <v>67</v>
      </c>
      <c r="D329" s="110" t="s">
        <v>569</v>
      </c>
      <c r="E329" s="142">
        <v>240</v>
      </c>
      <c r="F329" s="61">
        <f>'пр.5 вед.стр.'!G982</f>
        <v>491.9</v>
      </c>
    </row>
    <row r="330" spans="1:6" ht="25.5">
      <c r="A330" s="16" t="str">
        <f>'пр.5 вед.стр.'!A983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30" s="19" t="s">
        <v>69</v>
      </c>
      <c r="C330" s="19" t="s">
        <v>67</v>
      </c>
      <c r="D330" s="110" t="str">
        <f>'пр.5 вед.стр.'!E983</f>
        <v>Р1 0 00 00000</v>
      </c>
      <c r="E330" s="110"/>
      <c r="F330" s="61">
        <f>F331+F335</f>
        <v>1075.1</v>
      </c>
    </row>
    <row r="331" spans="1:6" ht="12.75">
      <c r="A331" s="16" t="str">
        <f>'пр.5 вед.стр.'!A984</f>
        <v xml:space="preserve">Обеспечение государственных полномочий по отлову и содержанию безнадзорных животных </v>
      </c>
      <c r="B331" s="19" t="s">
        <v>69</v>
      </c>
      <c r="C331" s="19" t="s">
        <v>67</v>
      </c>
      <c r="D331" s="110" t="str">
        <f>'пр.5 вед.стр.'!E984</f>
        <v>Р1 7 00 00000</v>
      </c>
      <c r="E331" s="110"/>
      <c r="F331" s="61">
        <f>F332</f>
        <v>244</v>
      </c>
    </row>
    <row r="332" spans="1:6" ht="12.75">
      <c r="A332" s="16" t="str">
        <f>'пр.5 вед.стр.'!A985</f>
        <v xml:space="preserve">Осуществление государственных полномочий по отлову и содержанию безнадзорных животных </v>
      </c>
      <c r="B332" s="19" t="s">
        <v>69</v>
      </c>
      <c r="C332" s="19" t="s">
        <v>67</v>
      </c>
      <c r="D332" s="110" t="str">
        <f>'пр.5 вед.стр.'!E985</f>
        <v>Р1 7 00 74170</v>
      </c>
      <c r="E332" s="110"/>
      <c r="F332" s="61">
        <f>F333</f>
        <v>244</v>
      </c>
    </row>
    <row r="333" spans="1:6" ht="12.75">
      <c r="A333" s="16" t="str">
        <f>'пр.5 вед.стр.'!A986</f>
        <v>Закупка товаров, работ и услуг для обеспечения государственных (муниципальных) нужд</v>
      </c>
      <c r="B333" s="19" t="s">
        <v>69</v>
      </c>
      <c r="C333" s="19" t="s">
        <v>67</v>
      </c>
      <c r="D333" s="110" t="str">
        <f>'пр.5 вед.стр.'!E986</f>
        <v>Р1 7 00 74170</v>
      </c>
      <c r="E333" s="110" t="str">
        <f>'пр.5 вед.стр.'!F986</f>
        <v>200</v>
      </c>
      <c r="F333" s="61">
        <f>F334</f>
        <v>244</v>
      </c>
    </row>
    <row r="334" spans="1:6" ht="12.75">
      <c r="A334" s="16" t="s">
        <v>608</v>
      </c>
      <c r="B334" s="19" t="s">
        <v>69</v>
      </c>
      <c r="C334" s="19" t="s">
        <v>67</v>
      </c>
      <c r="D334" s="110" t="str">
        <f>'пр.5 вед.стр.'!E987</f>
        <v>Р1 7 00 74170</v>
      </c>
      <c r="E334" s="110" t="str">
        <f>'пр.5 вед.стр.'!F987</f>
        <v>240</v>
      </c>
      <c r="F334" s="61">
        <f>'пр.5 вед.стр.'!G987</f>
        <v>244</v>
      </c>
    </row>
    <row r="335" spans="1:6" ht="25.5">
      <c r="A335" s="16" t="str">
        <f>'пр.5 вед.стр.'!A988</f>
        <v>Обеспечение государственных полномочий по организации мероприятий при осуществлении деятельности по обращению с животными без владельцев в 2019 году</v>
      </c>
      <c r="B335" s="19" t="s">
        <v>69</v>
      </c>
      <c r="C335" s="19" t="s">
        <v>67</v>
      </c>
      <c r="D335" s="110" t="str">
        <f>'пр.5 вед.стр.'!E988</f>
        <v>Р1 8 00 00000</v>
      </c>
      <c r="E335" s="110"/>
      <c r="F335" s="61">
        <f>F336</f>
        <v>831.0999999999999</v>
      </c>
    </row>
    <row r="336" spans="1:6" ht="25.5">
      <c r="A336" s="16" t="str">
        <f>'пр.5 вед.стр.'!A989</f>
        <v>Осуществление государственных полномочий по организации мероприятий при осуществлении деятельности по обращению с животными без владельцев</v>
      </c>
      <c r="B336" s="19" t="s">
        <v>69</v>
      </c>
      <c r="C336" s="19" t="s">
        <v>67</v>
      </c>
      <c r="D336" s="110" t="str">
        <f>'пр.5 вед.стр.'!E989</f>
        <v>Р1 8 00 74190</v>
      </c>
      <c r="E336" s="110"/>
      <c r="F336" s="61">
        <f>F337</f>
        <v>831.0999999999999</v>
      </c>
    </row>
    <row r="337" spans="1:6" ht="12.75">
      <c r="A337" s="16" t="str">
        <f>'пр.5 вед.стр.'!A990</f>
        <v>Закупка товаров, работ и услуг для обеспечения государственных (муниципальных) нужд</v>
      </c>
      <c r="B337" s="19" t="s">
        <v>69</v>
      </c>
      <c r="C337" s="19" t="s">
        <v>67</v>
      </c>
      <c r="D337" s="110" t="str">
        <f>'пр.5 вед.стр.'!E990</f>
        <v>Р1 8 00 74190</v>
      </c>
      <c r="E337" s="110" t="str">
        <f>'пр.5 вед.стр.'!F990</f>
        <v>200</v>
      </c>
      <c r="F337" s="61">
        <f>F338</f>
        <v>831.0999999999999</v>
      </c>
    </row>
    <row r="338" spans="1:6" ht="12.75">
      <c r="A338" s="16" t="s">
        <v>608</v>
      </c>
      <c r="B338" s="19" t="s">
        <v>69</v>
      </c>
      <c r="C338" s="19" t="s">
        <v>67</v>
      </c>
      <c r="D338" s="110" t="str">
        <f>'пр.5 вед.стр.'!E991</f>
        <v>Р1 8 00 74190</v>
      </c>
      <c r="E338" s="110" t="str">
        <f>'пр.5 вед.стр.'!F991</f>
        <v>240</v>
      </c>
      <c r="F338" s="61">
        <f>'пр.5 вед.стр.'!G991</f>
        <v>831.0999999999999</v>
      </c>
    </row>
    <row r="339" spans="1:6" ht="12.75">
      <c r="A339" s="15" t="s">
        <v>353</v>
      </c>
      <c r="B339" s="37" t="s">
        <v>73</v>
      </c>
      <c r="C339" s="37" t="s">
        <v>34</v>
      </c>
      <c r="D339" s="113"/>
      <c r="E339" s="113"/>
      <c r="F339" s="174">
        <f>F340</f>
        <v>235</v>
      </c>
    </row>
    <row r="340" spans="1:6" ht="12.75">
      <c r="A340" s="15" t="s">
        <v>294</v>
      </c>
      <c r="B340" s="37" t="s">
        <v>73</v>
      </c>
      <c r="C340" s="37" t="s">
        <v>69</v>
      </c>
      <c r="D340" s="113"/>
      <c r="E340" s="113"/>
      <c r="F340" s="174">
        <f>F342+F350</f>
        <v>235</v>
      </c>
    </row>
    <row r="341" spans="1:6" ht="12.75">
      <c r="A341" s="16" t="s">
        <v>478</v>
      </c>
      <c r="B341" s="19" t="s">
        <v>73</v>
      </c>
      <c r="C341" s="19" t="s">
        <v>69</v>
      </c>
      <c r="D341" s="115" t="s">
        <v>548</v>
      </c>
      <c r="E341" s="113"/>
      <c r="F341" s="61">
        <f>F342</f>
        <v>150</v>
      </c>
    </row>
    <row r="342" spans="1:6" ht="25.5">
      <c r="A342" s="16" t="str">
        <f>'пр.5 вед.стр.'!A995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2018- 2022 годы"</v>
      </c>
      <c r="B342" s="19" t="s">
        <v>73</v>
      </c>
      <c r="C342" s="19" t="s">
        <v>69</v>
      </c>
      <c r="D342" s="110" t="str">
        <f>'пр.5 вед.стр.'!E995</f>
        <v>7W 0 00 00000</v>
      </c>
      <c r="E342" s="110"/>
      <c r="F342" s="61">
        <f>F343</f>
        <v>150</v>
      </c>
    </row>
    <row r="343" spans="1:6" ht="25.5">
      <c r="A343" s="16" t="str">
        <f>'пр.5 вед.стр.'!A996</f>
        <v>Основное мероприятие "Разработка проектно-сметной документации (в том числе проведение инженерных изысканий) по объектам размещения отходов»"</v>
      </c>
      <c r="B343" s="19" t="s">
        <v>73</v>
      </c>
      <c r="C343" s="19" t="s">
        <v>69</v>
      </c>
      <c r="D343" s="110" t="str">
        <f>'пр.5 вед.стр.'!E996</f>
        <v>7W 0 02 00000</v>
      </c>
      <c r="E343" s="110"/>
      <c r="F343" s="61">
        <f>F344+F347</f>
        <v>150</v>
      </c>
    </row>
    <row r="344" spans="1:6" ht="25.5">
      <c r="A344" s="16" t="str">
        <f>'пр.5 вед.стр.'!A997</f>
        <v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v>
      </c>
      <c r="B344" s="19" t="s">
        <v>73</v>
      </c>
      <c r="C344" s="19" t="s">
        <v>69</v>
      </c>
      <c r="D344" s="110" t="str">
        <f>'пр.5 вед.стр.'!E997</f>
        <v>7W 0 02 73710</v>
      </c>
      <c r="E344" s="110"/>
      <c r="F344" s="61">
        <f>F345</f>
        <v>142.5</v>
      </c>
    </row>
    <row r="345" spans="1:6" ht="12.75">
      <c r="A345" s="16" t="str">
        <f>'пр.5 вед.стр.'!A998</f>
        <v>Закупка товаров, работ и услуг для обеспечения государственных (муниципальных) нужд</v>
      </c>
      <c r="B345" s="19" t="s">
        <v>73</v>
      </c>
      <c r="C345" s="19" t="s">
        <v>69</v>
      </c>
      <c r="D345" s="110" t="str">
        <f>'пр.5 вед.стр.'!E998</f>
        <v>7W 0 02 73710</v>
      </c>
      <c r="E345" s="110" t="str">
        <f>'пр.5 вед.стр.'!F998</f>
        <v>200</v>
      </c>
      <c r="F345" s="61">
        <f>F346</f>
        <v>142.5</v>
      </c>
    </row>
    <row r="346" spans="1:6" ht="12.75">
      <c r="A346" s="16" t="str">
        <f>'пр.5 вед.стр.'!A999</f>
        <v>Иные закупки товаров, работ и услуг для обеспечения государственных ( муниципальных ) нужд</v>
      </c>
      <c r="B346" s="19" t="s">
        <v>73</v>
      </c>
      <c r="C346" s="19" t="s">
        <v>69</v>
      </c>
      <c r="D346" s="110" t="str">
        <f>'пр.5 вед.стр.'!E999</f>
        <v>7W 0 02 73710</v>
      </c>
      <c r="E346" s="110" t="str">
        <f>'пр.5 вед.стр.'!F999</f>
        <v>240</v>
      </c>
      <c r="F346" s="61">
        <f>'пр.5 вед.стр.'!G999</f>
        <v>142.5</v>
      </c>
    </row>
    <row r="347" spans="1:6" ht="28.15" customHeight="1">
      <c r="A347" s="16" t="str">
        <f>'пр.5 вед.стр.'!A1000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347" s="19" t="s">
        <v>73</v>
      </c>
      <c r="C347" s="19" t="s">
        <v>69</v>
      </c>
      <c r="D347" s="110" t="str">
        <f>'пр.5 вед.стр.'!E1000</f>
        <v>7W 0 02 S3710</v>
      </c>
      <c r="E347" s="110"/>
      <c r="F347" s="61">
        <f>F348</f>
        <v>7.5</v>
      </c>
    </row>
    <row r="348" spans="1:6" ht="12.75">
      <c r="A348" s="16" t="str">
        <f>'пр.5 вед.стр.'!A1001</f>
        <v>Закупка товаров, работ и услуг для обеспечения государственных (муниципальных) нужд</v>
      </c>
      <c r="B348" s="19" t="s">
        <v>73</v>
      </c>
      <c r="C348" s="19" t="s">
        <v>69</v>
      </c>
      <c r="D348" s="110" t="str">
        <f>'пр.5 вед.стр.'!E1001</f>
        <v>7W 0 02 S3710</v>
      </c>
      <c r="E348" s="110" t="str">
        <f>'пр.5 вед.стр.'!F1001</f>
        <v>200</v>
      </c>
      <c r="F348" s="61">
        <f>F349</f>
        <v>7.5</v>
      </c>
    </row>
    <row r="349" spans="1:6" ht="12.75">
      <c r="A349" s="16" t="str">
        <f>'пр.5 вед.стр.'!A1002</f>
        <v>Иные закупки товаров, работ и услуг для обеспечения государственных ( муниципальных ) нужд</v>
      </c>
      <c r="B349" s="19" t="s">
        <v>73</v>
      </c>
      <c r="C349" s="19" t="s">
        <v>69</v>
      </c>
      <c r="D349" s="110" t="str">
        <f>'пр.5 вед.стр.'!E1002</f>
        <v>7W 0 02 S3710</v>
      </c>
      <c r="E349" s="110" t="str">
        <f>'пр.5 вед.стр.'!F1002</f>
        <v>240</v>
      </c>
      <c r="F349" s="61">
        <f>'пр.5 вед.стр.'!G1002</f>
        <v>7.5</v>
      </c>
    </row>
    <row r="350" spans="1:6" ht="12.75">
      <c r="A350" s="16" t="str">
        <f>'пр.5 вед.стр.'!A1003</f>
        <v xml:space="preserve">Мероприятия в области охраны окружающей среды </v>
      </c>
      <c r="B350" s="19" t="s">
        <v>73</v>
      </c>
      <c r="C350" s="19" t="s">
        <v>69</v>
      </c>
      <c r="D350" s="110" t="str">
        <f>'пр.5 вед.стр.'!E1003</f>
        <v>К4 0 00 00000</v>
      </c>
      <c r="E350" s="110"/>
      <c r="F350" s="61">
        <f>F351</f>
        <v>85</v>
      </c>
    </row>
    <row r="351" spans="1:6" ht="12.75">
      <c r="A351" s="16" t="str">
        <f>'пр.5 вед.стр.'!A1004</f>
        <v>Прочие мероприятия в области охраны окружающей среды</v>
      </c>
      <c r="B351" s="19" t="s">
        <v>73</v>
      </c>
      <c r="C351" s="19" t="s">
        <v>69</v>
      </c>
      <c r="D351" s="110" t="str">
        <f>'пр.5 вед.стр.'!E1004</f>
        <v>К4 0 00 08660</v>
      </c>
      <c r="E351" s="110"/>
      <c r="F351" s="61">
        <f>F352</f>
        <v>85</v>
      </c>
    </row>
    <row r="352" spans="1:6" ht="12.75">
      <c r="A352" s="16" t="str">
        <f>'пр.5 вед.стр.'!A1005</f>
        <v>Закупка товаров, работ и услуг для обеспечения государственных (муниципальных) нужд</v>
      </c>
      <c r="B352" s="19" t="s">
        <v>73</v>
      </c>
      <c r="C352" s="19" t="s">
        <v>69</v>
      </c>
      <c r="D352" s="110" t="str">
        <f>'пр.5 вед.стр.'!E1005</f>
        <v>К4 0 00 08660</v>
      </c>
      <c r="E352" s="110" t="str">
        <f>'пр.5 вед.стр.'!F1005</f>
        <v>200</v>
      </c>
      <c r="F352" s="61">
        <f>F353</f>
        <v>85</v>
      </c>
    </row>
    <row r="353" spans="1:6" ht="12.75">
      <c r="A353" s="16" t="s">
        <v>608</v>
      </c>
      <c r="B353" s="19" t="s">
        <v>73</v>
      </c>
      <c r="C353" s="19" t="s">
        <v>69</v>
      </c>
      <c r="D353" s="110" t="str">
        <f>'пр.5 вед.стр.'!E1006</f>
        <v>К4 0 00 08660</v>
      </c>
      <c r="E353" s="110" t="str">
        <f>'пр.5 вед.стр.'!F1006</f>
        <v>240</v>
      </c>
      <c r="F353" s="61">
        <f>'пр.5 вед.стр.'!G1006</f>
        <v>85</v>
      </c>
    </row>
    <row r="354" spans="1:6" ht="12.75">
      <c r="A354" s="15" t="s">
        <v>8</v>
      </c>
      <c r="B354" s="42" t="s">
        <v>66</v>
      </c>
      <c r="C354" s="42" t="s">
        <v>34</v>
      </c>
      <c r="D354" s="116"/>
      <c r="E354" s="114"/>
      <c r="F354" s="174">
        <f>F355+F411+F498+F604+F546</f>
        <v>398541.89999999997</v>
      </c>
    </row>
    <row r="355" spans="1:6" ht="12.75">
      <c r="A355" s="15" t="s">
        <v>9</v>
      </c>
      <c r="B355" s="32" t="s">
        <v>66</v>
      </c>
      <c r="C355" s="32" t="s">
        <v>63</v>
      </c>
      <c r="D355" s="113"/>
      <c r="E355" s="113"/>
      <c r="F355" s="174">
        <f>F357+F362+F376+F396+F401</f>
        <v>77085</v>
      </c>
    </row>
    <row r="356" spans="1:6" ht="12.75">
      <c r="A356" s="16" t="s">
        <v>478</v>
      </c>
      <c r="B356" s="20" t="s">
        <v>66</v>
      </c>
      <c r="C356" s="20" t="s">
        <v>63</v>
      </c>
      <c r="D356" s="115" t="s">
        <v>479</v>
      </c>
      <c r="E356" s="110"/>
      <c r="F356" s="61">
        <f>F357+F362+F376+F396</f>
        <v>63172.5</v>
      </c>
    </row>
    <row r="357" spans="1:6" ht="25.5">
      <c r="A357" s="29" t="str">
        <f>'пр.5 вед.стр.'!A357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357" s="20" t="s">
        <v>66</v>
      </c>
      <c r="C357" s="20" t="s">
        <v>63</v>
      </c>
      <c r="D357" s="115" t="str">
        <f>'пр.5 вед.стр.'!E357</f>
        <v xml:space="preserve">7Б 0 00 00000 </v>
      </c>
      <c r="E357" s="110"/>
      <c r="F357" s="61">
        <f>F358</f>
        <v>170.70000000000002</v>
      </c>
    </row>
    <row r="358" spans="1:6" ht="25.5">
      <c r="A358" s="29" t="str">
        <f>'пр.5 вед.стр.'!A358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58" s="20" t="s">
        <v>66</v>
      </c>
      <c r="C358" s="20" t="s">
        <v>63</v>
      </c>
      <c r="D358" s="115" t="str">
        <f>'пр.5 вед.стр.'!E358</f>
        <v xml:space="preserve">7Б 0 01 00000 </v>
      </c>
      <c r="E358" s="110"/>
      <c r="F358" s="61">
        <f>F359</f>
        <v>170.70000000000002</v>
      </c>
    </row>
    <row r="359" spans="1:6" ht="12.75">
      <c r="A359" s="29" t="str">
        <f>'пр.5 вед.стр.'!A359</f>
        <v>Обслуживание систем видеонаблюдения, охранной сигнализации</v>
      </c>
      <c r="B359" s="20" t="s">
        <v>66</v>
      </c>
      <c r="C359" s="20" t="s">
        <v>63</v>
      </c>
      <c r="D359" s="115" t="str">
        <f>'пр.5 вед.стр.'!E359</f>
        <v xml:space="preserve">7Б 0 01 91600 </v>
      </c>
      <c r="E359" s="110"/>
      <c r="F359" s="61">
        <f>F360</f>
        <v>170.70000000000002</v>
      </c>
    </row>
    <row r="360" spans="1:6" ht="25.5">
      <c r="A360" s="29" t="str">
        <f>'пр.5 вед.стр.'!A360</f>
        <v>Предоставление субсидий бюджетным, автономным учреждениям и иным некоммерческим организациям</v>
      </c>
      <c r="B360" s="20" t="s">
        <v>66</v>
      </c>
      <c r="C360" s="20" t="s">
        <v>63</v>
      </c>
      <c r="D360" s="115" t="str">
        <f>'пр.5 вед.стр.'!E360</f>
        <v xml:space="preserve">7Б 0 01 91600 </v>
      </c>
      <c r="E360" s="110" t="str">
        <f>'пр.5 вед.стр.'!F360</f>
        <v>600</v>
      </c>
      <c r="F360" s="61">
        <f>F361</f>
        <v>170.70000000000002</v>
      </c>
    </row>
    <row r="361" spans="1:6" ht="12.75">
      <c r="A361" s="29" t="str">
        <f>'пр.5 вед.стр.'!A361</f>
        <v>Субсидии бюджетным учреждениям</v>
      </c>
      <c r="B361" s="20" t="s">
        <v>66</v>
      </c>
      <c r="C361" s="20" t="s">
        <v>63</v>
      </c>
      <c r="D361" s="115" t="str">
        <f>'пр.5 вед.стр.'!E361</f>
        <v xml:space="preserve">7Б 0 01 91600 </v>
      </c>
      <c r="E361" s="110" t="str">
        <f>'пр.5 вед.стр.'!F361</f>
        <v>610</v>
      </c>
      <c r="F361" s="61">
        <f>'пр.5 вед.стр.'!G361</f>
        <v>170.70000000000002</v>
      </c>
    </row>
    <row r="362" spans="1:6" ht="25.5">
      <c r="A362" s="29" t="str">
        <f>'пр.5 вед.стр.'!A362</f>
        <v>Муниципальная программа  "Пожарная безопасность в Сусуманском городском округе на 2018- 2022 годы"</v>
      </c>
      <c r="B362" s="20" t="s">
        <v>66</v>
      </c>
      <c r="C362" s="20" t="s">
        <v>63</v>
      </c>
      <c r="D362" s="115" t="str">
        <f>'пр.5 вед.стр.'!E362</f>
        <v xml:space="preserve">7П 0 00 00000 </v>
      </c>
      <c r="E362" s="110"/>
      <c r="F362" s="61">
        <f>F363</f>
        <v>418.4</v>
      </c>
    </row>
    <row r="363" spans="1:6" ht="25.5">
      <c r="A363" s="29" t="str">
        <f>'пр.5 вед.стр.'!A363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63" s="20" t="s">
        <v>66</v>
      </c>
      <c r="C363" s="20" t="s">
        <v>63</v>
      </c>
      <c r="D363" s="115" t="str">
        <f>'пр.5 вед.стр.'!E363</f>
        <v xml:space="preserve">7П 0 01 00000 </v>
      </c>
      <c r="E363" s="110"/>
      <c r="F363" s="61">
        <f>F364+F367+F370+F373</f>
        <v>418.4</v>
      </c>
    </row>
    <row r="364" spans="1:6" ht="25.5">
      <c r="A364" s="29" t="str">
        <f>'пр.5 вед.стр.'!A364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64" s="20" t="s">
        <v>66</v>
      </c>
      <c r="C364" s="20" t="s">
        <v>63</v>
      </c>
      <c r="D364" s="115" t="str">
        <f>'пр.5 вед.стр.'!E364</f>
        <v xml:space="preserve">7П 0 01 94100 </v>
      </c>
      <c r="E364" s="110"/>
      <c r="F364" s="61">
        <f>F365</f>
        <v>268.8</v>
      </c>
    </row>
    <row r="365" spans="1:6" ht="25.5">
      <c r="A365" s="29" t="str">
        <f>'пр.5 вед.стр.'!A365</f>
        <v>Предоставление субсидий бюджетным, автономным учреждениям и иным некоммерческим организациям</v>
      </c>
      <c r="B365" s="20" t="s">
        <v>66</v>
      </c>
      <c r="C365" s="20" t="s">
        <v>63</v>
      </c>
      <c r="D365" s="115" t="str">
        <f>'пр.5 вед.стр.'!E365</f>
        <v xml:space="preserve">7П 0 01 94100 </v>
      </c>
      <c r="E365" s="110" t="str">
        <f>'пр.5 вед.стр.'!F365</f>
        <v>600</v>
      </c>
      <c r="F365" s="61">
        <f>F366</f>
        <v>268.8</v>
      </c>
    </row>
    <row r="366" spans="1:6" ht="12.75">
      <c r="A366" s="29" t="str">
        <f>'пр.5 вед.стр.'!A366</f>
        <v>Субсидии бюджетным учреждениям</v>
      </c>
      <c r="B366" s="20" t="s">
        <v>66</v>
      </c>
      <c r="C366" s="20" t="s">
        <v>63</v>
      </c>
      <c r="D366" s="115" t="str">
        <f>'пр.5 вед.стр.'!E366</f>
        <v xml:space="preserve">7П 0 01 94100 </v>
      </c>
      <c r="E366" s="110" t="str">
        <f>'пр.5 вед.стр.'!F366</f>
        <v>610</v>
      </c>
      <c r="F366" s="61">
        <f>'пр.5 вед.стр.'!G366</f>
        <v>268.8</v>
      </c>
    </row>
    <row r="367" spans="1:6" ht="12.75">
      <c r="A367" s="29" t="str">
        <f>'пр.5 вед.стр.'!A367</f>
        <v>Проведение замеров сопротивления изоляции электросетей и электрооборудования</v>
      </c>
      <c r="B367" s="20" t="s">
        <v>66</v>
      </c>
      <c r="C367" s="20" t="s">
        <v>63</v>
      </c>
      <c r="D367" s="115" t="str">
        <f>'пр.5 вед.стр.'!E367</f>
        <v xml:space="preserve">7П 0 01 94400 </v>
      </c>
      <c r="E367" s="110"/>
      <c r="F367" s="61">
        <f>F368</f>
        <v>124.5</v>
      </c>
    </row>
    <row r="368" spans="1:6" ht="25.5">
      <c r="A368" s="29" t="str">
        <f>'пр.5 вед.стр.'!A368</f>
        <v>Предоставление субсидий бюджетным, автономным учреждениям и иным некоммерческим организациям</v>
      </c>
      <c r="B368" s="20" t="s">
        <v>66</v>
      </c>
      <c r="C368" s="20" t="s">
        <v>63</v>
      </c>
      <c r="D368" s="115" t="str">
        <f>'пр.5 вед.стр.'!E368</f>
        <v xml:space="preserve">7П 0 01 94400 </v>
      </c>
      <c r="E368" s="110" t="str">
        <f>'пр.5 вед.стр.'!F368</f>
        <v>600</v>
      </c>
      <c r="F368" s="61">
        <f>F369</f>
        <v>124.5</v>
      </c>
    </row>
    <row r="369" spans="1:6" ht="12.75">
      <c r="A369" s="29" t="str">
        <f>'пр.5 вед.стр.'!A369</f>
        <v>Субсидии бюджетным учреждениям</v>
      </c>
      <c r="B369" s="20" t="s">
        <v>66</v>
      </c>
      <c r="C369" s="20" t="s">
        <v>63</v>
      </c>
      <c r="D369" s="115" t="str">
        <f>'пр.5 вед.стр.'!E369</f>
        <v xml:space="preserve">7П 0 01 94400 </v>
      </c>
      <c r="E369" s="110" t="str">
        <f>'пр.5 вед.стр.'!F369</f>
        <v>610</v>
      </c>
      <c r="F369" s="61">
        <f>'пр.5 вед.стр.'!G369</f>
        <v>124.5</v>
      </c>
    </row>
    <row r="370" spans="1:6" ht="25.5">
      <c r="A370" s="29" t="str">
        <f>'пр.5 вед.стр.'!A370</f>
        <v>Проведение проверок исправности и ремонт систем противопожарного водоснабжения, приобретение и обслуживание гидрантов</v>
      </c>
      <c r="B370" s="20" t="s">
        <v>66</v>
      </c>
      <c r="C370" s="20" t="s">
        <v>63</v>
      </c>
      <c r="D370" s="115" t="str">
        <f>'пр.5 вед.стр.'!E370</f>
        <v xml:space="preserve">7П 0 01 94500 </v>
      </c>
      <c r="E370" s="110"/>
      <c r="F370" s="61">
        <f>F371</f>
        <v>19.200000000000003</v>
      </c>
    </row>
    <row r="371" spans="1:6" ht="25.5">
      <c r="A371" s="29" t="str">
        <f>'пр.5 вед.стр.'!A371</f>
        <v>Предоставление субсидий бюджетным, автономным учреждениям и иным некоммерческим организациям</v>
      </c>
      <c r="B371" s="20" t="s">
        <v>66</v>
      </c>
      <c r="C371" s="20" t="s">
        <v>63</v>
      </c>
      <c r="D371" s="115" t="str">
        <f>'пр.5 вед.стр.'!E371</f>
        <v xml:space="preserve">7П 0 01 94500 </v>
      </c>
      <c r="E371" s="110" t="str">
        <f>'пр.5 вед.стр.'!F371</f>
        <v>600</v>
      </c>
      <c r="F371" s="61">
        <f>F372</f>
        <v>19.200000000000003</v>
      </c>
    </row>
    <row r="372" spans="1:6" ht="12.75">
      <c r="A372" s="29" t="str">
        <f>'пр.5 вед.стр.'!A372</f>
        <v>Субсидии бюджетным учреждениям</v>
      </c>
      <c r="B372" s="20" t="s">
        <v>66</v>
      </c>
      <c r="C372" s="20" t="s">
        <v>63</v>
      </c>
      <c r="D372" s="115" t="str">
        <f>'пр.5 вед.стр.'!E372</f>
        <v xml:space="preserve">7П 0 01 94500 </v>
      </c>
      <c r="E372" s="110" t="str">
        <f>'пр.5 вед.стр.'!F372</f>
        <v>610</v>
      </c>
      <c r="F372" s="61">
        <f>'пр.5 вед.стр.'!G372</f>
        <v>19.200000000000003</v>
      </c>
    </row>
    <row r="373" spans="1:6" ht="12.75">
      <c r="A373" s="16" t="str">
        <f>'пр.5 вед.стр.'!A373</f>
        <v>Обучение сотрудников по пожарной безопасности</v>
      </c>
      <c r="B373" s="20" t="s">
        <v>66</v>
      </c>
      <c r="C373" s="20" t="s">
        <v>63</v>
      </c>
      <c r="D373" s="115" t="str">
        <f>'пр.5 вед.стр.'!E373</f>
        <v xml:space="preserve">7П 0 01 94510 </v>
      </c>
      <c r="E373" s="110"/>
      <c r="F373" s="61">
        <f>F374</f>
        <v>5.9</v>
      </c>
    </row>
    <row r="374" spans="1:6" ht="25.5">
      <c r="A374" s="16" t="str">
        <f>'пр.5 вед.стр.'!A374</f>
        <v>Предоставление субсидий бюджетным, автономным учреждениям и иным некоммерческим организациям</v>
      </c>
      <c r="B374" s="20" t="s">
        <v>66</v>
      </c>
      <c r="C374" s="20" t="s">
        <v>63</v>
      </c>
      <c r="D374" s="115" t="str">
        <f>'пр.5 вед.стр.'!E374</f>
        <v xml:space="preserve">7П 0 01 94510 </v>
      </c>
      <c r="E374" s="110" t="str">
        <f>'пр.5 вед.стр.'!F374</f>
        <v>600</v>
      </c>
      <c r="F374" s="61">
        <f>F375</f>
        <v>5.9</v>
      </c>
    </row>
    <row r="375" spans="1:6" ht="12.75">
      <c r="A375" s="16" t="str">
        <f>'пр.5 вед.стр.'!A375</f>
        <v>Субсидии бюджетным учреждениям</v>
      </c>
      <c r="B375" s="20" t="s">
        <v>66</v>
      </c>
      <c r="C375" s="20" t="s">
        <v>63</v>
      </c>
      <c r="D375" s="115" t="str">
        <f>'пр.5 вед.стр.'!E375</f>
        <v xml:space="preserve">7П 0 01 94510 </v>
      </c>
      <c r="E375" s="110" t="str">
        <f>'пр.5 вед.стр.'!F375</f>
        <v>610</v>
      </c>
      <c r="F375" s="61">
        <f>'пр.5 вед.стр.'!G375</f>
        <v>5.9</v>
      </c>
    </row>
    <row r="376" spans="1:6" ht="25.5">
      <c r="A376" s="29" t="str">
        <f>'пр.5 вед.стр.'!A376</f>
        <v>Муниципальная  программа  "Развитие образования в Сусуманском городском округе  на 2018- 2022 годы"</v>
      </c>
      <c r="B376" s="20" t="s">
        <v>66</v>
      </c>
      <c r="C376" s="20" t="s">
        <v>63</v>
      </c>
      <c r="D376" s="115" t="str">
        <f>'пр.5 вед.стр.'!E376</f>
        <v xml:space="preserve">7Р 0 00 00000 </v>
      </c>
      <c r="E376" s="110"/>
      <c r="F376" s="61">
        <f>F377</f>
        <v>62508</v>
      </c>
    </row>
    <row r="377" spans="1:6" ht="12.75">
      <c r="A377" s="16" t="str">
        <f>'пр.5 вед.стр.'!A377</f>
        <v>Основное мероприятие "Управление развитием отрасли образования"</v>
      </c>
      <c r="B377" s="20" t="s">
        <v>66</v>
      </c>
      <c r="C377" s="20" t="s">
        <v>63</v>
      </c>
      <c r="D377" s="110" t="str">
        <f>'пр.5 вед.стр.'!E377</f>
        <v>7Р 0 02 00000</v>
      </c>
      <c r="E377" s="110"/>
      <c r="F377" s="61">
        <f>F384+F387+F390+F393+F381+F378</f>
        <v>62508</v>
      </c>
    </row>
    <row r="378" spans="1:6" ht="51">
      <c r="A378" s="16" t="str">
        <f>'пр.5 вед.стр.'!A378</f>
        <v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378" s="20" t="s">
        <v>66</v>
      </c>
      <c r="C378" s="20" t="s">
        <v>63</v>
      </c>
      <c r="D378" s="110" t="str">
        <f>'пр.5 вед.стр.'!E378</f>
        <v>7Р 0 02 73С20</v>
      </c>
      <c r="E378" s="110"/>
      <c r="F378" s="61">
        <f>F379</f>
        <v>40.7</v>
      </c>
    </row>
    <row r="379" spans="1:6" ht="25.5">
      <c r="A379" s="187" t="str">
        <f>'пр.5 вед.стр.'!A379</f>
        <v>Предоставление субсидий бюджетным, автономным учреждениям и иным некоммерческим организациям</v>
      </c>
      <c r="B379" s="20" t="s">
        <v>66</v>
      </c>
      <c r="C379" s="20" t="s">
        <v>63</v>
      </c>
      <c r="D379" s="110" t="str">
        <f>'пр.5 вед.стр.'!E379</f>
        <v>7Р 0 02 73С20</v>
      </c>
      <c r="E379" s="110" t="str">
        <f>'пр.5 вед.стр.'!F379</f>
        <v>600</v>
      </c>
      <c r="F379" s="61">
        <f>F380</f>
        <v>40.7</v>
      </c>
    </row>
    <row r="380" spans="1:6" ht="12.75">
      <c r="A380" s="187" t="str">
        <f>'пр.5 вед.стр.'!A380</f>
        <v>Субсидии бюджетным учреждениям</v>
      </c>
      <c r="B380" s="20" t="s">
        <v>66</v>
      </c>
      <c r="C380" s="20" t="s">
        <v>63</v>
      </c>
      <c r="D380" s="110" t="str">
        <f>'пр.5 вед.стр.'!E380</f>
        <v>7Р 0 02 73С20</v>
      </c>
      <c r="E380" s="110" t="str">
        <f>'пр.5 вед.стр.'!F380</f>
        <v>610</v>
      </c>
      <c r="F380" s="61">
        <f>'пр.5 вед.стр.'!G380</f>
        <v>40.7</v>
      </c>
    </row>
    <row r="381" spans="1:6" ht="38.25">
      <c r="A381" s="15" t="str">
        <f>'пр.5 вед.стр.'!A381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381" s="20" t="s">
        <v>66</v>
      </c>
      <c r="C381" s="20" t="s">
        <v>63</v>
      </c>
      <c r="D381" s="110" t="str">
        <f>'[1]пр.7 вед.стр.'!E449</f>
        <v>7Р 0 02 S3С20</v>
      </c>
      <c r="E381" s="110"/>
      <c r="F381" s="61">
        <f>F382</f>
        <v>10</v>
      </c>
    </row>
    <row r="382" spans="1:6" ht="25.5">
      <c r="A382" s="187" t="str">
        <f>'[1]пр.7 вед.стр.'!A450</f>
        <v>Предоставление субсидий бюджетным, автономным учреждениям и иным некоммерческим организациям</v>
      </c>
      <c r="B382" s="20" t="s">
        <v>66</v>
      </c>
      <c r="C382" s="20" t="s">
        <v>63</v>
      </c>
      <c r="D382" s="110" t="str">
        <f>'[1]пр.7 вед.стр.'!E450</f>
        <v>7Р 0 02 S3С20</v>
      </c>
      <c r="E382" s="110" t="str">
        <f>'[1]пр.7 вед.стр.'!F450</f>
        <v>600</v>
      </c>
      <c r="F382" s="61">
        <f>F383</f>
        <v>10</v>
      </c>
    </row>
    <row r="383" spans="1:6" ht="12.75">
      <c r="A383" s="187" t="str">
        <f>'[1]пр.7 вед.стр.'!A451</f>
        <v>Субсидии бюджетным учреждениям</v>
      </c>
      <c r="B383" s="20" t="s">
        <v>66</v>
      </c>
      <c r="C383" s="20" t="s">
        <v>63</v>
      </c>
      <c r="D383" s="110" t="str">
        <f>'[1]пр.7 вед.стр.'!E451</f>
        <v>7Р 0 02 S3С20</v>
      </c>
      <c r="E383" s="110" t="str">
        <f>'[1]пр.7 вед.стр.'!F451</f>
        <v>610</v>
      </c>
      <c r="F383" s="61">
        <f>'пр.5 вед.стр.'!G383</f>
        <v>10</v>
      </c>
    </row>
    <row r="384" spans="1:6" ht="25.5">
      <c r="A384" s="16" t="str">
        <f>'пр.5 вед.стр.'!A384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84" s="20" t="s">
        <v>66</v>
      </c>
      <c r="C384" s="20" t="s">
        <v>63</v>
      </c>
      <c r="D384" s="110" t="str">
        <f>'пр.5 вед.стр.'!E384</f>
        <v>7Р 0 02 74060</v>
      </c>
      <c r="E384" s="110"/>
      <c r="F384" s="61">
        <f>F385</f>
        <v>257.79999999999995</v>
      </c>
    </row>
    <row r="385" spans="1:6" ht="25.5">
      <c r="A385" s="16" t="str">
        <f>'пр.5 вед.стр.'!A385</f>
        <v>Предоставление субсидий бюджетным, автономным учреждениям и иным некоммерческим организациям</v>
      </c>
      <c r="B385" s="20" t="s">
        <v>66</v>
      </c>
      <c r="C385" s="20" t="s">
        <v>63</v>
      </c>
      <c r="D385" s="110" t="str">
        <f>'пр.5 вед.стр.'!E385</f>
        <v>7Р 0 02 74060</v>
      </c>
      <c r="E385" s="110" t="str">
        <f>'пр.5 вед.стр.'!F385</f>
        <v>600</v>
      </c>
      <c r="F385" s="61">
        <f>F386</f>
        <v>257.79999999999995</v>
      </c>
    </row>
    <row r="386" spans="1:6" ht="12.75">
      <c r="A386" s="16" t="str">
        <f>'пр.5 вед.стр.'!A386</f>
        <v>Субсидии бюджетным учреждениям</v>
      </c>
      <c r="B386" s="20" t="s">
        <v>66</v>
      </c>
      <c r="C386" s="20" t="s">
        <v>63</v>
      </c>
      <c r="D386" s="110" t="str">
        <f>'пр.5 вед.стр.'!E386</f>
        <v>7Р 0 02 74060</v>
      </c>
      <c r="E386" s="110" t="str">
        <f>'пр.5 вед.стр.'!F386</f>
        <v>610</v>
      </c>
      <c r="F386" s="61">
        <f>'пр.5 вед.стр.'!G386</f>
        <v>257.79999999999995</v>
      </c>
    </row>
    <row r="387" spans="1:6" ht="38.25">
      <c r="A387" s="16" t="str">
        <f>'пр.5 вед.стр.'!A387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87" s="20" t="s">
        <v>66</v>
      </c>
      <c r="C387" s="20" t="s">
        <v>63</v>
      </c>
      <c r="D387" s="110" t="str">
        <f>'пр.5 вед.стр.'!E387</f>
        <v>7Р 0 02 74070</v>
      </c>
      <c r="E387" s="110"/>
      <c r="F387" s="61">
        <f>F388</f>
        <v>1006</v>
      </c>
    </row>
    <row r="388" spans="1:6" ht="25.5">
      <c r="A388" s="16" t="str">
        <f>'пр.5 вед.стр.'!A388</f>
        <v>Предоставление субсидий бюджетным, автономным учреждениям и иным некоммерческим организациям</v>
      </c>
      <c r="B388" s="20" t="s">
        <v>66</v>
      </c>
      <c r="C388" s="20" t="s">
        <v>63</v>
      </c>
      <c r="D388" s="110" t="str">
        <f>'пр.5 вед.стр.'!E388</f>
        <v>7Р 0 02 74070</v>
      </c>
      <c r="E388" s="110" t="str">
        <f>'пр.5 вед.стр.'!F388</f>
        <v>600</v>
      </c>
      <c r="F388" s="61">
        <f>F389</f>
        <v>1006</v>
      </c>
    </row>
    <row r="389" spans="1:6" ht="12.75">
      <c r="A389" s="16" t="str">
        <f>'пр.5 вед.стр.'!A389</f>
        <v>Субсидии бюджетным учреждениям</v>
      </c>
      <c r="B389" s="20" t="s">
        <v>66</v>
      </c>
      <c r="C389" s="20" t="s">
        <v>63</v>
      </c>
      <c r="D389" s="110" t="str">
        <f>'пр.5 вед.стр.'!E389</f>
        <v>7Р 0 02 74070</v>
      </c>
      <c r="E389" s="110" t="str">
        <f>'пр.5 вед.стр.'!F389</f>
        <v>610</v>
      </c>
      <c r="F389" s="61">
        <f>'пр.5 вед.стр.'!G389</f>
        <v>1006</v>
      </c>
    </row>
    <row r="390" spans="1:6" ht="38.25">
      <c r="A390" s="16" t="str">
        <f>'пр.5 вед.стр.'!A390</f>
        <v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90" s="20" t="s">
        <v>66</v>
      </c>
      <c r="C390" s="20" t="s">
        <v>63</v>
      </c>
      <c r="D390" s="110" t="str">
        <f>'пр.5 вед.стр.'!E390</f>
        <v>7Р 0 02 74120</v>
      </c>
      <c r="E390" s="110"/>
      <c r="F390" s="61">
        <f>F391</f>
        <v>58976.9</v>
      </c>
    </row>
    <row r="391" spans="1:6" ht="25.5">
      <c r="A391" s="16" t="str">
        <f>'пр.5 вед.стр.'!A391</f>
        <v>Предоставление субсидий бюджетным, автономным учреждениям и иным некоммерческим организациям</v>
      </c>
      <c r="B391" s="20" t="s">
        <v>66</v>
      </c>
      <c r="C391" s="20" t="s">
        <v>63</v>
      </c>
      <c r="D391" s="110" t="str">
        <f>'пр.5 вед.стр.'!E391</f>
        <v>7Р 0 02 74120</v>
      </c>
      <c r="E391" s="110" t="str">
        <f>'пр.5 вед.стр.'!F391</f>
        <v>600</v>
      </c>
      <c r="F391" s="61">
        <f>F392</f>
        <v>58976.9</v>
      </c>
    </row>
    <row r="392" spans="1:6" ht="12.75">
      <c r="A392" s="16" t="str">
        <f>'пр.5 вед.стр.'!A392</f>
        <v>Субсидии бюджетным учреждениям</v>
      </c>
      <c r="B392" s="20" t="s">
        <v>66</v>
      </c>
      <c r="C392" s="20" t="s">
        <v>63</v>
      </c>
      <c r="D392" s="110" t="str">
        <f>'пр.5 вед.стр.'!E392</f>
        <v>7Р 0 02 74120</v>
      </c>
      <c r="E392" s="110" t="str">
        <f>'пр.5 вед.стр.'!F392</f>
        <v>610</v>
      </c>
      <c r="F392" s="61">
        <f>'пр.5 вед.стр.'!G392</f>
        <v>58976.9</v>
      </c>
    </row>
    <row r="393" spans="1:6" ht="25.5">
      <c r="A393" s="16" t="str">
        <f>'пр.5 вед.стр.'!A393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93" s="20" t="s">
        <v>66</v>
      </c>
      <c r="C393" s="20" t="s">
        <v>63</v>
      </c>
      <c r="D393" s="110" t="str">
        <f>'пр.5 вед.стр.'!E393</f>
        <v>7Р 0 02 75010</v>
      </c>
      <c r="E393" s="110"/>
      <c r="F393" s="61">
        <f>F394</f>
        <v>2216.6</v>
      </c>
    </row>
    <row r="394" spans="1:6" ht="25.5">
      <c r="A394" s="16" t="str">
        <f>'пр.5 вед.стр.'!A394</f>
        <v>Предоставление субсидий бюджетным, автономным учреждениям и иным некоммерческим организациям</v>
      </c>
      <c r="B394" s="20" t="s">
        <v>66</v>
      </c>
      <c r="C394" s="20" t="s">
        <v>63</v>
      </c>
      <c r="D394" s="110" t="str">
        <f>'пр.5 вед.стр.'!E394</f>
        <v>7Р 0 02 75010</v>
      </c>
      <c r="E394" s="110" t="str">
        <f>'пр.5 вед.стр.'!F394</f>
        <v>600</v>
      </c>
      <c r="F394" s="61">
        <f>F395</f>
        <v>2216.6</v>
      </c>
    </row>
    <row r="395" spans="1:6" ht="12.75">
      <c r="A395" s="16" t="str">
        <f>'пр.5 вед.стр.'!A395</f>
        <v>Субсидии бюджетным учреждениям</v>
      </c>
      <c r="B395" s="20" t="s">
        <v>66</v>
      </c>
      <c r="C395" s="20" t="s">
        <v>63</v>
      </c>
      <c r="D395" s="110" t="str">
        <f>'пр.5 вед.стр.'!E395</f>
        <v>7Р 0 02 75010</v>
      </c>
      <c r="E395" s="110" t="str">
        <f>'пр.5 вед.стр.'!F395</f>
        <v>610</v>
      </c>
      <c r="F395" s="61">
        <f>'пр.5 вед.стр.'!G395</f>
        <v>2216.6</v>
      </c>
    </row>
    <row r="396" spans="1:6" ht="25.5">
      <c r="A396" s="29" t="str">
        <f>'пр.5 вед.стр.'!A396</f>
        <v>Муниципальная  программа  "Здоровье обучающихся и воспитанников в Сусуманском городском округе  на 2018- 2022 годы"</v>
      </c>
      <c r="B396" s="20" t="s">
        <v>66</v>
      </c>
      <c r="C396" s="20" t="s">
        <v>63</v>
      </c>
      <c r="D396" s="115" t="str">
        <f>'пр.5 вед.стр.'!E396</f>
        <v xml:space="preserve">7Ю 0 00 00000 </v>
      </c>
      <c r="E396" s="110"/>
      <c r="F396" s="61">
        <f>F397</f>
        <v>75.4</v>
      </c>
    </row>
    <row r="397" spans="1:6" ht="25.5">
      <c r="A397" s="29" t="str">
        <f>'пр.5 вед.стр.'!A397</f>
        <v>Основное мероприятие "Совершенствование системы укрепления здоровья учащихся и воспитанников образовательных учреждений"</v>
      </c>
      <c r="B397" s="20" t="s">
        <v>66</v>
      </c>
      <c r="C397" s="20" t="s">
        <v>63</v>
      </c>
      <c r="D397" s="115" t="str">
        <f>'пр.5 вед.стр.'!E397</f>
        <v xml:space="preserve">7Ю 0 01 00000 </v>
      </c>
      <c r="E397" s="110"/>
      <c r="F397" s="61">
        <f>F398</f>
        <v>75.4</v>
      </c>
    </row>
    <row r="398" spans="1:6" ht="12.75">
      <c r="A398" s="29" t="str">
        <f>'пр.5 вед.стр.'!A398</f>
        <v>Укрепление материально- технической базы медицинских кабинетов</v>
      </c>
      <c r="B398" s="20" t="s">
        <v>66</v>
      </c>
      <c r="C398" s="20" t="s">
        <v>63</v>
      </c>
      <c r="D398" s="115" t="str">
        <f>'пр.5 вед.стр.'!E398</f>
        <v xml:space="preserve">7Ю 0 01 92520 </v>
      </c>
      <c r="E398" s="110"/>
      <c r="F398" s="61">
        <f>F399</f>
        <v>75.4</v>
      </c>
    </row>
    <row r="399" spans="1:6" ht="25.5">
      <c r="A399" s="29" t="str">
        <f>'пр.5 вед.стр.'!A399</f>
        <v>Предоставление субсидий бюджетным, автономным учреждениям и иным некоммерческим организациям</v>
      </c>
      <c r="B399" s="20" t="s">
        <v>66</v>
      </c>
      <c r="C399" s="20" t="s">
        <v>63</v>
      </c>
      <c r="D399" s="115" t="str">
        <f>'пр.5 вед.стр.'!E399</f>
        <v xml:space="preserve">7Ю 0 01 92520 </v>
      </c>
      <c r="E399" s="110" t="str">
        <f>'пр.5 вед.стр.'!F399</f>
        <v>600</v>
      </c>
      <c r="F399" s="61">
        <f>F400</f>
        <v>75.4</v>
      </c>
    </row>
    <row r="400" spans="1:6" ht="12.75">
      <c r="A400" s="29" t="str">
        <f>'пр.5 вед.стр.'!A400</f>
        <v>Субсидии бюджетным учреждениям</v>
      </c>
      <c r="B400" s="20" t="s">
        <v>66</v>
      </c>
      <c r="C400" s="20" t="s">
        <v>63</v>
      </c>
      <c r="D400" s="115" t="str">
        <f>'пр.5 вед.стр.'!E400</f>
        <v xml:space="preserve">7Ю 0 01 92520 </v>
      </c>
      <c r="E400" s="110" t="str">
        <f>'пр.5 вед.стр.'!F400</f>
        <v>610</v>
      </c>
      <c r="F400" s="61">
        <f>'пр.5 вед.стр.'!G400</f>
        <v>75.4</v>
      </c>
    </row>
    <row r="401" spans="1:6" ht="12.75">
      <c r="A401" s="16" t="s">
        <v>56</v>
      </c>
      <c r="B401" s="20" t="s">
        <v>66</v>
      </c>
      <c r="C401" s="20" t="s">
        <v>63</v>
      </c>
      <c r="D401" s="110" t="s">
        <v>503</v>
      </c>
      <c r="E401" s="110"/>
      <c r="F401" s="61">
        <f>F402+F405+F408</f>
        <v>13912.5</v>
      </c>
    </row>
    <row r="402" spans="1:6" ht="12.75">
      <c r="A402" s="16" t="s">
        <v>185</v>
      </c>
      <c r="B402" s="20" t="s">
        <v>66</v>
      </c>
      <c r="C402" s="20" t="s">
        <v>63</v>
      </c>
      <c r="D402" s="110" t="s">
        <v>504</v>
      </c>
      <c r="E402" s="110"/>
      <c r="F402" s="61">
        <f>F403</f>
        <v>12281.5</v>
      </c>
    </row>
    <row r="403" spans="1:6" ht="25.5">
      <c r="A403" s="16" t="s">
        <v>95</v>
      </c>
      <c r="B403" s="20" t="s">
        <v>66</v>
      </c>
      <c r="C403" s="20" t="s">
        <v>63</v>
      </c>
      <c r="D403" s="110" t="s">
        <v>504</v>
      </c>
      <c r="E403" s="110" t="s">
        <v>96</v>
      </c>
      <c r="F403" s="61">
        <f>F404</f>
        <v>12281.5</v>
      </c>
    </row>
    <row r="404" spans="1:6" ht="12.75">
      <c r="A404" s="16" t="s">
        <v>99</v>
      </c>
      <c r="B404" s="20" t="s">
        <v>66</v>
      </c>
      <c r="C404" s="20" t="s">
        <v>63</v>
      </c>
      <c r="D404" s="110" t="s">
        <v>504</v>
      </c>
      <c r="E404" s="110" t="s">
        <v>100</v>
      </c>
      <c r="F404" s="61">
        <f>'пр.5 вед.стр.'!G404</f>
        <v>12281.5</v>
      </c>
    </row>
    <row r="405" spans="1:6" ht="38.25">
      <c r="A405" s="16" t="s">
        <v>204</v>
      </c>
      <c r="B405" s="20" t="s">
        <v>66</v>
      </c>
      <c r="C405" s="20" t="s">
        <v>63</v>
      </c>
      <c r="D405" s="110" t="s">
        <v>505</v>
      </c>
      <c r="E405" s="110"/>
      <c r="F405" s="61">
        <f>F406</f>
        <v>1485</v>
      </c>
    </row>
    <row r="406" spans="1:6" ht="25.5">
      <c r="A406" s="16" t="s">
        <v>95</v>
      </c>
      <c r="B406" s="20" t="s">
        <v>66</v>
      </c>
      <c r="C406" s="20" t="s">
        <v>63</v>
      </c>
      <c r="D406" s="110" t="s">
        <v>505</v>
      </c>
      <c r="E406" s="110" t="s">
        <v>96</v>
      </c>
      <c r="F406" s="61">
        <f>F407</f>
        <v>1485</v>
      </c>
    </row>
    <row r="407" spans="1:6" ht="12.75">
      <c r="A407" s="16" t="s">
        <v>99</v>
      </c>
      <c r="B407" s="20" t="s">
        <v>66</v>
      </c>
      <c r="C407" s="20" t="s">
        <v>63</v>
      </c>
      <c r="D407" s="110" t="s">
        <v>505</v>
      </c>
      <c r="E407" s="110" t="s">
        <v>100</v>
      </c>
      <c r="F407" s="61">
        <f>'пр.5 вед.стр.'!G407</f>
        <v>1485</v>
      </c>
    </row>
    <row r="408" spans="1:6" ht="12.75">
      <c r="A408" s="16" t="s">
        <v>176</v>
      </c>
      <c r="B408" s="20" t="s">
        <v>66</v>
      </c>
      <c r="C408" s="20" t="s">
        <v>63</v>
      </c>
      <c r="D408" s="110" t="s">
        <v>506</v>
      </c>
      <c r="E408" s="110"/>
      <c r="F408" s="61">
        <f>F409</f>
        <v>146</v>
      </c>
    </row>
    <row r="409" spans="1:6" ht="25.5">
      <c r="A409" s="16" t="s">
        <v>95</v>
      </c>
      <c r="B409" s="20" t="s">
        <v>66</v>
      </c>
      <c r="C409" s="20" t="s">
        <v>63</v>
      </c>
      <c r="D409" s="110" t="s">
        <v>506</v>
      </c>
      <c r="E409" s="110" t="s">
        <v>96</v>
      </c>
      <c r="F409" s="61">
        <f>F410</f>
        <v>146</v>
      </c>
    </row>
    <row r="410" spans="1:6" ht="12.75">
      <c r="A410" s="16" t="s">
        <v>99</v>
      </c>
      <c r="B410" s="20" t="s">
        <v>66</v>
      </c>
      <c r="C410" s="20" t="s">
        <v>63</v>
      </c>
      <c r="D410" s="110" t="s">
        <v>506</v>
      </c>
      <c r="E410" s="110" t="s">
        <v>100</v>
      </c>
      <c r="F410" s="61">
        <f>'пр.5 вед.стр.'!G410</f>
        <v>146</v>
      </c>
    </row>
    <row r="411" spans="1:6" ht="12.75">
      <c r="A411" s="15" t="s">
        <v>10</v>
      </c>
      <c r="B411" s="32" t="s">
        <v>66</v>
      </c>
      <c r="C411" s="32" t="s">
        <v>64</v>
      </c>
      <c r="D411" s="113"/>
      <c r="E411" s="113"/>
      <c r="F411" s="174">
        <f>F413+F421+F441+F468+F488</f>
        <v>197101.59999999998</v>
      </c>
    </row>
    <row r="412" spans="1:6" ht="12.75">
      <c r="A412" s="16" t="s">
        <v>478</v>
      </c>
      <c r="B412" s="20" t="s">
        <v>66</v>
      </c>
      <c r="C412" s="20" t="s">
        <v>64</v>
      </c>
      <c r="D412" s="115" t="s">
        <v>479</v>
      </c>
      <c r="E412" s="110"/>
      <c r="F412" s="61">
        <f>F413+F421+F441+F468</f>
        <v>158064.4</v>
      </c>
    </row>
    <row r="413" spans="1:6" ht="25.5">
      <c r="A413" s="29" t="str">
        <f>'пр.5 вед.стр.'!A413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413" s="20" t="s">
        <v>66</v>
      </c>
      <c r="C413" s="19" t="s">
        <v>64</v>
      </c>
      <c r="D413" s="115" t="str">
        <f>'пр.5 вед.стр.'!E413</f>
        <v xml:space="preserve">7Б 0 00 00000 </v>
      </c>
      <c r="E413" s="110"/>
      <c r="F413" s="61">
        <f>F414</f>
        <v>987.4</v>
      </c>
    </row>
    <row r="414" spans="1:6" ht="25.5">
      <c r="A414" s="29" t="str">
        <f>'пр.5 вед.стр.'!A414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14" s="20" t="s">
        <v>66</v>
      </c>
      <c r="C414" s="20" t="s">
        <v>64</v>
      </c>
      <c r="D414" s="115" t="str">
        <f>'пр.5 вед.стр.'!E414</f>
        <v xml:space="preserve">7Б 0 01 00000 </v>
      </c>
      <c r="E414" s="110"/>
      <c r="F414" s="61">
        <f>F415+F418</f>
        <v>987.4</v>
      </c>
    </row>
    <row r="415" spans="1:6" ht="12.75">
      <c r="A415" s="29" t="str">
        <f>'пр.5 вед.стр.'!A415</f>
        <v>Обслуживание систем видеонаблюдения, охранной сигнализации</v>
      </c>
      <c r="B415" s="20" t="s">
        <v>66</v>
      </c>
      <c r="C415" s="20" t="s">
        <v>64</v>
      </c>
      <c r="D415" s="115" t="str">
        <f>'пр.5 вед.стр.'!E415</f>
        <v xml:space="preserve">7Б 0 01 91600 </v>
      </c>
      <c r="E415" s="110"/>
      <c r="F415" s="61">
        <f>F416</f>
        <v>626.4</v>
      </c>
    </row>
    <row r="416" spans="1:6" ht="25.5">
      <c r="A416" s="29" t="str">
        <f>'пр.5 вед.стр.'!A416</f>
        <v>Предоставление субсидий бюджетным, автономным учреждениям и иным некоммерческим организациям</v>
      </c>
      <c r="B416" s="20" t="s">
        <v>66</v>
      </c>
      <c r="C416" s="20" t="s">
        <v>64</v>
      </c>
      <c r="D416" s="115" t="str">
        <f>'пр.5 вед.стр.'!E416</f>
        <v xml:space="preserve">7Б 0 01 91600 </v>
      </c>
      <c r="E416" s="110" t="str">
        <f>'пр.5 вед.стр.'!F416</f>
        <v>600</v>
      </c>
      <c r="F416" s="61">
        <f>F417</f>
        <v>626.4</v>
      </c>
    </row>
    <row r="417" spans="1:6" ht="12.75">
      <c r="A417" s="29" t="str">
        <f>'пр.5 вед.стр.'!A417</f>
        <v>Субсидии бюджетным учреждениям</v>
      </c>
      <c r="B417" s="20" t="s">
        <v>66</v>
      </c>
      <c r="C417" s="20" t="s">
        <v>64</v>
      </c>
      <c r="D417" s="115" t="str">
        <f>'пр.5 вед.стр.'!E417</f>
        <v xml:space="preserve">7Б 0 01 91600 </v>
      </c>
      <c r="E417" s="110" t="str">
        <f>'пр.5 вед.стр.'!F417</f>
        <v>610</v>
      </c>
      <c r="F417" s="61">
        <f>'пр.5 вед.стр.'!G417</f>
        <v>626.4</v>
      </c>
    </row>
    <row r="418" spans="1:6" ht="12.75">
      <c r="A418" s="29" t="str">
        <f>'пр.5 вед.стр.'!A418</f>
        <v>Установка пропускных систем</v>
      </c>
      <c r="B418" s="20" t="s">
        <v>66</v>
      </c>
      <c r="C418" s="20" t="s">
        <v>64</v>
      </c>
      <c r="D418" s="115" t="str">
        <f>'пр.5 вед.стр.'!E418</f>
        <v>7Б 0 01 93300</v>
      </c>
      <c r="E418" s="110"/>
      <c r="F418" s="61">
        <f>F419</f>
        <v>361</v>
      </c>
    </row>
    <row r="419" spans="1:6" ht="25.5">
      <c r="A419" s="29" t="str">
        <f>'пр.5 вед.стр.'!A419</f>
        <v>Предоставление субсидий бюджетным, автономным учреждениям и иным некоммерческим организациям</v>
      </c>
      <c r="B419" s="20" t="s">
        <v>66</v>
      </c>
      <c r="C419" s="20" t="s">
        <v>64</v>
      </c>
      <c r="D419" s="115" t="str">
        <f>'пр.5 вед.стр.'!E419</f>
        <v>7Б 0 01 93300</v>
      </c>
      <c r="E419" s="110" t="str">
        <f>'пр.5 вед.стр.'!F419</f>
        <v>600</v>
      </c>
      <c r="F419" s="61">
        <f>F420</f>
        <v>361</v>
      </c>
    </row>
    <row r="420" spans="1:6" ht="12.75">
      <c r="A420" s="29" t="str">
        <f>'пр.5 вед.стр.'!A420</f>
        <v>Субсидии бюджетным учреждениям</v>
      </c>
      <c r="B420" s="20" t="s">
        <v>66</v>
      </c>
      <c r="C420" s="20" t="s">
        <v>64</v>
      </c>
      <c r="D420" s="115" t="str">
        <f>'пр.5 вед.стр.'!E420</f>
        <v>7Б 0 01 93300</v>
      </c>
      <c r="E420" s="110" t="str">
        <f>'пр.5 вед.стр.'!F420</f>
        <v>610</v>
      </c>
      <c r="F420" s="61">
        <f>'пр.5 вед.стр.'!G420</f>
        <v>361</v>
      </c>
    </row>
    <row r="421" spans="1:6" ht="25.5">
      <c r="A421" s="29" t="str">
        <f>'пр.5 вед.стр.'!A421</f>
        <v>Муниципальная программа  "Пожарная безопасность в Сусуманском городском округе на 2018- 2022 годы"</v>
      </c>
      <c r="B421" s="20" t="s">
        <v>66</v>
      </c>
      <c r="C421" s="20" t="s">
        <v>64</v>
      </c>
      <c r="D421" s="115" t="str">
        <f>'пр.5 вед.стр.'!E421</f>
        <v xml:space="preserve">7П 0 00 00000 </v>
      </c>
      <c r="E421" s="110"/>
      <c r="F421" s="61">
        <f>F422</f>
        <v>1353</v>
      </c>
    </row>
    <row r="422" spans="1:6" ht="25.5">
      <c r="A422" s="29" t="str">
        <f>'пр.5 вед.стр.'!A422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2" s="20" t="s">
        <v>66</v>
      </c>
      <c r="C422" s="20" t="s">
        <v>64</v>
      </c>
      <c r="D422" s="115" t="str">
        <f>'пр.5 вед.стр.'!E422</f>
        <v xml:space="preserve">7П 0 01 00000 </v>
      </c>
      <c r="E422" s="110"/>
      <c r="F422" s="61">
        <f>F423+F426+F429+F432+F435+F438</f>
        <v>1353</v>
      </c>
    </row>
    <row r="423" spans="1:6" ht="25.5">
      <c r="A423" s="29" t="str">
        <f>'пр.5 вед.стр.'!A423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3" s="20" t="s">
        <v>66</v>
      </c>
      <c r="C423" s="20" t="s">
        <v>64</v>
      </c>
      <c r="D423" s="115" t="str">
        <f>'пр.5 вед.стр.'!E423</f>
        <v xml:space="preserve">7П 0 01 94100 </v>
      </c>
      <c r="E423" s="110"/>
      <c r="F423" s="61">
        <f>F424</f>
        <v>808.8</v>
      </c>
    </row>
    <row r="424" spans="1:6" ht="25.5">
      <c r="A424" s="29" t="str">
        <f>'пр.5 вед.стр.'!A424</f>
        <v>Предоставление субсидий бюджетным, автономным учреждениям и иным некоммерческим организациям</v>
      </c>
      <c r="B424" s="20" t="s">
        <v>66</v>
      </c>
      <c r="C424" s="20" t="s">
        <v>64</v>
      </c>
      <c r="D424" s="115" t="str">
        <f>'пр.5 вед.стр.'!E424</f>
        <v xml:space="preserve">7П 0 01 94100 </v>
      </c>
      <c r="E424" s="110" t="str">
        <f>'пр.5 вед.стр.'!F424</f>
        <v>600</v>
      </c>
      <c r="F424" s="61">
        <f>F425</f>
        <v>808.8</v>
      </c>
    </row>
    <row r="425" spans="1:6" ht="12.75">
      <c r="A425" s="29" t="str">
        <f>'пр.5 вед.стр.'!A425</f>
        <v>Субсидии бюджетным учреждениям</v>
      </c>
      <c r="B425" s="20" t="s">
        <v>66</v>
      </c>
      <c r="C425" s="20" t="s">
        <v>64</v>
      </c>
      <c r="D425" s="115" t="str">
        <f>'пр.5 вед.стр.'!E425</f>
        <v xml:space="preserve">7П 0 01 94100 </v>
      </c>
      <c r="E425" s="110" t="str">
        <f>'пр.5 вед.стр.'!F425</f>
        <v>610</v>
      </c>
      <c r="F425" s="61">
        <f>'пр.5 вед.стр.'!G425</f>
        <v>808.8</v>
      </c>
    </row>
    <row r="426" spans="1:6" ht="12.75">
      <c r="A426" s="29" t="str">
        <f>'пр.5 вед.стр.'!A426</f>
        <v>Обработка сгораемых конструкций огнезащитными составами</v>
      </c>
      <c r="B426" s="20" t="s">
        <v>66</v>
      </c>
      <c r="C426" s="20" t="s">
        <v>64</v>
      </c>
      <c r="D426" s="115" t="str">
        <f>'пр.5 вед.стр.'!E426</f>
        <v xml:space="preserve">7П 0 01 94200 </v>
      </c>
      <c r="E426" s="110"/>
      <c r="F426" s="61">
        <f>F427</f>
        <v>124.2</v>
      </c>
    </row>
    <row r="427" spans="1:6" ht="25.5">
      <c r="A427" s="29" t="str">
        <f>'пр.5 вед.стр.'!A427</f>
        <v>Предоставление субсидий бюджетным, автономным учреждениям и иным некоммерческим организациям</v>
      </c>
      <c r="B427" s="20" t="s">
        <v>66</v>
      </c>
      <c r="C427" s="20" t="s">
        <v>64</v>
      </c>
      <c r="D427" s="115" t="str">
        <f>'пр.5 вед.стр.'!E427</f>
        <v xml:space="preserve">7П 0 01 94200 </v>
      </c>
      <c r="E427" s="110" t="str">
        <f>'пр.5 вед.стр.'!F427</f>
        <v>600</v>
      </c>
      <c r="F427" s="61">
        <f>F428</f>
        <v>124.2</v>
      </c>
    </row>
    <row r="428" spans="1:6" ht="12.75">
      <c r="A428" s="29" t="str">
        <f>'пр.5 вед.стр.'!A428</f>
        <v>Субсидии бюджетным учреждениям</v>
      </c>
      <c r="B428" s="20" t="s">
        <v>66</v>
      </c>
      <c r="C428" s="20" t="s">
        <v>64</v>
      </c>
      <c r="D428" s="115" t="str">
        <f>'пр.5 вед.стр.'!E428</f>
        <v xml:space="preserve">7П 0 01 94200 </v>
      </c>
      <c r="E428" s="110" t="str">
        <f>'пр.5 вед.стр.'!F428</f>
        <v>610</v>
      </c>
      <c r="F428" s="61">
        <f>'пр.5 вед.стр.'!G428</f>
        <v>124.2</v>
      </c>
    </row>
    <row r="429" spans="1:6" ht="12.75">
      <c r="A429" s="29" t="str">
        <f>'пр.5 вед.стр.'!A429</f>
        <v>Проведение замеров сопротивления изоляции электросетей и электрооборудования</v>
      </c>
      <c r="B429" s="20" t="s">
        <v>66</v>
      </c>
      <c r="C429" s="20" t="s">
        <v>64</v>
      </c>
      <c r="D429" s="115" t="str">
        <f>'пр.5 вед.стр.'!E429</f>
        <v xml:space="preserve">7П 0 01 94400 </v>
      </c>
      <c r="E429" s="110"/>
      <c r="F429" s="61">
        <f>F430</f>
        <v>180.2</v>
      </c>
    </row>
    <row r="430" spans="1:6" ht="25.5">
      <c r="A430" s="29" t="str">
        <f>'пр.5 вед.стр.'!A430</f>
        <v>Предоставление субсидий бюджетным, автономным учреждениям и иным некоммерческим организациям</v>
      </c>
      <c r="B430" s="20" t="s">
        <v>66</v>
      </c>
      <c r="C430" s="20" t="s">
        <v>64</v>
      </c>
      <c r="D430" s="115" t="str">
        <f>'пр.5 вед.стр.'!E430</f>
        <v xml:space="preserve">7П 0 01 94400 </v>
      </c>
      <c r="E430" s="110" t="str">
        <f>'пр.5 вед.стр.'!F430</f>
        <v>600</v>
      </c>
      <c r="F430" s="61">
        <f>F431</f>
        <v>180.2</v>
      </c>
    </row>
    <row r="431" spans="1:6" ht="12.75">
      <c r="A431" s="29" t="str">
        <f>'пр.5 вед.стр.'!A431</f>
        <v>Субсидии бюджетным учреждениям</v>
      </c>
      <c r="B431" s="20" t="s">
        <v>66</v>
      </c>
      <c r="C431" s="20" t="s">
        <v>64</v>
      </c>
      <c r="D431" s="115" t="str">
        <f>'пр.5 вед.стр.'!E431</f>
        <v xml:space="preserve">7П 0 01 94400 </v>
      </c>
      <c r="E431" s="110" t="str">
        <f>'пр.5 вед.стр.'!F431</f>
        <v>610</v>
      </c>
      <c r="F431" s="61">
        <f>'пр.5 вед.стр.'!G431</f>
        <v>180.2</v>
      </c>
    </row>
    <row r="432" spans="1:6" ht="25.5">
      <c r="A432" s="29" t="str">
        <f>'пр.5 вед.стр.'!A432</f>
        <v>Проведение проверок исправности и ремонт систем противопожарного водоснабжения, приобретение и обслуживание гидрантов</v>
      </c>
      <c r="B432" s="20" t="s">
        <v>66</v>
      </c>
      <c r="C432" s="20" t="s">
        <v>64</v>
      </c>
      <c r="D432" s="115" t="str">
        <f>'пр.5 вед.стр.'!E432</f>
        <v xml:space="preserve">7П 0 01 94500 </v>
      </c>
      <c r="E432" s="110"/>
      <c r="F432" s="61">
        <f>F433</f>
        <v>65.5</v>
      </c>
    </row>
    <row r="433" spans="1:6" ht="25.5">
      <c r="A433" s="29" t="str">
        <f>'пр.5 вед.стр.'!A433</f>
        <v>Предоставление субсидий бюджетным, автономным учреждениям и иным некоммерческим организациям</v>
      </c>
      <c r="B433" s="20" t="s">
        <v>66</v>
      </c>
      <c r="C433" s="20" t="s">
        <v>64</v>
      </c>
      <c r="D433" s="115" t="str">
        <f>'пр.5 вед.стр.'!E433</f>
        <v xml:space="preserve">7П 0 01 94500 </v>
      </c>
      <c r="E433" s="110" t="str">
        <f>'пр.5 вед.стр.'!F433</f>
        <v>600</v>
      </c>
      <c r="F433" s="61">
        <f>F434</f>
        <v>65.5</v>
      </c>
    </row>
    <row r="434" spans="1:6" ht="12.75">
      <c r="A434" s="29" t="str">
        <f>'пр.5 вед.стр.'!A434</f>
        <v>Субсидии бюджетным учреждениям</v>
      </c>
      <c r="B434" s="20" t="s">
        <v>66</v>
      </c>
      <c r="C434" s="20" t="s">
        <v>64</v>
      </c>
      <c r="D434" s="115" t="str">
        <f>'пр.5 вед.стр.'!E434</f>
        <v xml:space="preserve">7П 0 01 94500 </v>
      </c>
      <c r="E434" s="110" t="str">
        <f>'пр.5 вед.стр.'!F434</f>
        <v>610</v>
      </c>
      <c r="F434" s="61">
        <f>'пр.5 вед.стр.'!G434</f>
        <v>65.5</v>
      </c>
    </row>
    <row r="435" spans="1:6" ht="12.75">
      <c r="A435" s="29" t="str">
        <f>'пр.5 вед.стр.'!A435</f>
        <v>Обучение сотрудников по пожарной безопасности</v>
      </c>
      <c r="B435" s="20" t="s">
        <v>66</v>
      </c>
      <c r="C435" s="20" t="s">
        <v>64</v>
      </c>
      <c r="D435" s="115" t="str">
        <f>'пр.5 вед.стр.'!E435</f>
        <v xml:space="preserve">7П 0 01 94510 </v>
      </c>
      <c r="E435" s="110"/>
      <c r="F435" s="61">
        <f>F436</f>
        <v>9</v>
      </c>
    </row>
    <row r="436" spans="1:6" ht="25.5">
      <c r="A436" s="29" t="str">
        <f>'пр.5 вед.стр.'!A436</f>
        <v>Предоставление субсидий бюджетным, автономным учреждениям и иным некоммерческим организациям</v>
      </c>
      <c r="B436" s="20" t="s">
        <v>66</v>
      </c>
      <c r="C436" s="20" t="s">
        <v>64</v>
      </c>
      <c r="D436" s="115" t="str">
        <f>'пр.5 вед.стр.'!E436</f>
        <v xml:space="preserve">7П 0 01 94510 </v>
      </c>
      <c r="E436" s="110" t="str">
        <f>'пр.5 вед.стр.'!F436</f>
        <v>600</v>
      </c>
      <c r="F436" s="61">
        <f>F437</f>
        <v>9</v>
      </c>
    </row>
    <row r="437" spans="1:6" ht="12.75">
      <c r="A437" s="29" t="str">
        <f>'пр.5 вед.стр.'!A437</f>
        <v>Субсидии бюджетным учреждениям</v>
      </c>
      <c r="B437" s="20" t="s">
        <v>66</v>
      </c>
      <c r="C437" s="20" t="s">
        <v>64</v>
      </c>
      <c r="D437" s="115" t="str">
        <f>'пр.5 вед.стр.'!E437</f>
        <v xml:space="preserve">7П 0 01 94510 </v>
      </c>
      <c r="E437" s="110" t="str">
        <f>'пр.5 вед.стр.'!F437</f>
        <v>610</v>
      </c>
      <c r="F437" s="61">
        <f>'пр.5 вед.стр.'!G437</f>
        <v>9</v>
      </c>
    </row>
    <row r="438" spans="1:6" ht="12.75">
      <c r="A438" s="29" t="str">
        <f>'пр.5 вед.стр.'!A438</f>
        <v>Установка противопожарных дверей на запасных выходах</v>
      </c>
      <c r="B438" s="20" t="s">
        <v>66</v>
      </c>
      <c r="C438" s="20" t="s">
        <v>64</v>
      </c>
      <c r="D438" s="115" t="str">
        <f>'пр.5 вед.стр.'!E438</f>
        <v>7П 0 01 94600</v>
      </c>
      <c r="E438" s="110"/>
      <c r="F438" s="61">
        <f>F439</f>
        <v>165.3</v>
      </c>
    </row>
    <row r="439" spans="1:6" ht="25.5">
      <c r="A439" s="29" t="str">
        <f>'пр.5 вед.стр.'!A439</f>
        <v>Предоставление субсидий бюджетным, автономным учреждениям и иным некоммерческим организациям</v>
      </c>
      <c r="B439" s="20" t="s">
        <v>66</v>
      </c>
      <c r="C439" s="20" t="s">
        <v>64</v>
      </c>
      <c r="D439" s="115" t="str">
        <f>'пр.5 вед.стр.'!E439</f>
        <v>7П 0 01 94600</v>
      </c>
      <c r="E439" s="110" t="str">
        <f>'пр.5 вед.стр.'!F439</f>
        <v>600</v>
      </c>
      <c r="F439" s="61">
        <f>F440</f>
        <v>165.3</v>
      </c>
    </row>
    <row r="440" spans="1:6" ht="12.75">
      <c r="A440" s="29" t="str">
        <f>'пр.5 вед.стр.'!A440</f>
        <v>Субсидии бюджетным учреждениям</v>
      </c>
      <c r="B440" s="20" t="s">
        <v>66</v>
      </c>
      <c r="C440" s="20" t="s">
        <v>64</v>
      </c>
      <c r="D440" s="115" t="str">
        <f>'пр.5 вед.стр.'!E440</f>
        <v>7П 0 01 94600</v>
      </c>
      <c r="E440" s="110" t="str">
        <f>'пр.5 вед.стр.'!F440</f>
        <v>610</v>
      </c>
      <c r="F440" s="61">
        <f>'пр.5 вед.стр.'!G440</f>
        <v>165.3</v>
      </c>
    </row>
    <row r="441" spans="1:6" ht="25.5">
      <c r="A441" s="29" t="str">
        <f>'пр.5 вед.стр.'!A441</f>
        <v>Муниципальная  программа  "Развитие образования в Сусуманском городском округе  на 2018- 2022 годы"</v>
      </c>
      <c r="B441" s="20" t="s">
        <v>66</v>
      </c>
      <c r="C441" s="20" t="s">
        <v>64</v>
      </c>
      <c r="D441" s="110" t="str">
        <f>'пр.5 вед.стр.'!E441</f>
        <v xml:space="preserve">7Р 0 00 00000 </v>
      </c>
      <c r="E441" s="113"/>
      <c r="F441" s="61">
        <f>F442+F464</f>
        <v>151672</v>
      </c>
    </row>
    <row r="442" spans="1:6" ht="12.75">
      <c r="A442" s="16" t="str">
        <f>'пр.5 вед.стр.'!A442</f>
        <v>Основное мероприятие "Управление развитием отрасли образования"</v>
      </c>
      <c r="B442" s="20" t="s">
        <v>66</v>
      </c>
      <c r="C442" s="20" t="s">
        <v>64</v>
      </c>
      <c r="D442" s="110" t="str">
        <f>'пр.5 вед.стр.'!E442</f>
        <v>7Р 0 02 00000</v>
      </c>
      <c r="E442" s="113"/>
      <c r="F442" s="61">
        <f>F449+F452+F455+F458+F461+F443+F446</f>
        <v>151397</v>
      </c>
    </row>
    <row r="443" spans="1:6" ht="51">
      <c r="A443" s="16" t="str">
        <f>'пр.5 вед.стр.'!A443</f>
        <v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443" s="20" t="s">
        <v>66</v>
      </c>
      <c r="C443" s="20" t="s">
        <v>64</v>
      </c>
      <c r="D443" s="110" t="str">
        <f>'пр.5 вед.стр.'!E443</f>
        <v>7Р 0 02 73С20</v>
      </c>
      <c r="E443" s="113"/>
      <c r="F443" s="61">
        <f>F444</f>
        <v>2.299999999999997</v>
      </c>
    </row>
    <row r="444" spans="1:6" ht="25.5">
      <c r="A444" s="16" t="str">
        <f>'пр.5 вед.стр.'!A444</f>
        <v>Предоставление субсидий бюджетным, автономным учреждениям и иным некоммерческим организациям</v>
      </c>
      <c r="B444" s="20" t="s">
        <v>66</v>
      </c>
      <c r="C444" s="20" t="s">
        <v>64</v>
      </c>
      <c r="D444" s="110" t="str">
        <f>'пр.5 вед.стр.'!E444</f>
        <v>7Р 0 02 73С20</v>
      </c>
      <c r="E444" s="110" t="str">
        <f>'пр.5 вед.стр.'!F444</f>
        <v>600</v>
      </c>
      <c r="F444" s="61">
        <f>F445</f>
        <v>2.299999999999997</v>
      </c>
    </row>
    <row r="445" spans="1:6" ht="12.75">
      <c r="A445" s="16" t="str">
        <f>'пр.5 вед.стр.'!A445</f>
        <v>Субсидии бюджетным учреждениям</v>
      </c>
      <c r="B445" s="20" t="s">
        <v>66</v>
      </c>
      <c r="C445" s="20" t="s">
        <v>64</v>
      </c>
      <c r="D445" s="110" t="str">
        <f>'пр.5 вед.стр.'!E445</f>
        <v>7Р 0 02 73С20</v>
      </c>
      <c r="E445" s="110" t="str">
        <f>'пр.5 вед.стр.'!F445</f>
        <v>610</v>
      </c>
      <c r="F445" s="61">
        <f>'пр.5 вед.стр.'!G445</f>
        <v>2.299999999999997</v>
      </c>
    </row>
    <row r="446" spans="1:6" ht="38.25">
      <c r="A446" s="16" t="str">
        <f>'пр.5 вед.стр.'!A446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446" s="20" t="s">
        <v>66</v>
      </c>
      <c r="C446" s="20" t="s">
        <v>64</v>
      </c>
      <c r="D446" s="110" t="str">
        <f>'[1]пр.7 вед.стр.'!E532</f>
        <v>7Р 0 02 S3С20</v>
      </c>
      <c r="E446" s="110"/>
      <c r="F446" s="61">
        <f>F447</f>
        <v>10</v>
      </c>
    </row>
    <row r="447" spans="1:6" ht="25.5">
      <c r="A447" s="16" t="str">
        <f>'[1]пр.7 вед.стр.'!A533</f>
        <v>Предоставление субсидий бюджетным, автономным учреждениям и иным некоммерческим организациям</v>
      </c>
      <c r="B447" s="20" t="s">
        <v>66</v>
      </c>
      <c r="C447" s="20" t="s">
        <v>64</v>
      </c>
      <c r="D447" s="110" t="str">
        <f>'[1]пр.7 вед.стр.'!E533</f>
        <v>7Р 0 02 S3С20</v>
      </c>
      <c r="E447" s="110" t="str">
        <f>'[1]пр.7 вед.стр.'!F533</f>
        <v>600</v>
      </c>
      <c r="F447" s="61">
        <f>F448</f>
        <v>10</v>
      </c>
    </row>
    <row r="448" spans="1:6" ht="12.75">
      <c r="A448" s="16" t="str">
        <f>'[1]пр.7 вед.стр.'!A534</f>
        <v>Субсидии бюджетным учреждениям</v>
      </c>
      <c r="B448" s="20" t="s">
        <v>66</v>
      </c>
      <c r="C448" s="20" t="s">
        <v>64</v>
      </c>
      <c r="D448" s="110" t="str">
        <f>'[1]пр.7 вед.стр.'!E534</f>
        <v>7Р 0 02 S3С20</v>
      </c>
      <c r="E448" s="110" t="str">
        <f>'[1]пр.7 вед.стр.'!F534</f>
        <v>610</v>
      </c>
      <c r="F448" s="61">
        <f>'пр.5 вед.стр.'!G448</f>
        <v>10</v>
      </c>
    </row>
    <row r="449" spans="1:6" ht="25.5">
      <c r="A449" s="16" t="str">
        <f>'пр.5 вед.стр.'!A449</f>
        <v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49" s="20" t="s">
        <v>66</v>
      </c>
      <c r="C449" s="20" t="s">
        <v>64</v>
      </c>
      <c r="D449" s="110" t="str">
        <f>'пр.5 вед.стр.'!E449</f>
        <v>7Р 0 02 74050</v>
      </c>
      <c r="E449" s="110"/>
      <c r="F449" s="61">
        <f>F450</f>
        <v>141591.6</v>
      </c>
    </row>
    <row r="450" spans="1:6" ht="25.5">
      <c r="A450" s="16" t="str">
        <f>'пр.5 вед.стр.'!A450</f>
        <v>Предоставление субсидий бюджетным, автономным учреждениям и иным некоммерческим организациям</v>
      </c>
      <c r="B450" s="20" t="s">
        <v>66</v>
      </c>
      <c r="C450" s="20" t="s">
        <v>64</v>
      </c>
      <c r="D450" s="110" t="str">
        <f>'пр.5 вед.стр.'!E450</f>
        <v>7Р 0 02 74050</v>
      </c>
      <c r="E450" s="110" t="str">
        <f>'пр.5 вед.стр.'!F450</f>
        <v>600</v>
      </c>
      <c r="F450" s="61">
        <f>F451</f>
        <v>141591.6</v>
      </c>
    </row>
    <row r="451" spans="1:6" ht="12.75">
      <c r="A451" s="16" t="str">
        <f>'пр.5 вед.стр.'!A451</f>
        <v>Субсидии бюджетным учреждениям</v>
      </c>
      <c r="B451" s="20" t="s">
        <v>66</v>
      </c>
      <c r="C451" s="20" t="s">
        <v>64</v>
      </c>
      <c r="D451" s="110" t="str">
        <f>'пр.5 вед.стр.'!E451</f>
        <v>7Р 0 02 74050</v>
      </c>
      <c r="E451" s="110" t="str">
        <f>'пр.5 вед.стр.'!F451</f>
        <v>610</v>
      </c>
      <c r="F451" s="61">
        <f>'пр.5 вед.стр.'!G451</f>
        <v>141591.6</v>
      </c>
    </row>
    <row r="452" spans="1:6" ht="25.5">
      <c r="A452" s="16" t="str">
        <f>'пр.5 вед.стр.'!A452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52" s="20" t="s">
        <v>66</v>
      </c>
      <c r="C452" s="20" t="s">
        <v>64</v>
      </c>
      <c r="D452" s="110" t="str">
        <f>'пр.5 вед.стр.'!E452</f>
        <v>7Р 0 02 74060</v>
      </c>
      <c r="E452" s="110"/>
      <c r="F452" s="61">
        <f>F453</f>
        <v>994.9</v>
      </c>
    </row>
    <row r="453" spans="1:6" ht="25.5">
      <c r="A453" s="16" t="str">
        <f>'пр.5 вед.стр.'!A453</f>
        <v>Предоставление субсидий бюджетным, автономным учреждениям и иным некоммерческим организациям</v>
      </c>
      <c r="B453" s="20" t="s">
        <v>66</v>
      </c>
      <c r="C453" s="20" t="s">
        <v>64</v>
      </c>
      <c r="D453" s="110" t="str">
        <f>'пр.5 вед.стр.'!E453</f>
        <v>7Р 0 02 74060</v>
      </c>
      <c r="E453" s="110" t="str">
        <f>'пр.5 вед.стр.'!F453</f>
        <v>600</v>
      </c>
      <c r="F453" s="61">
        <f>F454</f>
        <v>994.9</v>
      </c>
    </row>
    <row r="454" spans="1:6" ht="12.75">
      <c r="A454" s="16" t="str">
        <f>'пр.5 вед.стр.'!A454</f>
        <v>Субсидии бюджетным учреждениям</v>
      </c>
      <c r="B454" s="20" t="s">
        <v>66</v>
      </c>
      <c r="C454" s="20" t="s">
        <v>64</v>
      </c>
      <c r="D454" s="110" t="str">
        <f>'пр.5 вед.стр.'!E454</f>
        <v>7Р 0 02 74060</v>
      </c>
      <c r="E454" s="110" t="str">
        <f>'пр.5 вед.стр.'!F454</f>
        <v>610</v>
      </c>
      <c r="F454" s="61">
        <f>'пр.5 вед.стр.'!G454</f>
        <v>994.9</v>
      </c>
    </row>
    <row r="455" spans="1:6" ht="38.25">
      <c r="A455" s="16" t="str">
        <f>'пр.5 вед.стр.'!A455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5" s="20" t="s">
        <v>66</v>
      </c>
      <c r="C455" s="20" t="s">
        <v>64</v>
      </c>
      <c r="D455" s="110" t="str">
        <f>'пр.5 вед.стр.'!E455</f>
        <v>7Р 0 02 74070</v>
      </c>
      <c r="E455" s="110"/>
      <c r="F455" s="61">
        <f>F456</f>
        <v>2588.5</v>
      </c>
    </row>
    <row r="456" spans="1:6" ht="25.5">
      <c r="A456" s="16" t="str">
        <f>'пр.5 вед.стр.'!A456</f>
        <v>Предоставление субсидий бюджетным, автономным учреждениям и иным некоммерческим организациям</v>
      </c>
      <c r="B456" s="20" t="s">
        <v>66</v>
      </c>
      <c r="C456" s="20" t="s">
        <v>64</v>
      </c>
      <c r="D456" s="110" t="str">
        <f>'пр.5 вед.стр.'!E456</f>
        <v>7Р 0 02 74070</v>
      </c>
      <c r="E456" s="110" t="str">
        <f>'пр.5 вед.стр.'!F456</f>
        <v>600</v>
      </c>
      <c r="F456" s="61">
        <f>F457</f>
        <v>2588.5</v>
      </c>
    </row>
    <row r="457" spans="1:6" ht="12.75">
      <c r="A457" s="16" t="str">
        <f>'пр.5 вед.стр.'!A457</f>
        <v>Субсидии бюджетным учреждениям</v>
      </c>
      <c r="B457" s="20" t="s">
        <v>66</v>
      </c>
      <c r="C457" s="20" t="s">
        <v>64</v>
      </c>
      <c r="D457" s="110" t="str">
        <f>'пр.5 вед.стр.'!E457</f>
        <v>7Р 0 02 74070</v>
      </c>
      <c r="E457" s="110" t="str">
        <f>'пр.5 вед.стр.'!F457</f>
        <v>610</v>
      </c>
      <c r="F457" s="61">
        <f>'пр.5 вед.стр.'!G457</f>
        <v>2588.5</v>
      </c>
    </row>
    <row r="458" spans="1:6" ht="12.75">
      <c r="A458" s="16" t="str">
        <f>'пр.5 вед.стр.'!A458</f>
        <v>Обеспечение ежемесячного денежного вознаграждения за классное руководство</v>
      </c>
      <c r="B458" s="20" t="s">
        <v>66</v>
      </c>
      <c r="C458" s="20" t="s">
        <v>64</v>
      </c>
      <c r="D458" s="110" t="str">
        <f>'пр.5 вед.стр.'!E458</f>
        <v>7Р 0 02 74130</v>
      </c>
      <c r="E458" s="110"/>
      <c r="F458" s="61">
        <f>F459</f>
        <v>1117.6000000000001</v>
      </c>
    </row>
    <row r="459" spans="1:6" ht="25.5">
      <c r="A459" s="16" t="str">
        <f>'пр.5 вед.стр.'!A459</f>
        <v>Предоставление субсидий бюджетным, автономным учреждениям и иным некоммерческим организациям</v>
      </c>
      <c r="B459" s="20" t="s">
        <v>66</v>
      </c>
      <c r="C459" s="20" t="s">
        <v>64</v>
      </c>
      <c r="D459" s="110" t="str">
        <f>'пр.5 вед.стр.'!E459</f>
        <v>7Р 0 02 74130</v>
      </c>
      <c r="E459" s="110" t="str">
        <f>'пр.5 вед.стр.'!F459</f>
        <v>600</v>
      </c>
      <c r="F459" s="61">
        <f>F460</f>
        <v>1117.6000000000001</v>
      </c>
    </row>
    <row r="460" spans="1:6" ht="12.75">
      <c r="A460" s="16" t="str">
        <f>'пр.5 вед.стр.'!A460</f>
        <v>Субсидии бюджетным учреждениям</v>
      </c>
      <c r="B460" s="20" t="s">
        <v>66</v>
      </c>
      <c r="C460" s="20" t="s">
        <v>64</v>
      </c>
      <c r="D460" s="110" t="str">
        <f>'пр.5 вед.стр.'!E460</f>
        <v>7Р 0 02 74130</v>
      </c>
      <c r="E460" s="110" t="str">
        <f>'пр.5 вед.стр.'!F460</f>
        <v>610</v>
      </c>
      <c r="F460" s="61">
        <f>'пр.5 вед.стр.'!G460</f>
        <v>1117.6000000000001</v>
      </c>
    </row>
    <row r="461" spans="1:6" ht="25.5">
      <c r="A461" s="16" t="str">
        <f>'пр.5 вед.стр.'!A461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61" s="20" t="s">
        <v>66</v>
      </c>
      <c r="C461" s="20" t="s">
        <v>64</v>
      </c>
      <c r="D461" s="110" t="str">
        <f>'пр.5 вед.стр.'!E461</f>
        <v>7Р 0 02 75010</v>
      </c>
      <c r="E461" s="110"/>
      <c r="F461" s="61">
        <f>F462</f>
        <v>5092.099999999999</v>
      </c>
    </row>
    <row r="462" spans="1:6" ht="25.5">
      <c r="A462" s="16" t="str">
        <f>'пр.5 вед.стр.'!A462</f>
        <v>Предоставление субсидий бюджетным, автономным учреждениям и иным некоммерческим организациям</v>
      </c>
      <c r="B462" s="20" t="s">
        <v>66</v>
      </c>
      <c r="C462" s="20" t="s">
        <v>64</v>
      </c>
      <c r="D462" s="110" t="str">
        <f>'пр.5 вед.стр.'!E462</f>
        <v>7Р 0 02 75010</v>
      </c>
      <c r="E462" s="110" t="str">
        <f>'пр.5 вед.стр.'!F462</f>
        <v>600</v>
      </c>
      <c r="F462" s="61">
        <f>F463</f>
        <v>5092.099999999999</v>
      </c>
    </row>
    <row r="463" spans="1:6" ht="12.75">
      <c r="A463" s="16" t="str">
        <f>'пр.5 вед.стр.'!A463</f>
        <v>Субсидии бюджетным учреждениям</v>
      </c>
      <c r="B463" s="20" t="s">
        <v>66</v>
      </c>
      <c r="C463" s="20" t="s">
        <v>64</v>
      </c>
      <c r="D463" s="110" t="str">
        <f>'пр.5 вед.стр.'!E463</f>
        <v>7Р 0 02 75010</v>
      </c>
      <c r="E463" s="110" t="str">
        <f>'пр.5 вед.стр.'!F463</f>
        <v>610</v>
      </c>
      <c r="F463" s="61">
        <f>'пр.5 вед.стр.'!G463</f>
        <v>5092.099999999999</v>
      </c>
    </row>
    <row r="464" spans="1:6" ht="25.5">
      <c r="A464" s="16" t="str">
        <f>'пр.5 вед.стр.'!A464</f>
        <v>Основное мероприятие "Формирование доступной среды в образовательных учреждениях Сусуманского городского округа"</v>
      </c>
      <c r="B464" s="20" t="s">
        <v>66</v>
      </c>
      <c r="C464" s="20" t="s">
        <v>64</v>
      </c>
      <c r="D464" s="110" t="str">
        <f>'пр.5 вед.стр.'!E464</f>
        <v>7Р 0 05 00000</v>
      </c>
      <c r="E464" s="110"/>
      <c r="F464" s="61">
        <f>F465</f>
        <v>275</v>
      </c>
    </row>
    <row r="465" spans="1:6" ht="12.75">
      <c r="A465" s="16" t="str">
        <f>'пр.5 вед.стр.'!A465</f>
        <v xml:space="preserve">Адаптация социально- значимых объектов для инвалидов и маломобильных групп населения </v>
      </c>
      <c r="B465" s="20" t="s">
        <v>66</v>
      </c>
      <c r="C465" s="20" t="s">
        <v>64</v>
      </c>
      <c r="D465" s="110" t="str">
        <f>'пр.5 вед.стр.'!E465</f>
        <v>7Р 0 05 91500</v>
      </c>
      <c r="E465" s="110"/>
      <c r="F465" s="61">
        <f>F466</f>
        <v>275</v>
      </c>
    </row>
    <row r="466" spans="1:6" ht="25.5">
      <c r="A466" s="16" t="str">
        <f>'пр.5 вед.стр.'!A466</f>
        <v>Предоставление субсидий бюджетным, автономным учреждениям и иным некоммерческим организациям</v>
      </c>
      <c r="B466" s="20" t="s">
        <v>66</v>
      </c>
      <c r="C466" s="20" t="s">
        <v>64</v>
      </c>
      <c r="D466" s="110" t="str">
        <f>'пр.5 вед.стр.'!E466</f>
        <v>7Р 0 05 91500</v>
      </c>
      <c r="E466" s="110" t="str">
        <f>'пр.5 вед.стр.'!F466</f>
        <v>600</v>
      </c>
      <c r="F466" s="61">
        <f>F467</f>
        <v>275</v>
      </c>
    </row>
    <row r="467" spans="1:6" ht="12.75">
      <c r="A467" s="16" t="str">
        <f>'пр.5 вед.стр.'!A467</f>
        <v>Субсидии бюджетным учреждениям</v>
      </c>
      <c r="B467" s="20" t="s">
        <v>66</v>
      </c>
      <c r="C467" s="20" t="s">
        <v>64</v>
      </c>
      <c r="D467" s="110" t="str">
        <f>'пр.5 вед.стр.'!E467</f>
        <v>7Р 0 05 91500</v>
      </c>
      <c r="E467" s="110" t="str">
        <f>'пр.5 вед.стр.'!F467</f>
        <v>610</v>
      </c>
      <c r="F467" s="61">
        <f>'пр.5 вед.стр.'!G467</f>
        <v>275</v>
      </c>
    </row>
    <row r="468" spans="1:6" ht="25.5">
      <c r="A468" s="29" t="str">
        <f>'пр.5 вед.стр.'!A468</f>
        <v>Муниципальная  программа  "Здоровье обучающихся и воспитанников в Сусуманском городском округе  на 2018- 2022 годы"</v>
      </c>
      <c r="B468" s="19" t="s">
        <v>66</v>
      </c>
      <c r="C468" s="19" t="s">
        <v>64</v>
      </c>
      <c r="D468" s="115" t="str">
        <f>'пр.5 вед.стр.'!E468</f>
        <v xml:space="preserve">7Ю 0 00 00000 </v>
      </c>
      <c r="E468" s="115"/>
      <c r="F468" s="61">
        <f>F469</f>
        <v>4052.0000000000005</v>
      </c>
    </row>
    <row r="469" spans="1:6" ht="25.5">
      <c r="A469" s="29" t="str">
        <f>'пр.5 вед.стр.'!A469</f>
        <v>Основное мероприятие "Совершенствование системы укрепления здоровья учащихся и воспитанников образовательных учреждений"</v>
      </c>
      <c r="B469" s="20" t="s">
        <v>66</v>
      </c>
      <c r="C469" s="20" t="s">
        <v>64</v>
      </c>
      <c r="D469" s="115" t="str">
        <f>'пр.5 вед.стр.'!E469</f>
        <v xml:space="preserve">7Ю 0 01 00000 </v>
      </c>
      <c r="E469" s="110"/>
      <c r="F469" s="61">
        <f>F470+F473+F476+F479+F485+F482</f>
        <v>4052.0000000000005</v>
      </c>
    </row>
    <row r="470" spans="1:6" ht="12.75">
      <c r="A470" s="29" t="str">
        <f>'пр.5 вед.стр.'!A470</f>
        <v>Укрепление материально- технической базы медицинских кабинетов</v>
      </c>
      <c r="B470" s="20" t="s">
        <v>66</v>
      </c>
      <c r="C470" s="20" t="s">
        <v>64</v>
      </c>
      <c r="D470" s="115" t="str">
        <f>'пр.5 вед.стр.'!E470</f>
        <v xml:space="preserve">7Ю 0 01 92520 </v>
      </c>
      <c r="E470" s="110"/>
      <c r="F470" s="61">
        <f>F471</f>
        <v>113.30000000000001</v>
      </c>
    </row>
    <row r="471" spans="1:6" ht="25.5">
      <c r="A471" s="29" t="str">
        <f>'пр.5 вед.стр.'!A471</f>
        <v>Предоставление субсидий бюджетным, автономным учреждениям и иным некоммерческим организациям</v>
      </c>
      <c r="B471" s="20" t="s">
        <v>66</v>
      </c>
      <c r="C471" s="20" t="s">
        <v>64</v>
      </c>
      <c r="D471" s="115" t="str">
        <f>'пр.5 вед.стр.'!E471</f>
        <v xml:space="preserve">7Ю 0 01 92520 </v>
      </c>
      <c r="E471" s="110" t="str">
        <f>'пр.5 вед.стр.'!F471</f>
        <v>600</v>
      </c>
      <c r="F471" s="61">
        <f>F472</f>
        <v>113.30000000000001</v>
      </c>
    </row>
    <row r="472" spans="1:6" ht="12.75">
      <c r="A472" s="29" t="str">
        <f>'пр.5 вед.стр.'!A472</f>
        <v>Субсидии бюджетным учреждениям</v>
      </c>
      <c r="B472" s="20" t="s">
        <v>66</v>
      </c>
      <c r="C472" s="20" t="s">
        <v>64</v>
      </c>
      <c r="D472" s="115" t="str">
        <f>'пр.5 вед.стр.'!E472</f>
        <v xml:space="preserve">7Ю 0 01 92520 </v>
      </c>
      <c r="E472" s="110" t="str">
        <f>'пр.5 вед.стр.'!F472</f>
        <v>610</v>
      </c>
      <c r="F472" s="61">
        <f>'пр.5 вед.стр.'!G472</f>
        <v>113.30000000000001</v>
      </c>
    </row>
    <row r="473" spans="1:6" ht="12.75">
      <c r="A473" s="16" t="str">
        <f>'пр.5 вед.стр.'!A473</f>
        <v xml:space="preserve">Совершенствование системы укрепления здоровья учащихся в общеобразовательных учреждениях </v>
      </c>
      <c r="B473" s="20" t="s">
        <v>66</v>
      </c>
      <c r="C473" s="20" t="s">
        <v>64</v>
      </c>
      <c r="D473" s="110" t="str">
        <f>'пр.5 вед.стр.'!E473</f>
        <v>7Ю 0 01 73440</v>
      </c>
      <c r="E473" s="113"/>
      <c r="F473" s="61">
        <f>F474</f>
        <v>1248.2000000000003</v>
      </c>
    </row>
    <row r="474" spans="1:6" ht="25.5">
      <c r="A474" s="16" t="str">
        <f>'пр.5 вед.стр.'!A474</f>
        <v>Предоставление субсидий бюджетным, автономным учреждениям и иным некоммерческим организациям</v>
      </c>
      <c r="B474" s="20" t="s">
        <v>66</v>
      </c>
      <c r="C474" s="20" t="s">
        <v>64</v>
      </c>
      <c r="D474" s="110" t="str">
        <f>'пр.5 вед.стр.'!E474</f>
        <v>7Ю 0 01 73440</v>
      </c>
      <c r="E474" s="110" t="str">
        <f>'пр.5 вед.стр.'!F474</f>
        <v>600</v>
      </c>
      <c r="F474" s="61">
        <f>F475</f>
        <v>1248.2000000000003</v>
      </c>
    </row>
    <row r="475" spans="1:6" ht="12.75">
      <c r="A475" s="16" t="str">
        <f>'пр.5 вед.стр.'!A475</f>
        <v>Субсидии бюджетным учреждениям</v>
      </c>
      <c r="B475" s="20" t="s">
        <v>66</v>
      </c>
      <c r="C475" s="20" t="s">
        <v>64</v>
      </c>
      <c r="D475" s="110" t="str">
        <f>'пр.5 вед.стр.'!E475</f>
        <v>7Ю 0 01 73440</v>
      </c>
      <c r="E475" s="110" t="str">
        <f>'пр.5 вед.стр.'!F475</f>
        <v>610</v>
      </c>
      <c r="F475" s="61">
        <f>'пр.5 вед.стр.'!G475</f>
        <v>1248.2000000000003</v>
      </c>
    </row>
    <row r="476" spans="1:6" ht="25.5">
      <c r="A476" s="16" t="str">
        <f>'пр.5 вед.стр.'!A476</f>
        <v>Совершенствование системы укрепления здоровья учащихся в общеобразовательных учреждениях  за счет средств местного бюджета</v>
      </c>
      <c r="B476" s="20" t="s">
        <v>66</v>
      </c>
      <c r="C476" s="20" t="s">
        <v>64</v>
      </c>
      <c r="D476" s="110" t="str">
        <f>'пр.5 вед.стр.'!E476</f>
        <v>7Ю 0 01 S3440</v>
      </c>
      <c r="E476" s="110"/>
      <c r="F476" s="61">
        <f>F477</f>
        <v>1537.5</v>
      </c>
    </row>
    <row r="477" spans="1:6" ht="25.5">
      <c r="A477" s="16" t="str">
        <f>'пр.5 вед.стр.'!A477</f>
        <v>Предоставление субсидий бюджетным, автономным учреждениям и иным некоммерческим организациям</v>
      </c>
      <c r="B477" s="20" t="s">
        <v>66</v>
      </c>
      <c r="C477" s="20" t="s">
        <v>64</v>
      </c>
      <c r="D477" s="110" t="str">
        <f>'пр.5 вед.стр.'!E477</f>
        <v>7Ю 0 01 S3440</v>
      </c>
      <c r="E477" s="110" t="str">
        <f>'пр.5 вед.стр.'!F477</f>
        <v>600</v>
      </c>
      <c r="F477" s="61">
        <f>F478</f>
        <v>1537.5</v>
      </c>
    </row>
    <row r="478" spans="1:6" ht="12.75">
      <c r="A478" s="16" t="str">
        <f>'пр.5 вед.стр.'!A478</f>
        <v>Субсидии бюджетным учреждениям</v>
      </c>
      <c r="B478" s="20" t="s">
        <v>66</v>
      </c>
      <c r="C478" s="20" t="s">
        <v>64</v>
      </c>
      <c r="D478" s="110" t="str">
        <f>'пр.5 вед.стр.'!E478</f>
        <v>7Ю 0 01 S3440</v>
      </c>
      <c r="E478" s="110" t="str">
        <f>'пр.5 вед.стр.'!F478</f>
        <v>610</v>
      </c>
      <c r="F478" s="61">
        <f>'пр.5 вед.стр.'!G478</f>
        <v>1537.5</v>
      </c>
    </row>
    <row r="479" spans="1:6" ht="25.5">
      <c r="A479" s="29" t="str">
        <f>'пр.5 вед.стр.'!A479</f>
        <v xml:space="preserve">Расходы на питание (завтрак или полдник) детей из многодетных семей, обучающихся в общеобразовательных учреждениях </v>
      </c>
      <c r="B479" s="20" t="s">
        <v>66</v>
      </c>
      <c r="C479" s="20" t="s">
        <v>64</v>
      </c>
      <c r="D479" s="115" t="str">
        <f>'пр.5 вед.стр.'!E479</f>
        <v xml:space="preserve">7Ю 0 01 73950 </v>
      </c>
      <c r="E479" s="110"/>
      <c r="F479" s="61">
        <f>F480</f>
        <v>808.8</v>
      </c>
    </row>
    <row r="480" spans="1:6" ht="25.5">
      <c r="A480" s="29" t="str">
        <f>'пр.5 вед.стр.'!A480</f>
        <v>Предоставление субсидий бюджетным, автономным учреждениям и иным некоммерческим организациям</v>
      </c>
      <c r="B480" s="20" t="s">
        <v>66</v>
      </c>
      <c r="C480" s="20" t="s">
        <v>64</v>
      </c>
      <c r="D480" s="115" t="str">
        <f>'пр.5 вед.стр.'!E480</f>
        <v xml:space="preserve">7Ю 0 01 73950 </v>
      </c>
      <c r="E480" s="110" t="str">
        <f>'пр.5 вед.стр.'!F480</f>
        <v>600</v>
      </c>
      <c r="F480" s="61">
        <f>F481</f>
        <v>808.8</v>
      </c>
    </row>
    <row r="481" spans="1:6" ht="12.75">
      <c r="A481" s="29" t="str">
        <f>'пр.5 вед.стр.'!A481</f>
        <v>Субсидии бюджетным учреждениям</v>
      </c>
      <c r="B481" s="20" t="s">
        <v>66</v>
      </c>
      <c r="C481" s="20" t="s">
        <v>64</v>
      </c>
      <c r="D481" s="115" t="str">
        <f>'пр.5 вед.стр.'!E481</f>
        <v xml:space="preserve">7Ю 0 01 73950 </v>
      </c>
      <c r="E481" s="110" t="str">
        <f>'пр.5 вед.стр.'!F481</f>
        <v>610</v>
      </c>
      <c r="F481" s="61">
        <f>'пр.5 вед.стр.'!G481</f>
        <v>808.8</v>
      </c>
    </row>
    <row r="482" spans="1:6" ht="25.5">
      <c r="A482" s="29" t="str">
        <f>'пр.5 вед.стр.'!A482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82" s="20" t="s">
        <v>66</v>
      </c>
      <c r="C482" s="20" t="s">
        <v>64</v>
      </c>
      <c r="D482" s="115" t="str">
        <f>'пр.5 вед.стр.'!E482</f>
        <v xml:space="preserve">7Ю 0 01 S3950 </v>
      </c>
      <c r="E482" s="110"/>
      <c r="F482" s="61">
        <f>F483</f>
        <v>250.8</v>
      </c>
    </row>
    <row r="483" spans="1:6" ht="25.5">
      <c r="A483" s="29" t="str">
        <f>'пр.5 вед.стр.'!A483</f>
        <v>Предоставление субсидий бюджетным, автономным учреждениям и иным некоммерческим организациям</v>
      </c>
      <c r="B483" s="20" t="s">
        <v>66</v>
      </c>
      <c r="C483" s="20" t="s">
        <v>64</v>
      </c>
      <c r="D483" s="115" t="str">
        <f>'пр.5 вед.стр.'!E483</f>
        <v xml:space="preserve">7Ю 0 01 S3950 </v>
      </c>
      <c r="E483" s="110" t="str">
        <f>'пр.5 вед.стр.'!F483</f>
        <v>600</v>
      </c>
      <c r="F483" s="61">
        <f>F484</f>
        <v>250.8</v>
      </c>
    </row>
    <row r="484" spans="1:6" ht="12.75">
      <c r="A484" s="29" t="str">
        <f>'пр.5 вед.стр.'!A484</f>
        <v>Субсидии бюджетным учреждениям</v>
      </c>
      <c r="B484" s="20" t="s">
        <v>66</v>
      </c>
      <c r="C484" s="20" t="s">
        <v>64</v>
      </c>
      <c r="D484" s="115" t="str">
        <f>'пр.5 вед.стр.'!E484</f>
        <v xml:space="preserve">7Ю 0 01 S3950 </v>
      </c>
      <c r="E484" s="110" t="str">
        <f>'пр.5 вед.стр.'!F484</f>
        <v>610</v>
      </c>
      <c r="F484" s="61">
        <f>'пр.5 вед.стр.'!G484</f>
        <v>250.8</v>
      </c>
    </row>
    <row r="485" spans="1:6" ht="12.75">
      <c r="A485" s="29" t="str">
        <f>'пр.5 вед.стр.'!A485</f>
        <v>Проведение конкурсов, спартакиад, соревнований, акций и других мероприятий</v>
      </c>
      <c r="B485" s="20" t="s">
        <v>66</v>
      </c>
      <c r="C485" s="20" t="s">
        <v>64</v>
      </c>
      <c r="D485" s="115" t="str">
        <f>'пр.5 вед.стр.'!E485</f>
        <v xml:space="preserve">7Ю 0 01 93800 </v>
      </c>
      <c r="E485" s="110"/>
      <c r="F485" s="61">
        <f>F486</f>
        <v>93.4</v>
      </c>
    </row>
    <row r="486" spans="1:6" ht="25.5">
      <c r="A486" s="29" t="str">
        <f>'пр.5 вед.стр.'!A486</f>
        <v>Предоставление субсидий бюджетным, автономным учреждениям и иным некоммерческим организациям</v>
      </c>
      <c r="B486" s="20" t="s">
        <v>66</v>
      </c>
      <c r="C486" s="20" t="s">
        <v>64</v>
      </c>
      <c r="D486" s="115" t="str">
        <f>'пр.5 вед.стр.'!E486</f>
        <v xml:space="preserve">7Ю 0 01 93800 </v>
      </c>
      <c r="E486" s="110" t="str">
        <f>'пр.5 вед.стр.'!F486</f>
        <v>600</v>
      </c>
      <c r="F486" s="61">
        <f>F487</f>
        <v>93.4</v>
      </c>
    </row>
    <row r="487" spans="1:6" ht="12.75">
      <c r="A487" s="29" t="str">
        <f>'пр.5 вед.стр.'!A487</f>
        <v>Субсидии бюджетным учреждениям</v>
      </c>
      <c r="B487" s="20" t="s">
        <v>66</v>
      </c>
      <c r="C487" s="20" t="s">
        <v>64</v>
      </c>
      <c r="D487" s="115" t="str">
        <f>'пр.5 вед.стр.'!E487</f>
        <v xml:space="preserve">7Ю 0 01 93800 </v>
      </c>
      <c r="E487" s="110" t="str">
        <f>'пр.5 вед.стр.'!F487</f>
        <v>610</v>
      </c>
      <c r="F487" s="61">
        <f>'пр.5 вед.стр.'!G487</f>
        <v>93.4</v>
      </c>
    </row>
    <row r="488" spans="1:6" ht="12.75">
      <c r="A488" s="16" t="s">
        <v>57</v>
      </c>
      <c r="B488" s="20" t="s">
        <v>66</v>
      </c>
      <c r="C488" s="20" t="s">
        <v>64</v>
      </c>
      <c r="D488" s="110" t="s">
        <v>507</v>
      </c>
      <c r="E488" s="110"/>
      <c r="F488" s="61">
        <f>F489+F492+F495</f>
        <v>39037.2</v>
      </c>
    </row>
    <row r="489" spans="1:6" ht="12.75">
      <c r="A489" s="16" t="s">
        <v>185</v>
      </c>
      <c r="B489" s="20" t="s">
        <v>66</v>
      </c>
      <c r="C489" s="20" t="s">
        <v>64</v>
      </c>
      <c r="D489" s="110" t="s">
        <v>508</v>
      </c>
      <c r="E489" s="110"/>
      <c r="F489" s="61">
        <f>F490</f>
        <v>35037</v>
      </c>
    </row>
    <row r="490" spans="1:6" ht="25.5">
      <c r="A490" s="16" t="s">
        <v>95</v>
      </c>
      <c r="B490" s="20" t="s">
        <v>66</v>
      </c>
      <c r="C490" s="20" t="s">
        <v>64</v>
      </c>
      <c r="D490" s="110" t="s">
        <v>508</v>
      </c>
      <c r="E490" s="110" t="s">
        <v>96</v>
      </c>
      <c r="F490" s="61">
        <f>F491</f>
        <v>35037</v>
      </c>
    </row>
    <row r="491" spans="1:6" ht="12.75">
      <c r="A491" s="16" t="s">
        <v>99</v>
      </c>
      <c r="B491" s="20" t="s">
        <v>66</v>
      </c>
      <c r="C491" s="20" t="s">
        <v>64</v>
      </c>
      <c r="D491" s="110" t="s">
        <v>508</v>
      </c>
      <c r="E491" s="110" t="s">
        <v>100</v>
      </c>
      <c r="F491" s="61">
        <f>'пр.5 вед.стр.'!G491</f>
        <v>35037</v>
      </c>
    </row>
    <row r="492" spans="1:6" ht="38.25">
      <c r="A492" s="16" t="s">
        <v>204</v>
      </c>
      <c r="B492" s="20" t="s">
        <v>66</v>
      </c>
      <c r="C492" s="20" t="s">
        <v>64</v>
      </c>
      <c r="D492" s="110" t="s">
        <v>509</v>
      </c>
      <c r="E492" s="110"/>
      <c r="F492" s="61">
        <f>F493</f>
        <v>3387.2</v>
      </c>
    </row>
    <row r="493" spans="1:6" ht="25.5">
      <c r="A493" s="16" t="s">
        <v>95</v>
      </c>
      <c r="B493" s="20" t="s">
        <v>66</v>
      </c>
      <c r="C493" s="20" t="s">
        <v>64</v>
      </c>
      <c r="D493" s="110" t="s">
        <v>509</v>
      </c>
      <c r="E493" s="110" t="s">
        <v>96</v>
      </c>
      <c r="F493" s="61">
        <f>F494</f>
        <v>3387.2</v>
      </c>
    </row>
    <row r="494" spans="1:6" ht="12.75">
      <c r="A494" s="16" t="s">
        <v>99</v>
      </c>
      <c r="B494" s="20" t="s">
        <v>66</v>
      </c>
      <c r="C494" s="20" t="s">
        <v>64</v>
      </c>
      <c r="D494" s="110" t="s">
        <v>509</v>
      </c>
      <c r="E494" s="110" t="s">
        <v>100</v>
      </c>
      <c r="F494" s="61">
        <f>'пр.5 вед.стр.'!G494</f>
        <v>3387.2</v>
      </c>
    </row>
    <row r="495" spans="1:6" ht="12.75">
      <c r="A495" s="16" t="s">
        <v>176</v>
      </c>
      <c r="B495" s="20" t="s">
        <v>66</v>
      </c>
      <c r="C495" s="20" t="s">
        <v>64</v>
      </c>
      <c r="D495" s="110" t="s">
        <v>510</v>
      </c>
      <c r="E495" s="110"/>
      <c r="F495" s="61">
        <f>F496</f>
        <v>613</v>
      </c>
    </row>
    <row r="496" spans="1:6" ht="25.5">
      <c r="A496" s="16" t="s">
        <v>95</v>
      </c>
      <c r="B496" s="20" t="s">
        <v>66</v>
      </c>
      <c r="C496" s="20" t="s">
        <v>64</v>
      </c>
      <c r="D496" s="110" t="s">
        <v>510</v>
      </c>
      <c r="E496" s="110" t="s">
        <v>96</v>
      </c>
      <c r="F496" s="61">
        <f>F497</f>
        <v>613</v>
      </c>
    </row>
    <row r="497" spans="1:6" ht="12.75">
      <c r="A497" s="16" t="s">
        <v>99</v>
      </c>
      <c r="B497" s="20" t="s">
        <v>66</v>
      </c>
      <c r="C497" s="20" t="s">
        <v>64</v>
      </c>
      <c r="D497" s="110" t="s">
        <v>510</v>
      </c>
      <c r="E497" s="110" t="s">
        <v>100</v>
      </c>
      <c r="F497" s="61">
        <f>'пр.5 вед.стр.'!G497</f>
        <v>613</v>
      </c>
    </row>
    <row r="498" spans="1:6" ht="12.75">
      <c r="A498" s="15" t="s">
        <v>304</v>
      </c>
      <c r="B498" s="32" t="s">
        <v>66</v>
      </c>
      <c r="C498" s="32" t="s">
        <v>67</v>
      </c>
      <c r="D498" s="113"/>
      <c r="E498" s="113"/>
      <c r="F498" s="174">
        <f>F500+F508+F525+F536</f>
        <v>67786.70000000001</v>
      </c>
    </row>
    <row r="499" spans="1:6" ht="12.75">
      <c r="A499" s="16" t="s">
        <v>478</v>
      </c>
      <c r="B499" s="20" t="s">
        <v>66</v>
      </c>
      <c r="C499" s="20" t="s">
        <v>67</v>
      </c>
      <c r="D499" s="115" t="s">
        <v>479</v>
      </c>
      <c r="E499" s="110"/>
      <c r="F499" s="61">
        <f>F500+F508+F525</f>
        <v>4443.099999999999</v>
      </c>
    </row>
    <row r="500" spans="1:6" ht="25.5">
      <c r="A500" s="29" t="str">
        <f>'пр.5 вед.стр.'!A500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500" s="20" t="s">
        <v>66</v>
      </c>
      <c r="C500" s="19" t="s">
        <v>67</v>
      </c>
      <c r="D500" s="115" t="str">
        <f>'пр.5 вед.стр.'!E500</f>
        <v xml:space="preserve">7Б 0 00 00000 </v>
      </c>
      <c r="E500" s="110"/>
      <c r="F500" s="61">
        <f>F501</f>
        <v>167.09999999999997</v>
      </c>
    </row>
    <row r="501" spans="1:6" ht="25.5">
      <c r="A501" s="29" t="str">
        <f>'пр.5 вед.стр.'!A501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01" s="20" t="s">
        <v>66</v>
      </c>
      <c r="C501" s="20" t="s">
        <v>67</v>
      </c>
      <c r="D501" s="115" t="str">
        <f>'пр.5 вед.стр.'!E501</f>
        <v xml:space="preserve">7Б 0 01 00000 </v>
      </c>
      <c r="E501" s="110"/>
      <c r="F501" s="61">
        <f>F502+F505</f>
        <v>167.09999999999997</v>
      </c>
    </row>
    <row r="502" spans="1:6" ht="12.75">
      <c r="A502" s="29" t="str">
        <f>'пр.5 вед.стр.'!A502</f>
        <v>Обслуживание систем видеонаблюдения, охранной сигнализации</v>
      </c>
      <c r="B502" s="20" t="s">
        <v>66</v>
      </c>
      <c r="C502" s="20" t="s">
        <v>67</v>
      </c>
      <c r="D502" s="115" t="str">
        <f>'пр.5 вед.стр.'!E502</f>
        <v xml:space="preserve">7Б 0 01 91600 </v>
      </c>
      <c r="E502" s="110"/>
      <c r="F502" s="61">
        <f>F503</f>
        <v>150.29999999999998</v>
      </c>
    </row>
    <row r="503" spans="1:6" ht="25.5">
      <c r="A503" s="29" t="str">
        <f>'пр.5 вед.стр.'!A503</f>
        <v>Предоставление субсидий бюджетным, автономным учреждениям и иным некоммерческим организациям</v>
      </c>
      <c r="B503" s="20" t="s">
        <v>66</v>
      </c>
      <c r="C503" s="20" t="s">
        <v>67</v>
      </c>
      <c r="D503" s="115" t="str">
        <f>'пр.5 вед.стр.'!E503</f>
        <v xml:space="preserve">7Б 0 01 91600 </v>
      </c>
      <c r="E503" s="110" t="str">
        <f>'пр.5 вед.стр.'!F503</f>
        <v>600</v>
      </c>
      <c r="F503" s="61">
        <f>F504</f>
        <v>150.29999999999998</v>
      </c>
    </row>
    <row r="504" spans="1:6" ht="12.75">
      <c r="A504" s="29" t="str">
        <f>'пр.5 вед.стр.'!A504</f>
        <v>Субсидии бюджетным учреждениям</v>
      </c>
      <c r="B504" s="20" t="s">
        <v>66</v>
      </c>
      <c r="C504" s="20" t="s">
        <v>67</v>
      </c>
      <c r="D504" s="115" t="str">
        <f>'пр.5 вед.стр.'!E504</f>
        <v xml:space="preserve">7Б 0 01 91600 </v>
      </c>
      <c r="E504" s="110" t="str">
        <f>'пр.5 вед.стр.'!F504</f>
        <v>610</v>
      </c>
      <c r="F504" s="61">
        <f>'пр.5 вед.стр.'!G504</f>
        <v>150.29999999999998</v>
      </c>
    </row>
    <row r="505" spans="1:6" ht="12.75">
      <c r="A505" s="29" t="str">
        <f>'пр.5 вед.стр.'!A505</f>
        <v xml:space="preserve">Укрепление материально- технической базы </v>
      </c>
      <c r="B505" s="20" t="s">
        <v>66</v>
      </c>
      <c r="C505" s="20" t="s">
        <v>67</v>
      </c>
      <c r="D505" s="115" t="str">
        <f>'пр.5 вед.стр.'!E505</f>
        <v>7Б 0 01 92500</v>
      </c>
      <c r="E505" s="110"/>
      <c r="F505" s="61">
        <f>F506</f>
        <v>16.799999999999997</v>
      </c>
    </row>
    <row r="506" spans="1:6" ht="25.5">
      <c r="A506" s="29" t="str">
        <f>'пр.5 вед.стр.'!A506</f>
        <v>Предоставление субсидий бюджетным, автономным учреждениям и иным некоммерческим организациям</v>
      </c>
      <c r="B506" s="20" t="s">
        <v>66</v>
      </c>
      <c r="C506" s="20" t="s">
        <v>67</v>
      </c>
      <c r="D506" s="115" t="str">
        <f>'пр.5 вед.стр.'!E506</f>
        <v>7Б 0 01 92500</v>
      </c>
      <c r="E506" s="110" t="str">
        <f>'пр.5 вед.стр.'!F506</f>
        <v>600</v>
      </c>
      <c r="F506" s="61">
        <f>F507</f>
        <v>16.799999999999997</v>
      </c>
    </row>
    <row r="507" spans="1:6" ht="12.75">
      <c r="A507" s="29" t="str">
        <f>'пр.5 вед.стр.'!A507</f>
        <v>Субсидии бюджетным учреждениям</v>
      </c>
      <c r="B507" s="20" t="s">
        <v>66</v>
      </c>
      <c r="C507" s="20" t="s">
        <v>67</v>
      </c>
      <c r="D507" s="115" t="str">
        <f>'пр.5 вед.стр.'!E507</f>
        <v>7Б 0 01 92500</v>
      </c>
      <c r="E507" s="110" t="str">
        <f>'пр.5 вед.стр.'!F507</f>
        <v>610</v>
      </c>
      <c r="F507" s="61">
        <f>'пр.5 вед.стр.'!G507</f>
        <v>16.799999999999997</v>
      </c>
    </row>
    <row r="508" spans="1:6" ht="25.5">
      <c r="A508" s="29" t="str">
        <f>'пр.5 вед.стр.'!A508</f>
        <v>Муниципальная программа  "Пожарная безопасность в Сусуманском городском округе на 2018- 2022 годы"</v>
      </c>
      <c r="B508" s="20" t="s">
        <v>66</v>
      </c>
      <c r="C508" s="20" t="s">
        <v>67</v>
      </c>
      <c r="D508" s="115" t="str">
        <f>'пр.5 вед.стр.'!E508</f>
        <v xml:space="preserve">7П 0 00 00000 </v>
      </c>
      <c r="E508" s="110"/>
      <c r="F508" s="61">
        <f>F509</f>
        <v>624.3</v>
      </c>
    </row>
    <row r="509" spans="1:6" ht="25.5">
      <c r="A509" s="29" t="str">
        <f>'пр.5 вед.стр.'!A509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09" s="20" t="s">
        <v>66</v>
      </c>
      <c r="C509" s="20" t="s">
        <v>67</v>
      </c>
      <c r="D509" s="115" t="str">
        <f>'пр.5 вед.стр.'!E509</f>
        <v xml:space="preserve">7П 0 01 00000 </v>
      </c>
      <c r="E509" s="110"/>
      <c r="F509" s="61">
        <f>F510+F513+F516+F519+F522</f>
        <v>624.3</v>
      </c>
    </row>
    <row r="510" spans="1:6" ht="25.5">
      <c r="A510" s="29" t="str">
        <f>'пр.5 вед.стр.'!A510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10" s="20" t="s">
        <v>66</v>
      </c>
      <c r="C510" s="20" t="s">
        <v>67</v>
      </c>
      <c r="D510" s="115" t="str">
        <f>'пр.5 вед.стр.'!E510</f>
        <v xml:space="preserve">7П 0 01 94100 </v>
      </c>
      <c r="E510" s="110"/>
      <c r="F510" s="61">
        <f>F511</f>
        <v>460.1</v>
      </c>
    </row>
    <row r="511" spans="1:6" ht="25.5">
      <c r="A511" s="29" t="str">
        <f>'пр.5 вед.стр.'!A511</f>
        <v>Предоставление субсидий бюджетным, автономным учреждениям и иным некоммерческим организациям</v>
      </c>
      <c r="B511" s="20" t="s">
        <v>66</v>
      </c>
      <c r="C511" s="20" t="s">
        <v>67</v>
      </c>
      <c r="D511" s="115" t="str">
        <f>'пр.5 вед.стр.'!E511</f>
        <v xml:space="preserve">7П 0 01 94100 </v>
      </c>
      <c r="E511" s="110" t="str">
        <f>'пр.5 вед.стр.'!F511</f>
        <v>600</v>
      </c>
      <c r="F511" s="61">
        <f>F512</f>
        <v>460.1</v>
      </c>
    </row>
    <row r="512" spans="1:6" ht="12.75">
      <c r="A512" s="29" t="str">
        <f>'пр.5 вед.стр.'!A512</f>
        <v>Субсидии бюджетным учреждениям</v>
      </c>
      <c r="B512" s="20" t="s">
        <v>66</v>
      </c>
      <c r="C512" s="20" t="s">
        <v>67</v>
      </c>
      <c r="D512" s="115" t="str">
        <f>'пр.5 вед.стр.'!E512</f>
        <v xml:space="preserve">7П 0 01 94100 </v>
      </c>
      <c r="E512" s="110" t="str">
        <f>'пр.5 вед.стр.'!F512</f>
        <v>610</v>
      </c>
      <c r="F512" s="61">
        <f>'пр.5 вед.стр.'!G512+'пр.5 вед.стр.'!G637</f>
        <v>460.1</v>
      </c>
    </row>
    <row r="513" spans="1:6" ht="12.75">
      <c r="A513" s="29" t="str">
        <f>'пр.5 вед.стр.'!A638</f>
        <v>Обработка сгораемых конструкций огнезащитными составами</v>
      </c>
      <c r="B513" s="20" t="s">
        <v>66</v>
      </c>
      <c r="C513" s="20" t="s">
        <v>67</v>
      </c>
      <c r="D513" s="115" t="str">
        <f>'пр.5 вед.стр.'!E638</f>
        <v xml:space="preserve">7П 0 01 94200 </v>
      </c>
      <c r="E513" s="110"/>
      <c r="F513" s="61">
        <f>F514</f>
        <v>70</v>
      </c>
    </row>
    <row r="514" spans="1:6" ht="25.5">
      <c r="A514" s="29" t="str">
        <f>'пр.5 вед.стр.'!A639</f>
        <v>Предоставление субсидий бюджетным, автономным учреждениям и иным некоммерческим организациям</v>
      </c>
      <c r="B514" s="20" t="s">
        <v>66</v>
      </c>
      <c r="C514" s="20" t="s">
        <v>67</v>
      </c>
      <c r="D514" s="115" t="str">
        <f>'пр.5 вед.стр.'!E639</f>
        <v xml:space="preserve">7П 0 01 94200 </v>
      </c>
      <c r="E514" s="110" t="str">
        <f>'пр.5 вед.стр.'!F639</f>
        <v>600</v>
      </c>
      <c r="F514" s="61">
        <f>F515</f>
        <v>70</v>
      </c>
    </row>
    <row r="515" spans="1:6" ht="12.75">
      <c r="A515" s="29" t="str">
        <f>'пр.5 вед.стр.'!A640</f>
        <v>Субсидии бюджетным учреждениям</v>
      </c>
      <c r="B515" s="20" t="s">
        <v>66</v>
      </c>
      <c r="C515" s="20" t="s">
        <v>67</v>
      </c>
      <c r="D515" s="115" t="str">
        <f>'пр.5 вед.стр.'!E640</f>
        <v xml:space="preserve">7П 0 01 94200 </v>
      </c>
      <c r="E515" s="110" t="str">
        <f>'пр.5 вед.стр.'!F640</f>
        <v>610</v>
      </c>
      <c r="F515" s="61">
        <f>'пр.5 вед.стр.'!G639</f>
        <v>70</v>
      </c>
    </row>
    <row r="516" spans="1:6" ht="12.75">
      <c r="A516" s="29" t="str">
        <f>'пр.5 вед.стр.'!A641</f>
        <v>Приобретение и заправка огнетушителей, средств индивидуальной защиты</v>
      </c>
      <c r="B516" s="20" t="s">
        <v>66</v>
      </c>
      <c r="C516" s="20" t="s">
        <v>67</v>
      </c>
      <c r="D516" s="115" t="str">
        <f>'пр.5 вед.стр.'!E641</f>
        <v xml:space="preserve">7П 0 01 94300 </v>
      </c>
      <c r="E516" s="110"/>
      <c r="F516" s="61">
        <f>F517</f>
        <v>40</v>
      </c>
    </row>
    <row r="517" spans="1:6" ht="25.5">
      <c r="A517" s="29" t="str">
        <f>'пр.5 вед.стр.'!A642</f>
        <v>Предоставление субсидий бюджетным, автономным учреждениям и иным некоммерческим организациям</v>
      </c>
      <c r="B517" s="20" t="s">
        <v>66</v>
      </c>
      <c r="C517" s="20" t="s">
        <v>67</v>
      </c>
      <c r="D517" s="115" t="str">
        <f>'пр.5 вед.стр.'!E642</f>
        <v xml:space="preserve">7П 0 01 94300 </v>
      </c>
      <c r="E517" s="110" t="str">
        <f>'пр.5 вед.стр.'!F642</f>
        <v>600</v>
      </c>
      <c r="F517" s="61">
        <f>F518</f>
        <v>40</v>
      </c>
    </row>
    <row r="518" spans="1:6" ht="12.75">
      <c r="A518" s="29" t="str">
        <f>'пр.5 вед.стр.'!A643</f>
        <v>Субсидии бюджетным учреждениям</v>
      </c>
      <c r="B518" s="20" t="s">
        <v>66</v>
      </c>
      <c r="C518" s="20" t="s">
        <v>67</v>
      </c>
      <c r="D518" s="115" t="str">
        <f>'пр.5 вед.стр.'!E643</f>
        <v xml:space="preserve">7П 0 01 94300 </v>
      </c>
      <c r="E518" s="110" t="str">
        <f>'пр.5 вед.стр.'!F643</f>
        <v>610</v>
      </c>
      <c r="F518" s="61">
        <f>'пр.5 вед.стр.'!G643</f>
        <v>40</v>
      </c>
    </row>
    <row r="519" spans="1:6" ht="12.75">
      <c r="A519" s="29" t="str">
        <f>'пр.5 вед.стр.'!A513</f>
        <v>Проведение замеров сопротивления изоляции электросетей и электрооборудования</v>
      </c>
      <c r="B519" s="20" t="s">
        <v>66</v>
      </c>
      <c r="C519" s="20" t="s">
        <v>67</v>
      </c>
      <c r="D519" s="115" t="str">
        <f>'пр.5 вед.стр.'!E513</f>
        <v xml:space="preserve">7П 0 01 94400 </v>
      </c>
      <c r="E519" s="110"/>
      <c r="F519" s="61">
        <f>F520</f>
        <v>38.4</v>
      </c>
    </row>
    <row r="520" spans="1:6" ht="25.5">
      <c r="A520" s="29" t="str">
        <f>'пр.5 вед.стр.'!A514</f>
        <v>Предоставление субсидий бюджетным, автономным учреждениям и иным некоммерческим организациям</v>
      </c>
      <c r="B520" s="20" t="s">
        <v>66</v>
      </c>
      <c r="C520" s="20" t="s">
        <v>67</v>
      </c>
      <c r="D520" s="115" t="str">
        <f>'пр.5 вед.стр.'!E514</f>
        <v xml:space="preserve">7П 0 01 94400 </v>
      </c>
      <c r="E520" s="110" t="str">
        <f>'пр.5 вед.стр.'!F514</f>
        <v>600</v>
      </c>
      <c r="F520" s="61">
        <f>F521</f>
        <v>38.4</v>
      </c>
    </row>
    <row r="521" spans="1:6" ht="12.75">
      <c r="A521" s="29" t="str">
        <f>'пр.5 вед.стр.'!A515</f>
        <v>Субсидии бюджетным учреждениям</v>
      </c>
      <c r="B521" s="20" t="s">
        <v>66</v>
      </c>
      <c r="C521" s="20" t="s">
        <v>67</v>
      </c>
      <c r="D521" s="115" t="str">
        <f>'пр.5 вед.стр.'!E515</f>
        <v xml:space="preserve">7П 0 01 94400 </v>
      </c>
      <c r="E521" s="110" t="str">
        <f>'пр.5 вед.стр.'!F515</f>
        <v>610</v>
      </c>
      <c r="F521" s="61">
        <f>'пр.5 вед.стр.'!G515</f>
        <v>38.4</v>
      </c>
    </row>
    <row r="522" spans="1:6" ht="25.5">
      <c r="A522" s="29" t="str">
        <f>'пр.5 вед.стр.'!A516</f>
        <v>Проведение проверок исправности и ремонт систем противопожарного водоснабжения, приобретение и обслуживание гидрантов</v>
      </c>
      <c r="B522" s="20" t="s">
        <v>66</v>
      </c>
      <c r="C522" s="20" t="s">
        <v>67</v>
      </c>
      <c r="D522" s="115" t="str">
        <f>'пр.5 вед.стр.'!E516</f>
        <v xml:space="preserve">7П 0 01 94500 </v>
      </c>
      <c r="E522" s="110"/>
      <c r="F522" s="61">
        <f>F523</f>
        <v>15.8</v>
      </c>
    </row>
    <row r="523" spans="1:6" ht="25.5">
      <c r="A523" s="29" t="str">
        <f>'пр.5 вед.стр.'!A517</f>
        <v>Предоставление субсидий бюджетным, автономным учреждениям и иным некоммерческим организациям</v>
      </c>
      <c r="B523" s="20" t="s">
        <v>66</v>
      </c>
      <c r="C523" s="20" t="s">
        <v>67</v>
      </c>
      <c r="D523" s="115" t="str">
        <f>'пр.5 вед.стр.'!E517</f>
        <v xml:space="preserve">7П 0 01 94500 </v>
      </c>
      <c r="E523" s="110" t="str">
        <f>'пр.5 вед.стр.'!F517</f>
        <v>600</v>
      </c>
      <c r="F523" s="61">
        <f>F524</f>
        <v>15.8</v>
      </c>
    </row>
    <row r="524" spans="1:6" ht="12.75">
      <c r="A524" s="29" t="str">
        <f>'пр.5 вед.стр.'!A518</f>
        <v>Субсидии бюджетным учреждениям</v>
      </c>
      <c r="B524" s="20" t="s">
        <v>66</v>
      </c>
      <c r="C524" s="20" t="s">
        <v>67</v>
      </c>
      <c r="D524" s="115" t="str">
        <f>'пр.5 вед.стр.'!E518</f>
        <v xml:space="preserve">7П 0 01 94500 </v>
      </c>
      <c r="E524" s="110" t="str">
        <f>'пр.5 вед.стр.'!F518</f>
        <v>610</v>
      </c>
      <c r="F524" s="61">
        <f>'пр.5 вед.стр.'!G518</f>
        <v>15.8</v>
      </c>
    </row>
    <row r="525" spans="1:6" ht="25.5">
      <c r="A525" s="29" t="str">
        <f>'пр.5 вед.стр.'!A519</f>
        <v>Муниципальная  программа  "Развитие образования в Сусуманском городском округе  на 2018- 2022 годы"</v>
      </c>
      <c r="B525" s="20" t="s">
        <v>66</v>
      </c>
      <c r="C525" s="20" t="s">
        <v>67</v>
      </c>
      <c r="D525" s="110" t="str">
        <f>'пр.5 вед.стр.'!E519</f>
        <v xml:space="preserve">7Р 0 00 00000 </v>
      </c>
      <c r="E525" s="113"/>
      <c r="F525" s="61">
        <f>F526</f>
        <v>3651.7</v>
      </c>
    </row>
    <row r="526" spans="1:6" ht="12.75">
      <c r="A526" s="16" t="str">
        <f>'пр.5 вед.стр.'!A520</f>
        <v>Основное мероприятие "Управление развитием отрасли образования"</v>
      </c>
      <c r="B526" s="20" t="s">
        <v>66</v>
      </c>
      <c r="C526" s="20" t="s">
        <v>67</v>
      </c>
      <c r="D526" s="110" t="str">
        <f>'пр.5 вед.стр.'!E520</f>
        <v>7Р 0 02 00000</v>
      </c>
      <c r="E526" s="113"/>
      <c r="F526" s="61">
        <f>F527+F530+F533</f>
        <v>3651.7</v>
      </c>
    </row>
    <row r="527" spans="1:6" ht="25.5">
      <c r="A527" s="16" t="str">
        <f>'пр.5 вед.стр.'!A521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27" s="20" t="s">
        <v>66</v>
      </c>
      <c r="C527" s="20" t="s">
        <v>67</v>
      </c>
      <c r="D527" s="110" t="str">
        <f>'пр.5 вед.стр.'!E521</f>
        <v>7Р 0 02 74060</v>
      </c>
      <c r="E527" s="110"/>
      <c r="F527" s="61">
        <f>F528</f>
        <v>310.29999999999995</v>
      </c>
    </row>
    <row r="528" spans="1:6" ht="25.5">
      <c r="A528" s="16" t="str">
        <f>'пр.5 вед.стр.'!A522</f>
        <v>Предоставление субсидий бюджетным, автономным учреждениям и иным некоммерческим организациям</v>
      </c>
      <c r="B528" s="20" t="s">
        <v>66</v>
      </c>
      <c r="C528" s="20" t="s">
        <v>67</v>
      </c>
      <c r="D528" s="110" t="str">
        <f>'пр.5 вед.стр.'!E522</f>
        <v>7Р 0 02 74060</v>
      </c>
      <c r="E528" s="110" t="str">
        <f>'пр.5 вед.стр.'!F522</f>
        <v>600</v>
      </c>
      <c r="F528" s="61">
        <f>F529</f>
        <v>310.29999999999995</v>
      </c>
    </row>
    <row r="529" spans="1:6" ht="12.75">
      <c r="A529" s="16" t="str">
        <f>'пр.5 вед.стр.'!A523</f>
        <v>Субсидии бюджетным учреждениям</v>
      </c>
      <c r="B529" s="20" t="s">
        <v>66</v>
      </c>
      <c r="C529" s="20" t="s">
        <v>67</v>
      </c>
      <c r="D529" s="110" t="str">
        <f>'пр.5 вед.стр.'!E523</f>
        <v>7Р 0 02 74060</v>
      </c>
      <c r="E529" s="110" t="str">
        <f>'пр.5 вед.стр.'!F523</f>
        <v>610</v>
      </c>
      <c r="F529" s="61">
        <f>'пр.5 вед.стр.'!G523+'пр.5 вед.стр.'!G648</f>
        <v>310.29999999999995</v>
      </c>
    </row>
    <row r="530" spans="1:6" ht="38.25">
      <c r="A530" s="16" t="str">
        <f>'пр.5 вед.стр.'!A524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30" s="20" t="s">
        <v>66</v>
      </c>
      <c r="C530" s="20" t="s">
        <v>67</v>
      </c>
      <c r="D530" s="110" t="str">
        <f>'пр.5 вед.стр.'!E524</f>
        <v>7Р 0 02 74070</v>
      </c>
      <c r="E530" s="110"/>
      <c r="F530" s="61">
        <f>F531</f>
        <v>1130.1999999999998</v>
      </c>
    </row>
    <row r="531" spans="1:6" ht="25.5">
      <c r="A531" s="16" t="str">
        <f>'пр.5 вед.стр.'!A525</f>
        <v>Предоставление субсидий бюджетным, автономным учреждениям и иным некоммерческим организациям</v>
      </c>
      <c r="B531" s="20" t="s">
        <v>66</v>
      </c>
      <c r="C531" s="20" t="s">
        <v>67</v>
      </c>
      <c r="D531" s="110" t="str">
        <f>'пр.5 вед.стр.'!E525</f>
        <v>7Р 0 02 74070</v>
      </c>
      <c r="E531" s="110" t="str">
        <f>'пр.5 вед.стр.'!F525</f>
        <v>600</v>
      </c>
      <c r="F531" s="61">
        <f>F532</f>
        <v>1130.1999999999998</v>
      </c>
    </row>
    <row r="532" spans="1:6" ht="12.75">
      <c r="A532" s="16" t="str">
        <f>'пр.5 вед.стр.'!A526</f>
        <v>Субсидии бюджетным учреждениям</v>
      </c>
      <c r="B532" s="20" t="s">
        <v>66</v>
      </c>
      <c r="C532" s="20" t="s">
        <v>67</v>
      </c>
      <c r="D532" s="110" t="str">
        <f>'пр.5 вед.стр.'!E526</f>
        <v>7Р 0 02 74070</v>
      </c>
      <c r="E532" s="110" t="str">
        <f>'пр.5 вед.стр.'!F526</f>
        <v>610</v>
      </c>
      <c r="F532" s="61">
        <f>'пр.5 вед.стр.'!G651+'пр.5 вед.стр.'!G526</f>
        <v>1130.1999999999998</v>
      </c>
    </row>
    <row r="533" spans="1:6" ht="25.5">
      <c r="A533" s="16" t="str">
        <f>'пр.5 вед.стр.'!A527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33" s="20" t="s">
        <v>66</v>
      </c>
      <c r="C533" s="20" t="s">
        <v>67</v>
      </c>
      <c r="D533" s="110" t="str">
        <f>'пр.5 вед.стр.'!E527</f>
        <v>7Р 0 02 75010</v>
      </c>
      <c r="E533" s="110"/>
      <c r="F533" s="61">
        <f>F534</f>
        <v>2211.2</v>
      </c>
    </row>
    <row r="534" spans="1:6" ht="25.5">
      <c r="A534" s="16" t="str">
        <f>'пр.5 вед.стр.'!A528</f>
        <v>Предоставление субсидий бюджетным, автономным учреждениям и иным некоммерческим организациям</v>
      </c>
      <c r="B534" s="20" t="s">
        <v>66</v>
      </c>
      <c r="C534" s="20" t="s">
        <v>67</v>
      </c>
      <c r="D534" s="110" t="str">
        <f>'пр.5 вед.стр.'!E528</f>
        <v>7Р 0 02 75010</v>
      </c>
      <c r="E534" s="110" t="str">
        <f>'пр.5 вед.стр.'!F528</f>
        <v>600</v>
      </c>
      <c r="F534" s="61">
        <f>F535</f>
        <v>2211.2</v>
      </c>
    </row>
    <row r="535" spans="1:6" ht="12.75">
      <c r="A535" s="16" t="str">
        <f>'пр.5 вед.стр.'!A529</f>
        <v>Субсидии бюджетным учреждениям</v>
      </c>
      <c r="B535" s="20" t="s">
        <v>66</v>
      </c>
      <c r="C535" s="20" t="s">
        <v>67</v>
      </c>
      <c r="D535" s="110" t="str">
        <f>'пр.5 вед.стр.'!E529</f>
        <v>7Р 0 02 75010</v>
      </c>
      <c r="E535" s="110" t="str">
        <f>'пр.5 вед.стр.'!F529</f>
        <v>610</v>
      </c>
      <c r="F535" s="61">
        <f>'пр.5 вед.стр.'!G529+'пр.5 вед.стр.'!G654</f>
        <v>2211.2</v>
      </c>
    </row>
    <row r="536" spans="1:6" ht="12.75">
      <c r="A536" s="16" t="s">
        <v>228</v>
      </c>
      <c r="B536" s="20" t="s">
        <v>66</v>
      </c>
      <c r="C536" s="20" t="s">
        <v>67</v>
      </c>
      <c r="D536" s="110" t="s">
        <v>511</v>
      </c>
      <c r="E536" s="110"/>
      <c r="F536" s="61">
        <f>F537+F540+F543</f>
        <v>63343.600000000006</v>
      </c>
    </row>
    <row r="537" spans="1:6" ht="12.75">
      <c r="A537" s="16" t="s">
        <v>185</v>
      </c>
      <c r="B537" s="20" t="s">
        <v>66</v>
      </c>
      <c r="C537" s="20" t="s">
        <v>67</v>
      </c>
      <c r="D537" s="110" t="s">
        <v>512</v>
      </c>
      <c r="E537" s="110"/>
      <c r="F537" s="61">
        <f>F538</f>
        <v>62273.100000000006</v>
      </c>
    </row>
    <row r="538" spans="1:6" ht="25.5">
      <c r="A538" s="16" t="s">
        <v>95</v>
      </c>
      <c r="B538" s="20" t="s">
        <v>66</v>
      </c>
      <c r="C538" s="20" t="s">
        <v>67</v>
      </c>
      <c r="D538" s="110" t="s">
        <v>512</v>
      </c>
      <c r="E538" s="110" t="s">
        <v>96</v>
      </c>
      <c r="F538" s="61">
        <f>F539</f>
        <v>62273.100000000006</v>
      </c>
    </row>
    <row r="539" spans="1:6" ht="12.75">
      <c r="A539" s="16" t="s">
        <v>99</v>
      </c>
      <c r="B539" s="20" t="s">
        <v>66</v>
      </c>
      <c r="C539" s="20" t="s">
        <v>67</v>
      </c>
      <c r="D539" s="110" t="s">
        <v>512</v>
      </c>
      <c r="E539" s="110" t="s">
        <v>100</v>
      </c>
      <c r="F539" s="61">
        <f>'пр.5 вед.стр.'!G658+'пр.5 вед.стр.'!G533</f>
        <v>62273.100000000006</v>
      </c>
    </row>
    <row r="540" spans="1:6" ht="38.25">
      <c r="A540" s="16" t="s">
        <v>204</v>
      </c>
      <c r="B540" s="20" t="s">
        <v>66</v>
      </c>
      <c r="C540" s="20" t="s">
        <v>67</v>
      </c>
      <c r="D540" s="110" t="s">
        <v>513</v>
      </c>
      <c r="E540" s="110"/>
      <c r="F540" s="61">
        <f>F541</f>
        <v>954.5</v>
      </c>
    </row>
    <row r="541" spans="1:6" ht="25.5">
      <c r="A541" s="16" t="s">
        <v>95</v>
      </c>
      <c r="B541" s="20" t="s">
        <v>66</v>
      </c>
      <c r="C541" s="20" t="s">
        <v>67</v>
      </c>
      <c r="D541" s="110" t="s">
        <v>513</v>
      </c>
      <c r="E541" s="110" t="s">
        <v>96</v>
      </c>
      <c r="F541" s="61">
        <f>F542</f>
        <v>954.5</v>
      </c>
    </row>
    <row r="542" spans="1:6" ht="12.75">
      <c r="A542" s="16" t="s">
        <v>99</v>
      </c>
      <c r="B542" s="20" t="s">
        <v>66</v>
      </c>
      <c r="C542" s="20" t="s">
        <v>67</v>
      </c>
      <c r="D542" s="110" t="s">
        <v>513</v>
      </c>
      <c r="E542" s="110" t="s">
        <v>100</v>
      </c>
      <c r="F542" s="61">
        <f>'пр.5 вед.стр.'!G534+'пр.5 вед.стр.'!G661</f>
        <v>954.5</v>
      </c>
    </row>
    <row r="543" spans="1:6" ht="12.75">
      <c r="A543" s="16" t="s">
        <v>176</v>
      </c>
      <c r="B543" s="20" t="s">
        <v>66</v>
      </c>
      <c r="C543" s="20" t="s">
        <v>67</v>
      </c>
      <c r="D543" s="110" t="s">
        <v>514</v>
      </c>
      <c r="E543" s="110"/>
      <c r="F543" s="61">
        <f>F544</f>
        <v>116</v>
      </c>
    </row>
    <row r="544" spans="1:6" ht="25.5">
      <c r="A544" s="16" t="s">
        <v>95</v>
      </c>
      <c r="B544" s="20" t="s">
        <v>66</v>
      </c>
      <c r="C544" s="20" t="s">
        <v>67</v>
      </c>
      <c r="D544" s="110" t="s">
        <v>514</v>
      </c>
      <c r="E544" s="110" t="s">
        <v>96</v>
      </c>
      <c r="F544" s="61">
        <f>F545</f>
        <v>116</v>
      </c>
    </row>
    <row r="545" spans="1:6" ht="12.75">
      <c r="A545" s="16" t="s">
        <v>99</v>
      </c>
      <c r="B545" s="20" t="s">
        <v>66</v>
      </c>
      <c r="C545" s="20" t="s">
        <v>67</v>
      </c>
      <c r="D545" s="110" t="s">
        <v>514</v>
      </c>
      <c r="E545" s="110" t="s">
        <v>100</v>
      </c>
      <c r="F545" s="61">
        <f>'пр.5 вед.стр.'!G537+'пр.5 вед.стр.'!G664</f>
        <v>116</v>
      </c>
    </row>
    <row r="546" spans="1:6" ht="12.75">
      <c r="A546" s="14" t="s">
        <v>335</v>
      </c>
      <c r="B546" s="32" t="s">
        <v>66</v>
      </c>
      <c r="C546" s="32" t="s">
        <v>66</v>
      </c>
      <c r="D546" s="113"/>
      <c r="E546" s="113"/>
      <c r="F546" s="174">
        <f>F547+F600</f>
        <v>11437.5</v>
      </c>
    </row>
    <row r="547" spans="1:6" ht="12.75">
      <c r="A547" s="30" t="s">
        <v>478</v>
      </c>
      <c r="B547" s="20" t="s">
        <v>66</v>
      </c>
      <c r="C547" s="20" t="s">
        <v>66</v>
      </c>
      <c r="D547" s="115" t="s">
        <v>479</v>
      </c>
      <c r="E547" s="110"/>
      <c r="F547" s="61">
        <f>F548+F555+F565+F577+F595</f>
        <v>11402.5</v>
      </c>
    </row>
    <row r="548" spans="1:6" ht="25.5">
      <c r="A548" s="29" t="str">
        <f>'пр.5 вед.стр.'!A542</f>
        <v>Муниципальная программа "Патриотическое воспитание  жителей Сусуманского городского округа  на 2018- 2022 годы"</v>
      </c>
      <c r="B548" s="20" t="s">
        <v>66</v>
      </c>
      <c r="C548" s="20" t="s">
        <v>66</v>
      </c>
      <c r="D548" s="115" t="str">
        <f>'пр.5 вед.стр.'!E542</f>
        <v xml:space="preserve">7В 0 00 00000 </v>
      </c>
      <c r="E548" s="110"/>
      <c r="F548" s="61">
        <f aca="true" t="shared" si="0" ref="F548:F553">F549</f>
        <v>1633.3</v>
      </c>
    </row>
    <row r="549" spans="1:6" ht="25.5">
      <c r="A549" s="29" t="str">
        <f>'пр.5 вед.стр.'!A543</f>
        <v>Основное мероприятие "Организация работы по совершенствованию системы патриотического воспитания жителей"</v>
      </c>
      <c r="B549" s="20" t="s">
        <v>66</v>
      </c>
      <c r="C549" s="20" t="s">
        <v>66</v>
      </c>
      <c r="D549" s="115" t="str">
        <f>'пр.5 вед.стр.'!E543</f>
        <v xml:space="preserve">7В 0 01 00000 </v>
      </c>
      <c r="E549" s="110"/>
      <c r="F549" s="61">
        <f t="shared" si="0"/>
        <v>1633.3</v>
      </c>
    </row>
    <row r="550" spans="1:6" ht="12.75">
      <c r="A550" s="29" t="str">
        <f>'пр.5 вед.стр.'!A544</f>
        <v>Мероприятия патриотической направленности</v>
      </c>
      <c r="B550" s="20" t="s">
        <v>66</v>
      </c>
      <c r="C550" s="20" t="s">
        <v>66</v>
      </c>
      <c r="D550" s="115" t="str">
        <f>'пр.5 вед.стр.'!E544</f>
        <v xml:space="preserve">7В 0 01 92400 </v>
      </c>
      <c r="E550" s="110"/>
      <c r="F550" s="61">
        <f>F553+F551</f>
        <v>1633.3</v>
      </c>
    </row>
    <row r="551" spans="1:6" ht="12.75">
      <c r="A551" s="29" t="str">
        <f>'пр.5 вед.стр.'!A670</f>
        <v>Закупка товаров, работ и услуг для обеспечения государственных (муниципальных) нужд</v>
      </c>
      <c r="B551" s="20" t="s">
        <v>66</v>
      </c>
      <c r="C551" s="20" t="s">
        <v>66</v>
      </c>
      <c r="D551" s="115" t="str">
        <f>'пр.5 вед.стр.'!E545</f>
        <v xml:space="preserve">7В 0 01 92400 </v>
      </c>
      <c r="E551" s="110" t="str">
        <f>'пр.5 вед.стр.'!F670</f>
        <v>200</v>
      </c>
      <c r="F551" s="61">
        <f>F552</f>
        <v>1524.8</v>
      </c>
    </row>
    <row r="552" spans="1:6" ht="12.75">
      <c r="A552" s="16" t="s">
        <v>608</v>
      </c>
      <c r="B552" s="20" t="s">
        <v>66</v>
      </c>
      <c r="C552" s="20" t="s">
        <v>66</v>
      </c>
      <c r="D552" s="115" t="str">
        <f>'пр.5 вед.стр.'!E546</f>
        <v xml:space="preserve">7В 0 01 92400 </v>
      </c>
      <c r="E552" s="110" t="str">
        <f>'пр.5 вед.стр.'!F671</f>
        <v>240</v>
      </c>
      <c r="F552" s="61">
        <f>'пр.5 вед.стр.'!G671</f>
        <v>1524.8</v>
      </c>
    </row>
    <row r="553" spans="1:6" ht="25.5">
      <c r="A553" s="29" t="str">
        <f>'пр.5 вед.стр.'!A545</f>
        <v>Предоставление субсидий бюджетным, автономным учреждениям и иным некоммерческим организациям</v>
      </c>
      <c r="B553" s="20" t="s">
        <v>66</v>
      </c>
      <c r="C553" s="20" t="s">
        <v>66</v>
      </c>
      <c r="D553" s="115" t="str">
        <f>'пр.5 вед.стр.'!E545</f>
        <v xml:space="preserve">7В 0 01 92400 </v>
      </c>
      <c r="E553" s="110" t="str">
        <f>'пр.5 вед.стр.'!F545</f>
        <v>600</v>
      </c>
      <c r="F553" s="61">
        <f t="shared" si="0"/>
        <v>108.5</v>
      </c>
    </row>
    <row r="554" spans="1:6" ht="12.75">
      <c r="A554" s="29" t="str">
        <f>'пр.5 вед.стр.'!A546</f>
        <v>Субсидии бюджетным учреждениям</v>
      </c>
      <c r="B554" s="20" t="s">
        <v>66</v>
      </c>
      <c r="C554" s="20" t="s">
        <v>66</v>
      </c>
      <c r="D554" s="115" t="str">
        <f>'пр.5 вед.стр.'!E546</f>
        <v xml:space="preserve">7В 0 01 92400 </v>
      </c>
      <c r="E554" s="110" t="str">
        <f>'пр.5 вед.стр.'!F546</f>
        <v>610</v>
      </c>
      <c r="F554" s="61">
        <f>'пр.5 вед.стр.'!G546</f>
        <v>108.5</v>
      </c>
    </row>
    <row r="555" spans="1:6" ht="12.75">
      <c r="A555" s="29" t="str">
        <f>'пр.5 вед.стр.'!A547</f>
        <v>Муниципальная  программа "Одарённые дети  на 2018- 2022 годы"</v>
      </c>
      <c r="B555" s="20" t="s">
        <v>66</v>
      </c>
      <c r="C555" s="20" t="s">
        <v>66</v>
      </c>
      <c r="D555" s="115" t="str">
        <f>'пр.5 вед.стр.'!E547</f>
        <v xml:space="preserve">7Д 0 00 00000 </v>
      </c>
      <c r="E555" s="110"/>
      <c r="F555" s="61">
        <f>F556</f>
        <v>423.8</v>
      </c>
    </row>
    <row r="556" spans="1:6" ht="12.75">
      <c r="A556" s="29" t="str">
        <f>'пр.5 вед.стр.'!A548</f>
        <v>Основное мероприятие "Создание условий для выявления, поддержки и развития одаренных детей"</v>
      </c>
      <c r="B556" s="20" t="s">
        <v>66</v>
      </c>
      <c r="C556" s="20" t="s">
        <v>66</v>
      </c>
      <c r="D556" s="115" t="str">
        <f>'пр.5 вед.стр.'!E548</f>
        <v xml:space="preserve">7Д 0 01 00000 </v>
      </c>
      <c r="E556" s="110"/>
      <c r="F556" s="61">
        <f>F557+F562</f>
        <v>423.8</v>
      </c>
    </row>
    <row r="557" spans="1:6" ht="12.75">
      <c r="A557" s="29" t="str">
        <f>'пр.5 вед.стр.'!A549</f>
        <v xml:space="preserve">Осуществление поддержки одаренных детей </v>
      </c>
      <c r="B557" s="20" t="s">
        <v>66</v>
      </c>
      <c r="C557" s="20" t="s">
        <v>66</v>
      </c>
      <c r="D557" s="115" t="str">
        <f>'пр.5 вед.стр.'!E549</f>
        <v xml:space="preserve">7Д 0 01 92200 </v>
      </c>
      <c r="E557" s="110"/>
      <c r="F557" s="61">
        <f>F558+F560</f>
        <v>341.8</v>
      </c>
    </row>
    <row r="558" spans="1:6" ht="12.75">
      <c r="A558" s="29" t="str">
        <f>'пр.5 вед.стр.'!A550</f>
        <v>Закупка товаров, работ и услуг для обеспечения государственных (муниципальных) нужд</v>
      </c>
      <c r="B558" s="20" t="s">
        <v>66</v>
      </c>
      <c r="C558" s="20" t="s">
        <v>66</v>
      </c>
      <c r="D558" s="115" t="str">
        <f>'пр.5 вед.стр.'!E550</f>
        <v xml:space="preserve">7Д 0 01 92200 </v>
      </c>
      <c r="E558" s="110" t="str">
        <f>'пр.5 вед.стр.'!F550</f>
        <v>200</v>
      </c>
      <c r="F558" s="61">
        <f>F559</f>
        <v>26.3</v>
      </c>
    </row>
    <row r="559" spans="1:6" ht="12.75">
      <c r="A559" s="16" t="s">
        <v>608</v>
      </c>
      <c r="B559" s="20" t="s">
        <v>66</v>
      </c>
      <c r="C559" s="20" t="s">
        <v>66</v>
      </c>
      <c r="D559" s="115" t="str">
        <f>'пр.5 вед.стр.'!E551</f>
        <v xml:space="preserve">7Д 0 01 92200 </v>
      </c>
      <c r="E559" s="110" t="str">
        <f>'пр.5 вед.стр.'!F551</f>
        <v>240</v>
      </c>
      <c r="F559" s="61">
        <f>'пр.5 вед.стр.'!G551</f>
        <v>26.3</v>
      </c>
    </row>
    <row r="560" spans="1:6" ht="12.75">
      <c r="A560" s="29" t="str">
        <f>'пр.5 вед.стр.'!A552</f>
        <v>Социальное обеспечение и иные выплаты населению</v>
      </c>
      <c r="B560" s="20" t="s">
        <v>66</v>
      </c>
      <c r="C560" s="20" t="s">
        <v>66</v>
      </c>
      <c r="D560" s="115" t="str">
        <f>'пр.5 вед.стр.'!E552</f>
        <v xml:space="preserve">7Д 0 01 92200 </v>
      </c>
      <c r="E560" s="110" t="str">
        <f>'пр.5 вед.стр.'!F552</f>
        <v>300</v>
      </c>
      <c r="F560" s="61">
        <f>F561</f>
        <v>315.5</v>
      </c>
    </row>
    <row r="561" spans="1:6" ht="12.75">
      <c r="A561" s="29" t="str">
        <f>'пр.5 вед.стр.'!A553</f>
        <v>Стипендии</v>
      </c>
      <c r="B561" s="20" t="s">
        <v>66</v>
      </c>
      <c r="C561" s="20" t="s">
        <v>66</v>
      </c>
      <c r="D561" s="115" t="str">
        <f>'пр.5 вед.стр.'!E553</f>
        <v xml:space="preserve">7Д 0 01 92200 </v>
      </c>
      <c r="E561" s="110" t="str">
        <f>'пр.5 вед.стр.'!F553</f>
        <v>340</v>
      </c>
      <c r="F561" s="61">
        <f>'пр.5 вед.стр.'!G553</f>
        <v>315.5</v>
      </c>
    </row>
    <row r="562" spans="1:6" ht="12.75">
      <c r="A562" s="16" t="s">
        <v>305</v>
      </c>
      <c r="B562" s="20" t="s">
        <v>66</v>
      </c>
      <c r="C562" s="20" t="s">
        <v>66</v>
      </c>
      <c r="D562" s="115" t="s">
        <v>306</v>
      </c>
      <c r="E562" s="110"/>
      <c r="F562" s="61">
        <f>F563</f>
        <v>82</v>
      </c>
    </row>
    <row r="563" spans="1:6" ht="12.75">
      <c r="A563" s="16" t="s">
        <v>333</v>
      </c>
      <c r="B563" s="20" t="s">
        <v>66</v>
      </c>
      <c r="C563" s="20" t="s">
        <v>66</v>
      </c>
      <c r="D563" s="115" t="s">
        <v>306</v>
      </c>
      <c r="E563" s="110" t="str">
        <f>'пр.5 вед.стр.'!F555</f>
        <v>200</v>
      </c>
      <c r="F563" s="61">
        <f>F564</f>
        <v>82</v>
      </c>
    </row>
    <row r="564" spans="1:6" ht="12.75">
      <c r="A564" s="16" t="s">
        <v>608</v>
      </c>
      <c r="B564" s="20" t="s">
        <v>66</v>
      </c>
      <c r="C564" s="20" t="s">
        <v>66</v>
      </c>
      <c r="D564" s="115" t="s">
        <v>306</v>
      </c>
      <c r="E564" s="110" t="str">
        <f>'пр.5 вед.стр.'!F556</f>
        <v>240</v>
      </c>
      <c r="F564" s="61">
        <f>'пр.5 вед.стр.'!G556</f>
        <v>82</v>
      </c>
    </row>
    <row r="565" spans="1:6" ht="12.75">
      <c r="A565" s="29" t="str">
        <f>'пр.5 вед.стр.'!A557</f>
        <v>Муниципальная программа "Лето-детям  на 2018- 2022 годы"</v>
      </c>
      <c r="B565" s="20" t="s">
        <v>66</v>
      </c>
      <c r="C565" s="20" t="s">
        <v>66</v>
      </c>
      <c r="D565" s="115" t="str">
        <f>'пр.5 вед.стр.'!E557</f>
        <v xml:space="preserve">7Л 0 00 00000 </v>
      </c>
      <c r="E565" s="110"/>
      <c r="F565" s="61">
        <f>F566+F573</f>
        <v>8875.1</v>
      </c>
    </row>
    <row r="566" spans="1:6" ht="12.75">
      <c r="A566" s="29" t="str">
        <f>'пр.5 вед.стр.'!A558</f>
        <v>Основное мероприятие "Организация и обеспечение отдыха и оздоровления детей и подростков"</v>
      </c>
      <c r="B566" s="20" t="s">
        <v>66</v>
      </c>
      <c r="C566" s="20" t="s">
        <v>66</v>
      </c>
      <c r="D566" s="115" t="str">
        <f>'пр.5 вед.стр.'!E558</f>
        <v xml:space="preserve">7Л 0 01 00000 </v>
      </c>
      <c r="E566" s="110"/>
      <c r="F566" s="61">
        <f>F567+F570</f>
        <v>7800.900000000001</v>
      </c>
    </row>
    <row r="567" spans="1:6" ht="12.75">
      <c r="A567" s="16" t="str">
        <f>'пр.5 вед.стр.'!A559</f>
        <v xml:space="preserve">Организация отдыха и оздоровления детей в лагерях дневного пребывания </v>
      </c>
      <c r="B567" s="20" t="s">
        <v>66</v>
      </c>
      <c r="C567" s="20" t="s">
        <v>66</v>
      </c>
      <c r="D567" s="115" t="str">
        <f>'пр.5 вед.стр.'!E559</f>
        <v xml:space="preserve">7Л 0 01 73210 </v>
      </c>
      <c r="E567" s="110"/>
      <c r="F567" s="61">
        <f>F568</f>
        <v>4364.6</v>
      </c>
    </row>
    <row r="568" spans="1:6" ht="25.5">
      <c r="A568" s="16" t="str">
        <f>'пр.5 вед.стр.'!A560</f>
        <v>Предоставление субсидий бюджетным, автономным учреждениям и иным некоммерческим организациям</v>
      </c>
      <c r="B568" s="20" t="s">
        <v>66</v>
      </c>
      <c r="C568" s="20" t="s">
        <v>66</v>
      </c>
      <c r="D568" s="115" t="str">
        <f>'пр.5 вед.стр.'!E560</f>
        <v xml:space="preserve">7Л 0 01 73210 </v>
      </c>
      <c r="E568" s="110" t="str">
        <f>'пр.5 вед.стр.'!F560</f>
        <v>600</v>
      </c>
      <c r="F568" s="61">
        <f>F569</f>
        <v>4364.6</v>
      </c>
    </row>
    <row r="569" spans="1:6" ht="12.75">
      <c r="A569" s="16" t="str">
        <f>'пр.5 вед.стр.'!A561</f>
        <v>Субсидии бюджетным учреждениям</v>
      </c>
      <c r="B569" s="20" t="s">
        <v>66</v>
      </c>
      <c r="C569" s="20" t="s">
        <v>66</v>
      </c>
      <c r="D569" s="115" t="str">
        <f>'пр.5 вед.стр.'!E561</f>
        <v xml:space="preserve">7Л 0 01 73210 </v>
      </c>
      <c r="E569" s="110" t="str">
        <f>'пр.5 вед.стр.'!F561</f>
        <v>610</v>
      </c>
      <c r="F569" s="61">
        <f>'пр.5 вед.стр.'!G561</f>
        <v>4364.6</v>
      </c>
    </row>
    <row r="570" spans="1:6" ht="25.5">
      <c r="A570" s="16" t="str">
        <f>'пр.5 вед.стр.'!A562</f>
        <v>Организация отдыха и оздоровления детей в лагерях дневного пребывания  за счет средств местного бюджета</v>
      </c>
      <c r="B570" s="20" t="s">
        <v>66</v>
      </c>
      <c r="C570" s="20" t="s">
        <v>66</v>
      </c>
      <c r="D570" s="115" t="str">
        <f>'пр.5 вед.стр.'!E562</f>
        <v xml:space="preserve">7Л 0 01 S3210 </v>
      </c>
      <c r="E570" s="110"/>
      <c r="F570" s="61">
        <f>F571</f>
        <v>3436.3</v>
      </c>
    </row>
    <row r="571" spans="1:6" ht="25.5">
      <c r="A571" s="16" t="str">
        <f>'пр.5 вед.стр.'!A563</f>
        <v>Предоставление субсидий бюджетным, автономным учреждениям и иным некоммерческим организациям</v>
      </c>
      <c r="B571" s="20" t="s">
        <v>66</v>
      </c>
      <c r="C571" s="20" t="s">
        <v>66</v>
      </c>
      <c r="D571" s="115" t="str">
        <f>'пр.5 вед.стр.'!E563</f>
        <v xml:space="preserve">7Л 0 01 S3210 </v>
      </c>
      <c r="E571" s="110" t="str">
        <f>'пр.5 вед.стр.'!F563</f>
        <v>600</v>
      </c>
      <c r="F571" s="61">
        <f>F572</f>
        <v>3436.3</v>
      </c>
    </row>
    <row r="572" spans="1:6" ht="12.75">
      <c r="A572" s="16" t="str">
        <f>'пр.5 вед.стр.'!A564</f>
        <v>Субсидии бюджетным учреждениям</v>
      </c>
      <c r="B572" s="20" t="s">
        <v>66</v>
      </c>
      <c r="C572" s="20" t="s">
        <v>66</v>
      </c>
      <c r="D572" s="115" t="str">
        <f>'пр.5 вед.стр.'!E564</f>
        <v xml:space="preserve">7Л 0 01 S3210 </v>
      </c>
      <c r="E572" s="110" t="str">
        <f>'пр.5 вед.стр.'!F564</f>
        <v>610</v>
      </c>
      <c r="F572" s="61">
        <f>'пр.5 вед.стр.'!G564</f>
        <v>3436.3</v>
      </c>
    </row>
    <row r="573" spans="1:6" ht="25.5">
      <c r="A573" s="16" t="str">
        <f>'пр.5 вед.стр.'!A565</f>
        <v>Основное мероприятие "Создание временных дополнительных рабочих мест для трудоустройства несовершеннолетних в летний период"</v>
      </c>
      <c r="B573" s="20" t="s">
        <v>66</v>
      </c>
      <c r="C573" s="20" t="s">
        <v>66</v>
      </c>
      <c r="D573" s="115" t="str">
        <f>'пр.5 вед.стр.'!E565</f>
        <v xml:space="preserve">7Л 0 02 00000 </v>
      </c>
      <c r="E573" s="110"/>
      <c r="F573" s="61">
        <f>F574</f>
        <v>1074.2</v>
      </c>
    </row>
    <row r="574" spans="1:6" ht="12.75">
      <c r="A574" s="16" t="str">
        <f>'пр.5 вед.стр.'!A566</f>
        <v>Расходы на выплаты по оплате труда несовершеннолетних граждан</v>
      </c>
      <c r="B574" s="20" t="s">
        <v>66</v>
      </c>
      <c r="C574" s="20" t="s">
        <v>66</v>
      </c>
      <c r="D574" s="115" t="str">
        <f>'пр.5 вед.стр.'!E566</f>
        <v xml:space="preserve">7Л 0 02 92300 </v>
      </c>
      <c r="E574" s="110"/>
      <c r="F574" s="61">
        <f>F575</f>
        <v>1074.2</v>
      </c>
    </row>
    <row r="575" spans="1:6" ht="25.5">
      <c r="A575" s="16" t="str">
        <f>'пр.5 вед.стр.'!A567</f>
        <v>Предоставление субсидий бюджетным, автономным учреждениям и иным некоммерческим организациям</v>
      </c>
      <c r="B575" s="20" t="s">
        <v>66</v>
      </c>
      <c r="C575" s="20" t="s">
        <v>66</v>
      </c>
      <c r="D575" s="115" t="str">
        <f>'пр.5 вед.стр.'!E567</f>
        <v xml:space="preserve">7Л 0 02 92300 </v>
      </c>
      <c r="E575" s="110" t="str">
        <f>'пр.5 вед.стр.'!F567</f>
        <v>600</v>
      </c>
      <c r="F575" s="61">
        <f>F576</f>
        <v>1074.2</v>
      </c>
    </row>
    <row r="576" spans="1:6" ht="12.75">
      <c r="A576" s="16" t="str">
        <f>'пр.5 вед.стр.'!A568</f>
        <v>Субсидии бюджетным учреждениям</v>
      </c>
      <c r="B576" s="20" t="s">
        <v>66</v>
      </c>
      <c r="C576" s="20" t="s">
        <v>66</v>
      </c>
      <c r="D576" s="115" t="str">
        <f>'пр.5 вед.стр.'!E568</f>
        <v xml:space="preserve">7Л 0 02 92300 </v>
      </c>
      <c r="E576" s="110" t="str">
        <f>'пр.5 вед.стр.'!F568</f>
        <v>610</v>
      </c>
      <c r="F576" s="61">
        <f>'пр.5 вед.стр.'!G568</f>
        <v>1074.2</v>
      </c>
    </row>
    <row r="577" spans="1:6" ht="25.5">
      <c r="A577" s="29" t="str">
        <f>'пр.5 вед.стр.'!A672</f>
        <v>Муниципальная программа  "Развитие молодежной политики в Сусуманском городском округе  на 2018-2022 годы"</v>
      </c>
      <c r="B577" s="20" t="s">
        <v>66</v>
      </c>
      <c r="C577" s="20" t="s">
        <v>66</v>
      </c>
      <c r="D577" s="115" t="str">
        <f>'пр.5 вед.стр.'!E672</f>
        <v xml:space="preserve">7М 0 00 00000 </v>
      </c>
      <c r="E577" s="110"/>
      <c r="F577" s="61">
        <f>F578+F582</f>
        <v>300</v>
      </c>
    </row>
    <row r="578" spans="1:6" ht="12.75">
      <c r="A578" s="29" t="str">
        <f>'пр.5 вед.стр.'!A673</f>
        <v>Основное мероприятие "Организационная работа"</v>
      </c>
      <c r="B578" s="20" t="s">
        <v>66</v>
      </c>
      <c r="C578" s="20" t="s">
        <v>66</v>
      </c>
      <c r="D578" s="115" t="str">
        <f>'пр.5 вед.стр.'!E673</f>
        <v xml:space="preserve">7М 0 01 00000 </v>
      </c>
      <c r="E578" s="110"/>
      <c r="F578" s="61">
        <f>F579</f>
        <v>50</v>
      </c>
    </row>
    <row r="579" spans="1:6" ht="12.75">
      <c r="A579" s="29" t="str">
        <f>'пр.5 вед.стр.'!A674</f>
        <v>Материально- техническое и методологическое обеспечение в сфере молодежной политики</v>
      </c>
      <c r="B579" s="20" t="s">
        <v>66</v>
      </c>
      <c r="C579" s="20" t="s">
        <v>66</v>
      </c>
      <c r="D579" s="115" t="str">
        <f>'пр.5 вед.стр.'!E674</f>
        <v xml:space="preserve">7М 0 01 92530 </v>
      </c>
      <c r="E579" s="110"/>
      <c r="F579" s="61">
        <f>F580</f>
        <v>50</v>
      </c>
    </row>
    <row r="580" spans="1:6" ht="12.75">
      <c r="A580" s="29" t="str">
        <f>'пр.5 вед.стр.'!A675</f>
        <v>Закупка товаров, работ и услуг для обеспечения государственных (муниципальных) нужд</v>
      </c>
      <c r="B580" s="20" t="s">
        <v>66</v>
      </c>
      <c r="C580" s="20" t="s">
        <v>66</v>
      </c>
      <c r="D580" s="115" t="str">
        <f>'пр.5 вед.стр.'!E675</f>
        <v xml:space="preserve">7М 0 01 92530 </v>
      </c>
      <c r="E580" s="110" t="str">
        <f>'пр.5 вед.стр.'!F675</f>
        <v>200</v>
      </c>
      <c r="F580" s="61">
        <f>F581</f>
        <v>50</v>
      </c>
    </row>
    <row r="581" spans="1:6" ht="12.75">
      <c r="A581" s="16" t="s">
        <v>608</v>
      </c>
      <c r="B581" s="20" t="s">
        <v>66</v>
      </c>
      <c r="C581" s="20" t="s">
        <v>66</v>
      </c>
      <c r="D581" s="115" t="str">
        <f>'пр.5 вед.стр.'!E676</f>
        <v xml:space="preserve">7М 0 01 92530 </v>
      </c>
      <c r="E581" s="110" t="str">
        <f>'пр.5 вед.стр.'!F676</f>
        <v>240</v>
      </c>
      <c r="F581" s="61">
        <f>'пр.5 вед.стр.'!G676</f>
        <v>50</v>
      </c>
    </row>
    <row r="582" spans="1:6" ht="12.75">
      <c r="A582" s="29" t="str">
        <f>'пр.5 вед.стр.'!A677</f>
        <v>Основное мероприятие "Культурно- массовая работа"</v>
      </c>
      <c r="B582" s="20" t="s">
        <v>66</v>
      </c>
      <c r="C582" s="20" t="s">
        <v>66</v>
      </c>
      <c r="D582" s="115" t="str">
        <f>'пр.5 вед.стр.'!E677</f>
        <v xml:space="preserve">7М 0 02 00000 </v>
      </c>
      <c r="E582" s="110"/>
      <c r="F582" s="61">
        <f>F583+F586+F589+F592</f>
        <v>250</v>
      </c>
    </row>
    <row r="583" spans="1:6" ht="12.75">
      <c r="A583" s="29" t="str">
        <f>'пр.5 вед.стр.'!A678</f>
        <v>Мероприятия, проводимые с участием молодежи</v>
      </c>
      <c r="B583" s="20" t="s">
        <v>66</v>
      </c>
      <c r="C583" s="20" t="s">
        <v>66</v>
      </c>
      <c r="D583" s="115" t="str">
        <f>'пр.5 вед.стр.'!E678</f>
        <v xml:space="preserve">7М 0 02 92600 </v>
      </c>
      <c r="E583" s="110"/>
      <c r="F583" s="61">
        <f>F584</f>
        <v>95</v>
      </c>
    </row>
    <row r="584" spans="1:6" ht="12.75">
      <c r="A584" s="29" t="str">
        <f>'пр.5 вед.стр.'!A679</f>
        <v>Закупка товаров, работ и услуг для обеспечения государственных (муниципальных) нужд</v>
      </c>
      <c r="B584" s="20" t="s">
        <v>66</v>
      </c>
      <c r="C584" s="20" t="s">
        <v>66</v>
      </c>
      <c r="D584" s="115" t="str">
        <f>'пр.5 вед.стр.'!E679</f>
        <v xml:space="preserve">7М 0 02 92600 </v>
      </c>
      <c r="E584" s="110" t="str">
        <f>'пр.5 вед.стр.'!F679</f>
        <v>200</v>
      </c>
      <c r="F584" s="61">
        <f>F585</f>
        <v>95</v>
      </c>
    </row>
    <row r="585" spans="1:6" ht="12.75">
      <c r="A585" s="16" t="s">
        <v>608</v>
      </c>
      <c r="B585" s="20" t="s">
        <v>66</v>
      </c>
      <c r="C585" s="20" t="s">
        <v>66</v>
      </c>
      <c r="D585" s="115" t="str">
        <f>'пр.5 вед.стр.'!E680</f>
        <v xml:space="preserve">7М 0 02 92600 </v>
      </c>
      <c r="E585" s="110" t="str">
        <f>'пр.5 вед.стр.'!F680</f>
        <v>240</v>
      </c>
      <c r="F585" s="61">
        <f>'пр.5 вед.стр.'!G680</f>
        <v>95</v>
      </c>
    </row>
    <row r="586" spans="1:6" ht="12.75">
      <c r="A586" s="29" t="str">
        <f>'пр.5 вед.стр.'!A681</f>
        <v>Участие в областных и районных мероприятиях, семинарах, сборах, конкурсах</v>
      </c>
      <c r="B586" s="20" t="s">
        <v>66</v>
      </c>
      <c r="C586" s="20" t="s">
        <v>66</v>
      </c>
      <c r="D586" s="115" t="str">
        <f>'пр.5 вед.стр.'!E681</f>
        <v xml:space="preserve">7М 0 02 92700 </v>
      </c>
      <c r="E586" s="110"/>
      <c r="F586" s="61">
        <f>F587</f>
        <v>100</v>
      </c>
    </row>
    <row r="587" spans="1:6" ht="38.25">
      <c r="A587" s="29" t="str">
        <f>'пр.5 вед.стр.'!A682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7" s="20" t="s">
        <v>66</v>
      </c>
      <c r="C587" s="20" t="s">
        <v>66</v>
      </c>
      <c r="D587" s="115" t="str">
        <f>'пр.5 вед.стр.'!E682</f>
        <v xml:space="preserve">7М 0 02 92700 </v>
      </c>
      <c r="E587" s="110" t="str">
        <f>'пр.5 вед.стр.'!F682</f>
        <v>100</v>
      </c>
      <c r="F587" s="61">
        <f>F588</f>
        <v>100</v>
      </c>
    </row>
    <row r="588" spans="1:6" ht="12.75">
      <c r="A588" s="29" t="str">
        <f>'пр.5 вед.стр.'!A683</f>
        <v>Расходы на выплаты персоналу казенных учреждений</v>
      </c>
      <c r="B588" s="20" t="s">
        <v>66</v>
      </c>
      <c r="C588" s="20" t="s">
        <v>66</v>
      </c>
      <c r="D588" s="115" t="str">
        <f>'пр.5 вед.стр.'!E683</f>
        <v xml:space="preserve">7М 0 02 92700 </v>
      </c>
      <c r="E588" s="110" t="str">
        <f>'пр.5 вед.стр.'!F683</f>
        <v>110</v>
      </c>
      <c r="F588" s="61">
        <f>'пр.5 вед.стр.'!G683</f>
        <v>100</v>
      </c>
    </row>
    <row r="589" spans="1:6" ht="12.75">
      <c r="A589" s="29" t="str">
        <f>'пр.5 вед.стр.'!A684</f>
        <v>Работа с молодыми семьями</v>
      </c>
      <c r="B589" s="20" t="s">
        <v>66</v>
      </c>
      <c r="C589" s="20" t="s">
        <v>66</v>
      </c>
      <c r="D589" s="115" t="str">
        <f>'пр.5 вед.стр.'!E684</f>
        <v>7М 0 02 92800</v>
      </c>
      <c r="E589" s="110"/>
      <c r="F589" s="61">
        <f>F590</f>
        <v>35</v>
      </c>
    </row>
    <row r="590" spans="1:6" ht="12.75">
      <c r="A590" s="29" t="str">
        <f>'пр.5 вед.стр.'!A685</f>
        <v>Закупка товаров, работ и услуг для обеспечения государственных (муниципальных) нужд</v>
      </c>
      <c r="B590" s="20" t="s">
        <v>66</v>
      </c>
      <c r="C590" s="20" t="s">
        <v>66</v>
      </c>
      <c r="D590" s="115" t="str">
        <f>'пр.5 вед.стр.'!E685</f>
        <v>7М 0 02 92800</v>
      </c>
      <c r="E590" s="110" t="str">
        <f>'пр.5 вед.стр.'!F685</f>
        <v>200</v>
      </c>
      <c r="F590" s="61">
        <f>F591</f>
        <v>35</v>
      </c>
    </row>
    <row r="591" spans="1:6" ht="12.75">
      <c r="A591" s="16" t="s">
        <v>608</v>
      </c>
      <c r="B591" s="20" t="s">
        <v>66</v>
      </c>
      <c r="C591" s="20" t="s">
        <v>66</v>
      </c>
      <c r="D591" s="115" t="str">
        <f>'пр.5 вед.стр.'!E686</f>
        <v>7М 0 02 92800</v>
      </c>
      <c r="E591" s="110" t="str">
        <f>'пр.5 вед.стр.'!F686</f>
        <v>240</v>
      </c>
      <c r="F591" s="61">
        <f>'пр.5 вед.стр.'!G686</f>
        <v>35</v>
      </c>
    </row>
    <row r="592" spans="1:6" ht="12.75">
      <c r="A592" s="29" t="str">
        <f>'пр.5 вед.стр.'!A687</f>
        <v>Работа по пропаганде здорового образа жизни и профилактике правонарушений</v>
      </c>
      <c r="B592" s="20" t="s">
        <v>66</v>
      </c>
      <c r="C592" s="20" t="s">
        <v>66</v>
      </c>
      <c r="D592" s="115" t="str">
        <f>'пр.5 вед.стр.'!E687</f>
        <v>7М 0 02 93000</v>
      </c>
      <c r="E592" s="110"/>
      <c r="F592" s="61">
        <f>F593</f>
        <v>20</v>
      </c>
    </row>
    <row r="593" spans="1:6" ht="12.75">
      <c r="A593" s="29" t="str">
        <f>'пр.5 вед.стр.'!A688</f>
        <v>Закупка товаров, работ и услуг для обеспечения государственных (муниципальных) нужд</v>
      </c>
      <c r="B593" s="20" t="s">
        <v>66</v>
      </c>
      <c r="C593" s="20" t="s">
        <v>66</v>
      </c>
      <c r="D593" s="115" t="str">
        <f>'пр.5 вед.стр.'!E688</f>
        <v>7М 0 02 93000</v>
      </c>
      <c r="E593" s="110" t="str">
        <f>'пр.5 вед.стр.'!F688</f>
        <v>200</v>
      </c>
      <c r="F593" s="61">
        <f>F594</f>
        <v>20</v>
      </c>
    </row>
    <row r="594" spans="1:6" ht="12.75">
      <c r="A594" s="16" t="s">
        <v>608</v>
      </c>
      <c r="B594" s="20" t="s">
        <v>66</v>
      </c>
      <c r="C594" s="20" t="s">
        <v>66</v>
      </c>
      <c r="D594" s="115" t="str">
        <f>'пр.5 вед.стр.'!E689</f>
        <v>7М 0 02 93000</v>
      </c>
      <c r="E594" s="110" t="str">
        <f>'пр.5 вед.стр.'!F689</f>
        <v>240</v>
      </c>
      <c r="F594" s="61">
        <f>'пр.5 вед.стр.'!G689</f>
        <v>20</v>
      </c>
    </row>
    <row r="595" spans="1:6" ht="25.5">
      <c r="A595" s="29" t="str">
        <f>'пр.5 вед.стр.'!A569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595" s="20" t="s">
        <v>66</v>
      </c>
      <c r="C595" s="20" t="s">
        <v>66</v>
      </c>
      <c r="D595" s="115" t="str">
        <f>'пр.5 вед.стр.'!E569</f>
        <v xml:space="preserve">7Т 0 00 00000 </v>
      </c>
      <c r="E595" s="110"/>
      <c r="F595" s="61">
        <f>F596</f>
        <v>170.3</v>
      </c>
    </row>
    <row r="596" spans="1:6" ht="12.75">
      <c r="A596" s="16" t="str">
        <f>'пр.5 вед.стр.'!A570</f>
        <v>Основное мероприятие "Профилактика  правонарушений среди несовершеннолетних и молодежи"</v>
      </c>
      <c r="B596" s="20" t="s">
        <v>66</v>
      </c>
      <c r="C596" s="20" t="s">
        <v>66</v>
      </c>
      <c r="D596" s="115" t="str">
        <f>'пр.5 вед.стр.'!E570</f>
        <v xml:space="preserve">7Т 0 07 00000 </v>
      </c>
      <c r="E596" s="110"/>
      <c r="F596" s="61">
        <f>F597</f>
        <v>170.3</v>
      </c>
    </row>
    <row r="597" spans="1:6" ht="12.75">
      <c r="A597" s="16" t="str">
        <f>'пр.5 вед.стр.'!A571</f>
        <v>Профилактика безнадзорности, правонарушений и вредных привычек несовершеннолетних</v>
      </c>
      <c r="B597" s="20" t="s">
        <v>66</v>
      </c>
      <c r="C597" s="20" t="s">
        <v>66</v>
      </c>
      <c r="D597" s="115" t="str">
        <f>'пр.5 вед.стр.'!E571</f>
        <v xml:space="preserve">7Т 0 07 93810 </v>
      </c>
      <c r="E597" s="110"/>
      <c r="F597" s="61">
        <f>F598</f>
        <v>170.3</v>
      </c>
    </row>
    <row r="598" spans="1:6" ht="25.5">
      <c r="A598" s="16" t="str">
        <f>'пр.5 вед.стр.'!A572</f>
        <v>Предоставление субсидий бюджетным, автономным учреждениям и иным некоммерческим организациям</v>
      </c>
      <c r="B598" s="20" t="s">
        <v>66</v>
      </c>
      <c r="C598" s="20" t="s">
        <v>66</v>
      </c>
      <c r="D598" s="115" t="str">
        <f>'пр.5 вед.стр.'!E572</f>
        <v xml:space="preserve">7Т 0 07 93810 </v>
      </c>
      <c r="E598" s="110" t="str">
        <f>'пр.5 вед.стр.'!F572</f>
        <v>600</v>
      </c>
      <c r="F598" s="61">
        <f>F599</f>
        <v>170.3</v>
      </c>
    </row>
    <row r="599" spans="1:14" ht="12.75">
      <c r="A599" s="16" t="str">
        <f>'пр.5 вед.стр.'!A573</f>
        <v>Субсидии бюджетным учреждениям</v>
      </c>
      <c r="B599" s="20" t="s">
        <v>66</v>
      </c>
      <c r="C599" s="20" t="s">
        <v>66</v>
      </c>
      <c r="D599" s="115" t="str">
        <f>'пр.5 вед.стр.'!E573</f>
        <v xml:space="preserve">7Т 0 07 93810 </v>
      </c>
      <c r="E599" s="110" t="str">
        <f>'пр.5 вед.стр.'!F573</f>
        <v>610</v>
      </c>
      <c r="F599" s="61">
        <f>'пр.5 вед.стр.'!G573</f>
        <v>170.3</v>
      </c>
      <c r="K599" s="81"/>
      <c r="L599" s="81"/>
      <c r="M599" s="81"/>
      <c r="N599" s="81"/>
    </row>
    <row r="600" spans="1:6" ht="12.75">
      <c r="A600" s="16" t="s">
        <v>48</v>
      </c>
      <c r="B600" s="20" t="s">
        <v>66</v>
      </c>
      <c r="C600" s="20" t="s">
        <v>66</v>
      </c>
      <c r="D600" s="110" t="s">
        <v>524</v>
      </c>
      <c r="E600" s="110"/>
      <c r="F600" s="61">
        <f>F601</f>
        <v>35</v>
      </c>
    </row>
    <row r="601" spans="1:6" ht="12.75">
      <c r="A601" s="16" t="s">
        <v>264</v>
      </c>
      <c r="B601" s="20" t="s">
        <v>66</v>
      </c>
      <c r="C601" s="20" t="s">
        <v>66</v>
      </c>
      <c r="D601" s="110" t="s">
        <v>525</v>
      </c>
      <c r="E601" s="110"/>
      <c r="F601" s="61">
        <f>F602</f>
        <v>35</v>
      </c>
    </row>
    <row r="602" spans="1:6" ht="12.75">
      <c r="A602" s="16" t="s">
        <v>333</v>
      </c>
      <c r="B602" s="20" t="s">
        <v>66</v>
      </c>
      <c r="C602" s="20" t="s">
        <v>66</v>
      </c>
      <c r="D602" s="110" t="s">
        <v>525</v>
      </c>
      <c r="E602" s="110" t="s">
        <v>94</v>
      </c>
      <c r="F602" s="61">
        <f>F603</f>
        <v>35</v>
      </c>
    </row>
    <row r="603" spans="1:6" ht="12.75">
      <c r="A603" s="16" t="s">
        <v>608</v>
      </c>
      <c r="B603" s="20" t="s">
        <v>66</v>
      </c>
      <c r="C603" s="20" t="s">
        <v>66</v>
      </c>
      <c r="D603" s="110" t="s">
        <v>525</v>
      </c>
      <c r="E603" s="110" t="s">
        <v>91</v>
      </c>
      <c r="F603" s="61">
        <f>'пр.5 вед.стр.'!G693</f>
        <v>35</v>
      </c>
    </row>
    <row r="604" spans="1:6" ht="12.75">
      <c r="A604" s="15" t="s">
        <v>11</v>
      </c>
      <c r="B604" s="32" t="s">
        <v>66</v>
      </c>
      <c r="C604" s="32" t="s">
        <v>72</v>
      </c>
      <c r="D604" s="113"/>
      <c r="E604" s="113"/>
      <c r="F604" s="174">
        <f>F606+F621+F640+F654</f>
        <v>45131.09999999999</v>
      </c>
    </row>
    <row r="605" spans="1:6" ht="12.75">
      <c r="A605" s="16" t="s">
        <v>478</v>
      </c>
      <c r="B605" s="20" t="s">
        <v>66</v>
      </c>
      <c r="C605" s="20" t="s">
        <v>72</v>
      </c>
      <c r="D605" s="115" t="s">
        <v>479</v>
      </c>
      <c r="E605" s="110"/>
      <c r="F605" s="61">
        <f>F606</f>
        <v>2250.4</v>
      </c>
    </row>
    <row r="606" spans="1:6" ht="25.5">
      <c r="A606" s="29" t="str">
        <f>'пр.5 вед.стр.'!A576</f>
        <v>Муниципальная  программа  "Развитие образования в Сусуманском городском округе  на 2018- 2022 годы"</v>
      </c>
      <c r="B606" s="20" t="s">
        <v>66</v>
      </c>
      <c r="C606" s="20" t="s">
        <v>72</v>
      </c>
      <c r="D606" s="115" t="str">
        <f>'пр.5 вед.стр.'!E576</f>
        <v xml:space="preserve">7Р 0 00 00000 </v>
      </c>
      <c r="E606" s="110"/>
      <c r="F606" s="61">
        <f>F607+F611+F617</f>
        <v>2250.4</v>
      </c>
    </row>
    <row r="607" spans="1:6" ht="12.75">
      <c r="A607" s="29" t="str">
        <f>'пр.5 вед.стр.'!A577</f>
        <v>Основное мероприятие "Модернизация системы образования"</v>
      </c>
      <c r="B607" s="20" t="s">
        <v>66</v>
      </c>
      <c r="C607" s="20" t="s">
        <v>72</v>
      </c>
      <c r="D607" s="115" t="str">
        <f>'пр.5 вед.стр.'!E577</f>
        <v xml:space="preserve">7Р 0 01 00000 </v>
      </c>
      <c r="E607" s="110"/>
      <c r="F607" s="61">
        <f>F608</f>
        <v>25</v>
      </c>
    </row>
    <row r="608" spans="1:6" ht="25.5">
      <c r="A608" s="29" t="str">
        <f>'пр.5 вед.стр.'!A578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608" s="20" t="s">
        <v>66</v>
      </c>
      <c r="C608" s="20" t="s">
        <v>72</v>
      </c>
      <c r="D608" s="115" t="str">
        <f>'пр.5 вед.стр.'!E578</f>
        <v xml:space="preserve">7Р 0 01 92100 </v>
      </c>
      <c r="E608" s="110"/>
      <c r="F608" s="61">
        <f>F609</f>
        <v>25</v>
      </c>
    </row>
    <row r="609" spans="1:6" ht="12.75">
      <c r="A609" s="29" t="str">
        <f>'пр.5 вед.стр.'!A579</f>
        <v>Закупка товаров, работ и услуг для обеспечения государственных (муниципальных) нужд</v>
      </c>
      <c r="B609" s="20" t="s">
        <v>66</v>
      </c>
      <c r="C609" s="20" t="s">
        <v>72</v>
      </c>
      <c r="D609" s="115" t="str">
        <f>'пр.5 вед.стр.'!E579</f>
        <v xml:space="preserve">7Р 0 01 92100 </v>
      </c>
      <c r="E609" s="110" t="str">
        <f>'пр.5 вед.стр.'!F579</f>
        <v>200</v>
      </c>
      <c r="F609" s="61">
        <f>F610</f>
        <v>25</v>
      </c>
    </row>
    <row r="610" spans="1:6" ht="12.75">
      <c r="A610" s="16" t="s">
        <v>608</v>
      </c>
      <c r="B610" s="20" t="s">
        <v>66</v>
      </c>
      <c r="C610" s="20" t="s">
        <v>72</v>
      </c>
      <c r="D610" s="115" t="str">
        <f>'пр.5 вед.стр.'!E580</f>
        <v xml:space="preserve">7Р 0 01 92100 </v>
      </c>
      <c r="E610" s="110" t="str">
        <f>'пр.5 вед.стр.'!F580</f>
        <v>240</v>
      </c>
      <c r="F610" s="61">
        <f>'пр.5 вед.стр.'!G580</f>
        <v>25</v>
      </c>
    </row>
    <row r="611" spans="1:6" ht="25.5">
      <c r="A611" s="16" t="str">
        <f>'пр.5 вед.стр.'!A157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611" s="20" t="s">
        <v>66</v>
      </c>
      <c r="C611" s="20" t="s">
        <v>72</v>
      </c>
      <c r="D611" s="110" t="str">
        <f>'пр.5 вед.стр.'!E157</f>
        <v>7Р 0 03 00000</v>
      </c>
      <c r="E611" s="110"/>
      <c r="F611" s="61">
        <f>F612</f>
        <v>2133.4</v>
      </c>
    </row>
    <row r="612" spans="1:6" ht="25.5">
      <c r="A612" s="16" t="str">
        <f>'пр.5 вед.стр.'!A158</f>
        <v xml:space="preserve"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612" s="20" t="s">
        <v>66</v>
      </c>
      <c r="C612" s="20" t="s">
        <v>72</v>
      </c>
      <c r="D612" s="110" t="str">
        <f>'пр.5 вед.стр.'!E158</f>
        <v>7Р 0 03 74020</v>
      </c>
      <c r="E612" s="110"/>
      <c r="F612" s="61">
        <f>F613+F615</f>
        <v>2133.4</v>
      </c>
    </row>
    <row r="613" spans="1:6" ht="38.25">
      <c r="A613" s="16" t="str">
        <f>'пр.5 вед.стр.'!A159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13" s="20" t="s">
        <v>66</v>
      </c>
      <c r="C613" s="20" t="s">
        <v>72</v>
      </c>
      <c r="D613" s="110" t="str">
        <f>'пр.5 вед.стр.'!E159</f>
        <v>7Р 0 03 74020</v>
      </c>
      <c r="E613" s="110" t="str">
        <f>'пр.5 вед.стр.'!F159</f>
        <v>100</v>
      </c>
      <c r="F613" s="61">
        <f>F614</f>
        <v>1825</v>
      </c>
    </row>
    <row r="614" spans="1:6" ht="12.75">
      <c r="A614" s="16" t="str">
        <f>'пр.5 вед.стр.'!A160</f>
        <v>Расходы на выплаты персоналу государственных (муниципальных) органов</v>
      </c>
      <c r="B614" s="20" t="s">
        <v>66</v>
      </c>
      <c r="C614" s="20" t="s">
        <v>72</v>
      </c>
      <c r="D614" s="110" t="str">
        <f>'пр.5 вед.стр.'!E160</f>
        <v>7Р 0 03 74020</v>
      </c>
      <c r="E614" s="110" t="str">
        <f>'пр.5 вед.стр.'!F160</f>
        <v>120</v>
      </c>
      <c r="F614" s="61">
        <f>'пр.5 вед.стр.'!G160</f>
        <v>1825</v>
      </c>
    </row>
    <row r="615" spans="1:6" ht="12.75">
      <c r="A615" s="16" t="str">
        <f>'пр.5 вед.стр.'!A161</f>
        <v>Закупка товаров, работ и услуг для обеспечения государственных (муниципальных) нужд</v>
      </c>
      <c r="B615" s="20" t="s">
        <v>66</v>
      </c>
      <c r="C615" s="20" t="s">
        <v>72</v>
      </c>
      <c r="D615" s="110" t="str">
        <f>'пр.5 вед.стр.'!E161</f>
        <v>7Р 0 03 74020</v>
      </c>
      <c r="E615" s="110" t="str">
        <f>'пр.5 вед.стр.'!F161</f>
        <v>200</v>
      </c>
      <c r="F615" s="61">
        <f>F616</f>
        <v>308.4</v>
      </c>
    </row>
    <row r="616" spans="1:6" ht="12.75">
      <c r="A616" s="16" t="str">
        <f>'пр.5 вед.стр.'!A162</f>
        <v>Иные закупки товаров, работ и услуг для обеспечения государственных ( муниципальных ) нужд</v>
      </c>
      <c r="B616" s="20" t="s">
        <v>66</v>
      </c>
      <c r="C616" s="20" t="s">
        <v>72</v>
      </c>
      <c r="D616" s="110" t="str">
        <f>'пр.5 вед.стр.'!E162</f>
        <v>7Р 0 03 74020</v>
      </c>
      <c r="E616" s="142">
        <f>'пр.5 вед.стр.'!F162</f>
        <v>240</v>
      </c>
      <c r="F616" s="61">
        <f>'пр.5 вед.стр.'!G162</f>
        <v>308.4</v>
      </c>
    </row>
    <row r="617" spans="1:6" ht="12.75">
      <c r="A617" s="16" t="str">
        <f>'пр.5 вед.стр.'!A581</f>
        <v>Основное мероприятие "Развитие кадрового потенциала"</v>
      </c>
      <c r="B617" s="20" t="s">
        <v>66</v>
      </c>
      <c r="C617" s="20" t="s">
        <v>72</v>
      </c>
      <c r="D617" s="110" t="str">
        <f>'пр.5 вед.стр.'!E581</f>
        <v>7Р 0 06 00000</v>
      </c>
      <c r="E617" s="142"/>
      <c r="F617" s="61">
        <f>F618</f>
        <v>92</v>
      </c>
    </row>
    <row r="618" spans="1:6" ht="25.5">
      <c r="A618" s="16" t="str">
        <f>'пр.5 вед.стр.'!A582</f>
        <v>Развитие творческого и профессионального потенциала педагогических работников образовательных учреждений</v>
      </c>
      <c r="B618" s="20" t="s">
        <v>66</v>
      </c>
      <c r="C618" s="20" t="s">
        <v>72</v>
      </c>
      <c r="D618" s="110" t="str">
        <f>'пр.5 вед.стр.'!E582</f>
        <v>7Р 0 06 91510</v>
      </c>
      <c r="E618" s="142"/>
      <c r="F618" s="61">
        <f>F619</f>
        <v>92</v>
      </c>
    </row>
    <row r="619" spans="1:6" ht="12.75">
      <c r="A619" s="16" t="str">
        <f>'пр.5 вед.стр.'!A583</f>
        <v>Социальное обеспечение и иные выплаты населению</v>
      </c>
      <c r="B619" s="20" t="s">
        <v>66</v>
      </c>
      <c r="C619" s="20" t="s">
        <v>72</v>
      </c>
      <c r="D619" s="110" t="str">
        <f>'пр.5 вед.стр.'!E583</f>
        <v>7Р 0 06 91510</v>
      </c>
      <c r="E619" s="142" t="str">
        <f>'пр.5 вед.стр.'!F583</f>
        <v>300</v>
      </c>
      <c r="F619" s="61">
        <f>F620</f>
        <v>92</v>
      </c>
    </row>
    <row r="620" spans="1:6" ht="12.75">
      <c r="A620" s="16" t="str">
        <f>'пр.5 вед.стр.'!A584</f>
        <v>Премии и гранты</v>
      </c>
      <c r="B620" s="20" t="s">
        <v>66</v>
      </c>
      <c r="C620" s="20" t="s">
        <v>72</v>
      </c>
      <c r="D620" s="110" t="str">
        <f>'пр.5 вед.стр.'!E584</f>
        <v>7Р 0 06 91510</v>
      </c>
      <c r="E620" s="142" t="str">
        <f>'пр.5 вед.стр.'!F584</f>
        <v>350</v>
      </c>
      <c r="F620" s="61">
        <f>'пр.5 вед.стр.'!G584</f>
        <v>92</v>
      </c>
    </row>
    <row r="621" spans="1:6" ht="25.5">
      <c r="A621" s="16" t="s">
        <v>277</v>
      </c>
      <c r="B621" s="20" t="s">
        <v>66</v>
      </c>
      <c r="C621" s="20" t="s">
        <v>72</v>
      </c>
      <c r="D621" s="110" t="s">
        <v>175</v>
      </c>
      <c r="E621" s="110"/>
      <c r="F621" s="61">
        <f>F622</f>
        <v>10172.5</v>
      </c>
    </row>
    <row r="622" spans="1:6" ht="12.75">
      <c r="A622" s="16" t="s">
        <v>47</v>
      </c>
      <c r="B622" s="20" t="s">
        <v>66</v>
      </c>
      <c r="C622" s="20" t="s">
        <v>72</v>
      </c>
      <c r="D622" s="110" t="s">
        <v>181</v>
      </c>
      <c r="E622" s="110"/>
      <c r="F622" s="61">
        <f>F623+F626+F631+F634+F637</f>
        <v>10172.5</v>
      </c>
    </row>
    <row r="623" spans="1:6" ht="12.75">
      <c r="A623" s="16" t="s">
        <v>177</v>
      </c>
      <c r="B623" s="20" t="s">
        <v>66</v>
      </c>
      <c r="C623" s="20" t="s">
        <v>72</v>
      </c>
      <c r="D623" s="110" t="s">
        <v>182</v>
      </c>
      <c r="E623" s="110"/>
      <c r="F623" s="61">
        <f>F624</f>
        <v>9530.8</v>
      </c>
    </row>
    <row r="624" spans="1:6" ht="38.25">
      <c r="A624" s="16" t="s">
        <v>92</v>
      </c>
      <c r="B624" s="20" t="s">
        <v>66</v>
      </c>
      <c r="C624" s="20" t="s">
        <v>72</v>
      </c>
      <c r="D624" s="110" t="s">
        <v>182</v>
      </c>
      <c r="E624" s="110" t="s">
        <v>93</v>
      </c>
      <c r="F624" s="61">
        <f>F625</f>
        <v>9530.8</v>
      </c>
    </row>
    <row r="625" spans="1:6" ht="12.75">
      <c r="A625" s="16" t="s">
        <v>89</v>
      </c>
      <c r="B625" s="20" t="s">
        <v>66</v>
      </c>
      <c r="C625" s="20" t="s">
        <v>72</v>
      </c>
      <c r="D625" s="110" t="s">
        <v>182</v>
      </c>
      <c r="E625" s="110" t="s">
        <v>90</v>
      </c>
      <c r="F625" s="61">
        <f>'пр.5 вед.стр.'!G589</f>
        <v>9530.8</v>
      </c>
    </row>
    <row r="626" spans="1:6" ht="12.75">
      <c r="A626" s="16" t="s">
        <v>178</v>
      </c>
      <c r="B626" s="20" t="s">
        <v>66</v>
      </c>
      <c r="C626" s="20" t="s">
        <v>72</v>
      </c>
      <c r="D626" s="110" t="s">
        <v>183</v>
      </c>
      <c r="E626" s="110"/>
      <c r="F626" s="61">
        <f>F627+F629</f>
        <v>274.70000000000005</v>
      </c>
    </row>
    <row r="627" spans="1:6" ht="12.75">
      <c r="A627" s="16" t="s">
        <v>333</v>
      </c>
      <c r="B627" s="20" t="s">
        <v>66</v>
      </c>
      <c r="C627" s="20" t="s">
        <v>72</v>
      </c>
      <c r="D627" s="110" t="s">
        <v>183</v>
      </c>
      <c r="E627" s="110" t="s">
        <v>94</v>
      </c>
      <c r="F627" s="61">
        <f>F628</f>
        <v>273.70000000000005</v>
      </c>
    </row>
    <row r="628" spans="1:6" ht="12.75">
      <c r="A628" s="16" t="s">
        <v>608</v>
      </c>
      <c r="B628" s="20" t="s">
        <v>66</v>
      </c>
      <c r="C628" s="20" t="s">
        <v>72</v>
      </c>
      <c r="D628" s="110" t="s">
        <v>183</v>
      </c>
      <c r="E628" s="110" t="s">
        <v>91</v>
      </c>
      <c r="F628" s="61">
        <f>'пр.5 вед.стр.'!G595</f>
        <v>273.70000000000005</v>
      </c>
    </row>
    <row r="629" spans="1:6" ht="12.75">
      <c r="A629" s="16" t="s">
        <v>110</v>
      </c>
      <c r="B629" s="20" t="s">
        <v>66</v>
      </c>
      <c r="C629" s="20" t="s">
        <v>72</v>
      </c>
      <c r="D629" s="110" t="s">
        <v>183</v>
      </c>
      <c r="E629" s="110" t="s">
        <v>111</v>
      </c>
      <c r="F629" s="61">
        <f>F630</f>
        <v>1</v>
      </c>
    </row>
    <row r="630" spans="1:6" ht="12.75">
      <c r="A630" s="16" t="s">
        <v>113</v>
      </c>
      <c r="B630" s="20" t="s">
        <v>66</v>
      </c>
      <c r="C630" s="20" t="s">
        <v>72</v>
      </c>
      <c r="D630" s="110" t="s">
        <v>183</v>
      </c>
      <c r="E630" s="110" t="s">
        <v>114</v>
      </c>
      <c r="F630" s="61">
        <f>'пр.5 вед.стр.'!G597</f>
        <v>1</v>
      </c>
    </row>
    <row r="631" spans="1:6" ht="38.25">
      <c r="A631" s="16" t="s">
        <v>204</v>
      </c>
      <c r="B631" s="20" t="s">
        <v>66</v>
      </c>
      <c r="C631" s="20" t="s">
        <v>72</v>
      </c>
      <c r="D631" s="110" t="s">
        <v>462</v>
      </c>
      <c r="E631" s="110"/>
      <c r="F631" s="61">
        <f>F632</f>
        <v>129</v>
      </c>
    </row>
    <row r="632" spans="1:6" ht="38.25">
      <c r="A632" s="16" t="s">
        <v>92</v>
      </c>
      <c r="B632" s="20" t="s">
        <v>66</v>
      </c>
      <c r="C632" s="20" t="s">
        <v>72</v>
      </c>
      <c r="D632" s="110" t="s">
        <v>462</v>
      </c>
      <c r="E632" s="110" t="s">
        <v>93</v>
      </c>
      <c r="F632" s="61">
        <f>F633</f>
        <v>129</v>
      </c>
    </row>
    <row r="633" spans="1:6" ht="12.75">
      <c r="A633" s="16" t="s">
        <v>89</v>
      </c>
      <c r="B633" s="20" t="s">
        <v>66</v>
      </c>
      <c r="C633" s="20" t="s">
        <v>72</v>
      </c>
      <c r="D633" s="110" t="s">
        <v>462</v>
      </c>
      <c r="E633" s="110" t="s">
        <v>90</v>
      </c>
      <c r="F633" s="61">
        <f>'пр.5 вед.стр.'!G600</f>
        <v>129</v>
      </c>
    </row>
    <row r="634" spans="1:6" ht="12.75">
      <c r="A634" s="16" t="s">
        <v>176</v>
      </c>
      <c r="B634" s="20" t="s">
        <v>66</v>
      </c>
      <c r="C634" s="20" t="s">
        <v>72</v>
      </c>
      <c r="D634" s="110" t="s">
        <v>463</v>
      </c>
      <c r="E634" s="110"/>
      <c r="F634" s="61">
        <f>F635</f>
        <v>11</v>
      </c>
    </row>
    <row r="635" spans="1:6" ht="38.25">
      <c r="A635" s="16" t="s">
        <v>92</v>
      </c>
      <c r="B635" s="20" t="s">
        <v>66</v>
      </c>
      <c r="C635" s="20" t="s">
        <v>72</v>
      </c>
      <c r="D635" s="110" t="s">
        <v>463</v>
      </c>
      <c r="E635" s="110" t="s">
        <v>93</v>
      </c>
      <c r="F635" s="61">
        <f>F636</f>
        <v>11</v>
      </c>
    </row>
    <row r="636" spans="1:6" ht="12.75">
      <c r="A636" s="16" t="s">
        <v>89</v>
      </c>
      <c r="B636" s="20" t="s">
        <v>66</v>
      </c>
      <c r="C636" s="20" t="s">
        <v>72</v>
      </c>
      <c r="D636" s="110" t="s">
        <v>463</v>
      </c>
      <c r="E636" s="110" t="s">
        <v>90</v>
      </c>
      <c r="F636" s="61">
        <f>'пр.5 вед.стр.'!G603</f>
        <v>11</v>
      </c>
    </row>
    <row r="637" spans="1:6" ht="25.5">
      <c r="A637" s="16" t="str">
        <f>'пр.5 вед.стр.'!A590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637" s="20" t="s">
        <v>66</v>
      </c>
      <c r="C637" s="20" t="s">
        <v>72</v>
      </c>
      <c r="D637" s="110" t="str">
        <f>'пр.5 вед.стр.'!E590</f>
        <v>Р2 4 00 55500</v>
      </c>
      <c r="E637" s="110"/>
      <c r="F637" s="61">
        <f>F638</f>
        <v>227</v>
      </c>
    </row>
    <row r="638" spans="1:6" ht="38.25">
      <c r="A638" s="16" t="str">
        <f>'пр.5 вед.стр.'!A591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38" s="20" t="s">
        <v>66</v>
      </c>
      <c r="C638" s="20" t="s">
        <v>72</v>
      </c>
      <c r="D638" s="110" t="str">
        <f>'пр.5 вед.стр.'!E591</f>
        <v>Р2 4 00 55500</v>
      </c>
      <c r="E638" s="110" t="s">
        <v>93</v>
      </c>
      <c r="F638" s="61">
        <f>F639</f>
        <v>227</v>
      </c>
    </row>
    <row r="639" spans="1:6" ht="12.75">
      <c r="A639" s="16" t="str">
        <f>'пр.5 вед.стр.'!A592</f>
        <v>Расходы на выплаты персоналу государственных (муниципальных) органов</v>
      </c>
      <c r="B639" s="20" t="s">
        <v>66</v>
      </c>
      <c r="C639" s="20" t="s">
        <v>72</v>
      </c>
      <c r="D639" s="110" t="str">
        <f>'пр.5 вед.стр.'!E592</f>
        <v>Р2 4 00 55500</v>
      </c>
      <c r="E639" s="110" t="s">
        <v>90</v>
      </c>
      <c r="F639" s="61">
        <f>'пр.5 вед.стр.'!G592</f>
        <v>227</v>
      </c>
    </row>
    <row r="640" spans="1:6" ht="12.75">
      <c r="A640" s="16" t="s">
        <v>515</v>
      </c>
      <c r="B640" s="20" t="s">
        <v>66</v>
      </c>
      <c r="C640" s="20" t="s">
        <v>72</v>
      </c>
      <c r="D640" s="110" t="s">
        <v>516</v>
      </c>
      <c r="E640" s="110"/>
      <c r="F640" s="61">
        <f>F641+F648+F651</f>
        <v>15308.4</v>
      </c>
    </row>
    <row r="641" spans="1:6" ht="12.75">
      <c r="A641" s="16" t="s">
        <v>263</v>
      </c>
      <c r="B641" s="20" t="s">
        <v>66</v>
      </c>
      <c r="C641" s="20" t="s">
        <v>72</v>
      </c>
      <c r="D641" s="110" t="s">
        <v>517</v>
      </c>
      <c r="E641" s="110"/>
      <c r="F641" s="61">
        <f>F642+F644+F646</f>
        <v>14790.8</v>
      </c>
    </row>
    <row r="642" spans="1:6" ht="38.25">
      <c r="A642" s="16" t="s">
        <v>92</v>
      </c>
      <c r="B642" s="20" t="s">
        <v>66</v>
      </c>
      <c r="C642" s="20" t="s">
        <v>72</v>
      </c>
      <c r="D642" s="110" t="s">
        <v>517</v>
      </c>
      <c r="E642" s="110" t="s">
        <v>93</v>
      </c>
      <c r="F642" s="61">
        <f>F643</f>
        <v>14142.5</v>
      </c>
    </row>
    <row r="643" spans="1:6" ht="12.75">
      <c r="A643" s="16" t="s">
        <v>208</v>
      </c>
      <c r="B643" s="20" t="s">
        <v>66</v>
      </c>
      <c r="C643" s="20" t="s">
        <v>72</v>
      </c>
      <c r="D643" s="110" t="s">
        <v>517</v>
      </c>
      <c r="E643" s="110" t="s">
        <v>209</v>
      </c>
      <c r="F643" s="61">
        <f>'пр.5 вед.стр.'!G607</f>
        <v>14142.5</v>
      </c>
    </row>
    <row r="644" spans="1:6" ht="12.75">
      <c r="A644" s="16" t="s">
        <v>333</v>
      </c>
      <c r="B644" s="20" t="s">
        <v>66</v>
      </c>
      <c r="C644" s="20" t="s">
        <v>72</v>
      </c>
      <c r="D644" s="110" t="s">
        <v>517</v>
      </c>
      <c r="E644" s="110" t="s">
        <v>94</v>
      </c>
      <c r="F644" s="61">
        <f>F645</f>
        <v>645.3</v>
      </c>
    </row>
    <row r="645" spans="1:6" ht="12.75">
      <c r="A645" s="16" t="s">
        <v>608</v>
      </c>
      <c r="B645" s="20" t="s">
        <v>66</v>
      </c>
      <c r="C645" s="20" t="s">
        <v>72</v>
      </c>
      <c r="D645" s="110" t="s">
        <v>517</v>
      </c>
      <c r="E645" s="110" t="s">
        <v>91</v>
      </c>
      <c r="F645" s="61">
        <f>'пр.5 вед.стр.'!G609</f>
        <v>645.3</v>
      </c>
    </row>
    <row r="646" spans="1:6" ht="12.75">
      <c r="A646" s="16" t="s">
        <v>110</v>
      </c>
      <c r="B646" s="20" t="s">
        <v>66</v>
      </c>
      <c r="C646" s="20" t="s">
        <v>72</v>
      </c>
      <c r="D646" s="110" t="s">
        <v>517</v>
      </c>
      <c r="E646" s="110" t="s">
        <v>111</v>
      </c>
      <c r="F646" s="61">
        <f>F647</f>
        <v>3</v>
      </c>
    </row>
    <row r="647" spans="1:6" ht="12.75">
      <c r="A647" s="16" t="s">
        <v>113</v>
      </c>
      <c r="B647" s="20" t="s">
        <v>66</v>
      </c>
      <c r="C647" s="20" t="s">
        <v>72</v>
      </c>
      <c r="D647" s="110" t="s">
        <v>517</v>
      </c>
      <c r="E647" s="110" t="s">
        <v>114</v>
      </c>
      <c r="F647" s="61">
        <f>'пр.5 вед.стр.'!G611</f>
        <v>3</v>
      </c>
    </row>
    <row r="648" spans="1:6" ht="38.25">
      <c r="A648" s="16" t="s">
        <v>204</v>
      </c>
      <c r="B648" s="20" t="s">
        <v>66</v>
      </c>
      <c r="C648" s="20" t="s">
        <v>72</v>
      </c>
      <c r="D648" s="110" t="s">
        <v>518</v>
      </c>
      <c r="E648" s="110"/>
      <c r="F648" s="61">
        <f>F649</f>
        <v>484</v>
      </c>
    </row>
    <row r="649" spans="1:6" ht="38.25">
      <c r="A649" s="16" t="s">
        <v>92</v>
      </c>
      <c r="B649" s="20" t="s">
        <v>66</v>
      </c>
      <c r="C649" s="20" t="s">
        <v>72</v>
      </c>
      <c r="D649" s="110" t="s">
        <v>518</v>
      </c>
      <c r="E649" s="110" t="s">
        <v>93</v>
      </c>
      <c r="F649" s="61">
        <f>F650</f>
        <v>484</v>
      </c>
    </row>
    <row r="650" spans="1:6" ht="12.75">
      <c r="A650" s="16" t="s">
        <v>208</v>
      </c>
      <c r="B650" s="20" t="s">
        <v>66</v>
      </c>
      <c r="C650" s="20" t="s">
        <v>72</v>
      </c>
      <c r="D650" s="110" t="s">
        <v>518</v>
      </c>
      <c r="E650" s="110" t="s">
        <v>209</v>
      </c>
      <c r="F650" s="61">
        <f>'пр.5 вед.стр.'!G614</f>
        <v>484</v>
      </c>
    </row>
    <row r="651" spans="1:6" ht="12.75">
      <c r="A651" s="16" t="s">
        <v>176</v>
      </c>
      <c r="B651" s="20" t="s">
        <v>66</v>
      </c>
      <c r="C651" s="20" t="s">
        <v>72</v>
      </c>
      <c r="D651" s="110" t="s">
        <v>519</v>
      </c>
      <c r="E651" s="110"/>
      <c r="F651" s="61">
        <f>F652</f>
        <v>33.6</v>
      </c>
    </row>
    <row r="652" spans="1:6" ht="38.25">
      <c r="A652" s="16" t="s">
        <v>92</v>
      </c>
      <c r="B652" s="20" t="s">
        <v>66</v>
      </c>
      <c r="C652" s="20" t="s">
        <v>72</v>
      </c>
      <c r="D652" s="110" t="s">
        <v>519</v>
      </c>
      <c r="E652" s="110" t="s">
        <v>93</v>
      </c>
      <c r="F652" s="61">
        <f>F653</f>
        <v>33.6</v>
      </c>
    </row>
    <row r="653" spans="1:6" ht="12.75">
      <c r="A653" s="16" t="s">
        <v>208</v>
      </c>
      <c r="B653" s="20" t="s">
        <v>66</v>
      </c>
      <c r="C653" s="20" t="s">
        <v>72</v>
      </c>
      <c r="D653" s="110" t="s">
        <v>519</v>
      </c>
      <c r="E653" s="110" t="s">
        <v>209</v>
      </c>
      <c r="F653" s="61">
        <f>'пр.5 вед.стр.'!G617</f>
        <v>33.6</v>
      </c>
    </row>
    <row r="654" spans="1:6" ht="12.75">
      <c r="A654" s="16" t="s">
        <v>520</v>
      </c>
      <c r="B654" s="20" t="s">
        <v>66</v>
      </c>
      <c r="C654" s="20" t="s">
        <v>72</v>
      </c>
      <c r="D654" s="110" t="s">
        <v>521</v>
      </c>
      <c r="E654" s="110"/>
      <c r="F654" s="61">
        <f>F655+F662</f>
        <v>17399.799999999996</v>
      </c>
    </row>
    <row r="655" spans="1:6" ht="12.75">
      <c r="A655" s="16" t="s">
        <v>265</v>
      </c>
      <c r="B655" s="20" t="s">
        <v>66</v>
      </c>
      <c r="C655" s="20" t="s">
        <v>72</v>
      </c>
      <c r="D655" s="110" t="s">
        <v>522</v>
      </c>
      <c r="E655" s="110"/>
      <c r="F655" s="61">
        <f>F656+F658+F660</f>
        <v>17164.299999999996</v>
      </c>
    </row>
    <row r="656" spans="1:6" ht="38.25">
      <c r="A656" s="16" t="s">
        <v>92</v>
      </c>
      <c r="B656" s="20" t="s">
        <v>66</v>
      </c>
      <c r="C656" s="20" t="s">
        <v>72</v>
      </c>
      <c r="D656" s="110" t="s">
        <v>522</v>
      </c>
      <c r="E656" s="110" t="s">
        <v>93</v>
      </c>
      <c r="F656" s="61">
        <f>F657</f>
        <v>13239.399999999998</v>
      </c>
    </row>
    <row r="657" spans="1:6" ht="12.75">
      <c r="A657" s="16" t="s">
        <v>208</v>
      </c>
      <c r="B657" s="20" t="s">
        <v>66</v>
      </c>
      <c r="C657" s="20" t="s">
        <v>72</v>
      </c>
      <c r="D657" s="110" t="s">
        <v>522</v>
      </c>
      <c r="E657" s="110" t="s">
        <v>209</v>
      </c>
      <c r="F657" s="61">
        <f>'пр.5 вед.стр.'!G621</f>
        <v>13239.399999999998</v>
      </c>
    </row>
    <row r="658" spans="1:6" ht="12.75">
      <c r="A658" s="16" t="s">
        <v>333</v>
      </c>
      <c r="B658" s="20" t="s">
        <v>66</v>
      </c>
      <c r="C658" s="20" t="s">
        <v>72</v>
      </c>
      <c r="D658" s="110" t="s">
        <v>522</v>
      </c>
      <c r="E658" s="110" t="s">
        <v>94</v>
      </c>
      <c r="F658" s="61">
        <f>F659</f>
        <v>3596.3999999999996</v>
      </c>
    </row>
    <row r="659" spans="1:6" ht="12.75">
      <c r="A659" s="16" t="s">
        <v>608</v>
      </c>
      <c r="B659" s="20" t="s">
        <v>66</v>
      </c>
      <c r="C659" s="20" t="s">
        <v>72</v>
      </c>
      <c r="D659" s="110" t="s">
        <v>522</v>
      </c>
      <c r="E659" s="110" t="s">
        <v>91</v>
      </c>
      <c r="F659" s="61">
        <f>'пр.5 вед.стр.'!G623</f>
        <v>3596.3999999999996</v>
      </c>
    </row>
    <row r="660" spans="1:6" ht="12.75">
      <c r="A660" s="16" t="s">
        <v>110</v>
      </c>
      <c r="B660" s="20" t="s">
        <v>66</v>
      </c>
      <c r="C660" s="20" t="s">
        <v>72</v>
      </c>
      <c r="D660" s="110" t="s">
        <v>522</v>
      </c>
      <c r="E660" s="110" t="s">
        <v>111</v>
      </c>
      <c r="F660" s="61">
        <f>F661</f>
        <v>328.5</v>
      </c>
    </row>
    <row r="661" spans="1:6" ht="12.75">
      <c r="A661" s="16" t="s">
        <v>113</v>
      </c>
      <c r="B661" s="20" t="s">
        <v>66</v>
      </c>
      <c r="C661" s="20" t="s">
        <v>72</v>
      </c>
      <c r="D661" s="110" t="s">
        <v>522</v>
      </c>
      <c r="E661" s="110" t="s">
        <v>114</v>
      </c>
      <c r="F661" s="61">
        <f>'пр.5 вед.стр.'!G625</f>
        <v>328.5</v>
      </c>
    </row>
    <row r="662" spans="1:6" ht="38.25">
      <c r="A662" s="16" t="s">
        <v>204</v>
      </c>
      <c r="B662" s="20" t="s">
        <v>66</v>
      </c>
      <c r="C662" s="20" t="s">
        <v>72</v>
      </c>
      <c r="D662" s="110" t="s">
        <v>523</v>
      </c>
      <c r="E662" s="110"/>
      <c r="F662" s="61">
        <f>F663</f>
        <v>235.5</v>
      </c>
    </row>
    <row r="663" spans="1:6" ht="38.25">
      <c r="A663" s="16" t="s">
        <v>92</v>
      </c>
      <c r="B663" s="20" t="s">
        <v>66</v>
      </c>
      <c r="C663" s="20" t="s">
        <v>72</v>
      </c>
      <c r="D663" s="110" t="s">
        <v>523</v>
      </c>
      <c r="E663" s="110" t="s">
        <v>93</v>
      </c>
      <c r="F663" s="61">
        <f>F664</f>
        <v>235.5</v>
      </c>
    </row>
    <row r="664" spans="1:6" ht="12.75">
      <c r="A664" s="16" t="s">
        <v>208</v>
      </c>
      <c r="B664" s="20" t="s">
        <v>66</v>
      </c>
      <c r="C664" s="20" t="s">
        <v>72</v>
      </c>
      <c r="D664" s="110" t="s">
        <v>523</v>
      </c>
      <c r="E664" s="110" t="s">
        <v>209</v>
      </c>
      <c r="F664" s="61">
        <f>'пр.5 вед.стр.'!G628</f>
        <v>235.5</v>
      </c>
    </row>
    <row r="665" spans="1:6" ht="12.75">
      <c r="A665" s="15" t="s">
        <v>122</v>
      </c>
      <c r="B665" s="32" t="s">
        <v>70</v>
      </c>
      <c r="C665" s="32" t="s">
        <v>34</v>
      </c>
      <c r="D665" s="113"/>
      <c r="E665" s="113"/>
      <c r="F665" s="174">
        <f>F666+F730</f>
        <v>44904.2</v>
      </c>
    </row>
    <row r="666" spans="1:6" ht="12.75">
      <c r="A666" s="15" t="s">
        <v>12</v>
      </c>
      <c r="B666" s="32" t="s">
        <v>70</v>
      </c>
      <c r="C666" s="32" t="s">
        <v>63</v>
      </c>
      <c r="D666" s="113"/>
      <c r="E666" s="113"/>
      <c r="F666" s="174">
        <f>F668+F688+F702+F712+F722</f>
        <v>30683.899999999998</v>
      </c>
    </row>
    <row r="667" spans="1:6" ht="12.75">
      <c r="A667" s="16" t="s">
        <v>478</v>
      </c>
      <c r="B667" s="20" t="s">
        <v>70</v>
      </c>
      <c r="C667" s="20" t="s">
        <v>63</v>
      </c>
      <c r="D667" s="115" t="s">
        <v>479</v>
      </c>
      <c r="E667" s="110"/>
      <c r="F667" s="61">
        <f>F668+F688</f>
        <v>2106.7999999999997</v>
      </c>
    </row>
    <row r="668" spans="1:6" ht="12.75">
      <c r="A668" s="29" t="str">
        <f>'пр.5 вед.стр.'!A697</f>
        <v>Муниципальная программа "Развитие культуры в Сусуманском городском округе на 2018- 2022 годы"</v>
      </c>
      <c r="B668" s="20" t="s">
        <v>70</v>
      </c>
      <c r="C668" s="20" t="s">
        <v>63</v>
      </c>
      <c r="D668" s="115" t="str">
        <f>'пр.5 вед.стр.'!E697</f>
        <v xml:space="preserve">7Е 0 00 00000 </v>
      </c>
      <c r="E668" s="110"/>
      <c r="F668" s="61">
        <f>F669+F680+F676+F684</f>
        <v>1693.1</v>
      </c>
    </row>
    <row r="669" spans="1:6" ht="25.5">
      <c r="A669" s="16" t="str">
        <f>'пр.5 вед.стр.'!A698</f>
        <v>Основное мероприятие "Комплектование книжных фондов библиотек Сусуманского городского округа"</v>
      </c>
      <c r="B669" s="20" t="s">
        <v>70</v>
      </c>
      <c r="C669" s="20" t="s">
        <v>63</v>
      </c>
      <c r="D669" s="115" t="str">
        <f>'пр.5 вед.стр.'!E698</f>
        <v xml:space="preserve">7Е 0 01 00000 </v>
      </c>
      <c r="E669" s="110"/>
      <c r="F669" s="61">
        <f>F670+F673</f>
        <v>51.4</v>
      </c>
    </row>
    <row r="670" spans="1:6" ht="12.75">
      <c r="A670" s="16" t="str">
        <f>'пр.5 вед.стр.'!A699</f>
        <v>Приобретение литературно- художественных изданий</v>
      </c>
      <c r="B670" s="20" t="s">
        <v>70</v>
      </c>
      <c r="C670" s="20" t="s">
        <v>63</v>
      </c>
      <c r="D670" s="110" t="str">
        <f>'пр.5 вед.стр.'!E699</f>
        <v>7Е 0 01 73160</v>
      </c>
      <c r="E670" s="110"/>
      <c r="F670" s="61">
        <f>F671</f>
        <v>41.4</v>
      </c>
    </row>
    <row r="671" spans="1:6" ht="25.5">
      <c r="A671" s="16" t="str">
        <f>'пр.5 вед.стр.'!A700</f>
        <v>Предоставление субсидий бюджетным, автономным учреждениям и иным некоммерческим организациям</v>
      </c>
      <c r="B671" s="20" t="s">
        <v>70</v>
      </c>
      <c r="C671" s="20" t="s">
        <v>63</v>
      </c>
      <c r="D671" s="110" t="str">
        <f>'пр.5 вед.стр.'!E700</f>
        <v>7Е 0 01 73160</v>
      </c>
      <c r="E671" s="110" t="str">
        <f>'пр.5 вед.стр.'!F700</f>
        <v>600</v>
      </c>
      <c r="F671" s="61">
        <f>F672</f>
        <v>41.4</v>
      </c>
    </row>
    <row r="672" spans="1:6" ht="12.75">
      <c r="A672" s="16" t="str">
        <f>'пр.5 вед.стр.'!A701</f>
        <v>Субсидии бюджетным учреждениям</v>
      </c>
      <c r="B672" s="20" t="s">
        <v>70</v>
      </c>
      <c r="C672" s="20" t="s">
        <v>63</v>
      </c>
      <c r="D672" s="110" t="str">
        <f>'пр.5 вед.стр.'!E701</f>
        <v>7Е 0 01 73160</v>
      </c>
      <c r="E672" s="110" t="str">
        <f>'пр.5 вед.стр.'!F701</f>
        <v>610</v>
      </c>
      <c r="F672" s="61">
        <f>'пр.5 вед.стр.'!G701</f>
        <v>41.4</v>
      </c>
    </row>
    <row r="673" spans="1:6" ht="12.75">
      <c r="A673" s="16" t="str">
        <f>'пр.5 вед.стр.'!A702</f>
        <v>Приобретение литературно- художественных изданий за счет средств местного бюджета</v>
      </c>
      <c r="B673" s="20" t="s">
        <v>70</v>
      </c>
      <c r="C673" s="20" t="s">
        <v>63</v>
      </c>
      <c r="D673" s="110" t="str">
        <f>'пр.5 вед.стр.'!E702</f>
        <v>7Е 0 01 S3160</v>
      </c>
      <c r="E673" s="110"/>
      <c r="F673" s="61">
        <f>F674</f>
        <v>10</v>
      </c>
    </row>
    <row r="674" spans="1:6" ht="25.5">
      <c r="A674" s="16" t="str">
        <f>'пр.5 вед.стр.'!A703</f>
        <v>Предоставление субсидий бюджетным, автономным учреждениям и иным некоммерческим организациям</v>
      </c>
      <c r="B674" s="20" t="s">
        <v>70</v>
      </c>
      <c r="C674" s="20" t="s">
        <v>63</v>
      </c>
      <c r="D674" s="110" t="str">
        <f>'пр.5 вед.стр.'!E703</f>
        <v>7Е 0 01 S3160</v>
      </c>
      <c r="E674" s="110" t="str">
        <f>'пр.5 вед.стр.'!F703</f>
        <v>600</v>
      </c>
      <c r="F674" s="61">
        <f>F675</f>
        <v>10</v>
      </c>
    </row>
    <row r="675" spans="1:6" ht="12.75">
      <c r="A675" s="16" t="str">
        <f>'пр.5 вед.стр.'!A704</f>
        <v>Субсидии бюджетным учреждениям</v>
      </c>
      <c r="B675" s="20" t="s">
        <v>70</v>
      </c>
      <c r="C675" s="20" t="s">
        <v>63</v>
      </c>
      <c r="D675" s="110" t="str">
        <f>'пр.5 вед.стр.'!E704</f>
        <v>7Е 0 01 S3160</v>
      </c>
      <c r="E675" s="110" t="str">
        <f>'пр.5 вед.стр.'!F704</f>
        <v>610</v>
      </c>
      <c r="F675" s="61">
        <f>'пр.5 вед.стр.'!G704</f>
        <v>10</v>
      </c>
    </row>
    <row r="676" spans="1:6" ht="12.75">
      <c r="A676" s="29" t="str">
        <f>'пр.5 вед.стр.'!A705</f>
        <v>Основное мероприятие "Сохранение культурного наследия и творческого потенциала"</v>
      </c>
      <c r="B676" s="20" t="s">
        <v>70</v>
      </c>
      <c r="C676" s="20" t="s">
        <v>63</v>
      </c>
      <c r="D676" s="115" t="str">
        <f>'пр.5 вед.стр.'!E705</f>
        <v xml:space="preserve">7Е 0 02 00000 </v>
      </c>
      <c r="E676" s="110"/>
      <c r="F676" s="61">
        <f>F677</f>
        <v>74.5</v>
      </c>
    </row>
    <row r="677" spans="1:6" ht="12.75">
      <c r="A677" s="29" t="str">
        <f>'пр.5 вед.стр.'!A706</f>
        <v>Укрепление материально- технической базы учреждений культуры</v>
      </c>
      <c r="B677" s="20" t="s">
        <v>70</v>
      </c>
      <c r="C677" s="20" t="s">
        <v>63</v>
      </c>
      <c r="D677" s="115" t="str">
        <f>'пр.5 вед.стр.'!E706</f>
        <v xml:space="preserve">7Е 0 02 92510 </v>
      </c>
      <c r="E677" s="110"/>
      <c r="F677" s="61">
        <f>F678</f>
        <v>74.5</v>
      </c>
    </row>
    <row r="678" spans="1:6" ht="25.5">
      <c r="A678" s="29" t="str">
        <f>'пр.5 вед.стр.'!A707</f>
        <v>Предоставление субсидий бюджетным, автономным учреждениям и иным некоммерческим организациям</v>
      </c>
      <c r="B678" s="20" t="s">
        <v>70</v>
      </c>
      <c r="C678" s="20" t="s">
        <v>63</v>
      </c>
      <c r="D678" s="115" t="str">
        <f>'пр.5 вед.стр.'!E707</f>
        <v xml:space="preserve">7Е 0 02 92510 </v>
      </c>
      <c r="E678" s="110" t="str">
        <f>'пр.5 вед.стр.'!F707</f>
        <v>600</v>
      </c>
      <c r="F678" s="61">
        <f>F679</f>
        <v>74.5</v>
      </c>
    </row>
    <row r="679" spans="1:6" ht="12.75">
      <c r="A679" s="29" t="str">
        <f>'пр.5 вед.стр.'!A708</f>
        <v>Субсидии бюджетным учреждениям</v>
      </c>
      <c r="B679" s="20" t="s">
        <v>70</v>
      </c>
      <c r="C679" s="20" t="s">
        <v>63</v>
      </c>
      <c r="D679" s="115" t="str">
        <f>'пр.5 вед.стр.'!E708</f>
        <v xml:space="preserve">7Е 0 02 92510 </v>
      </c>
      <c r="E679" s="110" t="str">
        <f>'пр.5 вед.стр.'!F708</f>
        <v>610</v>
      </c>
      <c r="F679" s="61">
        <f>'пр.5 вед.стр.'!G708</f>
        <v>74.5</v>
      </c>
    </row>
    <row r="680" spans="1:6" ht="25.5">
      <c r="A680" s="16" t="str">
        <f>'пр.5 вед.стр.'!A709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680" s="20" t="s">
        <v>70</v>
      </c>
      <c r="C680" s="20" t="s">
        <v>63</v>
      </c>
      <c r="D680" s="115" t="str">
        <f>'пр.5 вед.стр.'!E709</f>
        <v xml:space="preserve">7Е 0 03 00000 </v>
      </c>
      <c r="E680" s="110"/>
      <c r="F680" s="61">
        <f>F681</f>
        <v>1317.1999999999998</v>
      </c>
    </row>
    <row r="681" spans="1:6" ht="25.5">
      <c r="A681" s="16" t="str">
        <f>'пр.5 вед.стр.'!A710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81" s="20" t="s">
        <v>70</v>
      </c>
      <c r="C681" s="20" t="s">
        <v>63</v>
      </c>
      <c r="D681" s="115" t="str">
        <f>'пр.5 вед.стр.'!E710</f>
        <v xml:space="preserve">7Е 0 03 75010 </v>
      </c>
      <c r="E681" s="110"/>
      <c r="F681" s="61">
        <f>F682</f>
        <v>1317.1999999999998</v>
      </c>
    </row>
    <row r="682" spans="1:6" ht="25.5">
      <c r="A682" s="16" t="str">
        <f>'пр.5 вед.стр.'!A711</f>
        <v>Предоставление субсидий бюджетным, автономным учреждениям и иным некоммерческим организациям</v>
      </c>
      <c r="B682" s="20" t="s">
        <v>70</v>
      </c>
      <c r="C682" s="20" t="s">
        <v>63</v>
      </c>
      <c r="D682" s="115" t="str">
        <f>'пр.5 вед.стр.'!E711</f>
        <v xml:space="preserve">7Е 0 03 75010 </v>
      </c>
      <c r="E682" s="110" t="str">
        <f>'пр.5 вед.стр.'!F711</f>
        <v>600</v>
      </c>
      <c r="F682" s="61">
        <f>F683</f>
        <v>1317.1999999999998</v>
      </c>
    </row>
    <row r="683" spans="1:6" ht="12.75">
      <c r="A683" s="16" t="str">
        <f>'пр.5 вед.стр.'!A712</f>
        <v>Субсидии бюджетным учреждениям</v>
      </c>
      <c r="B683" s="20" t="s">
        <v>70</v>
      </c>
      <c r="C683" s="20" t="s">
        <v>63</v>
      </c>
      <c r="D683" s="115" t="str">
        <f>'пр.5 вед.стр.'!E712</f>
        <v xml:space="preserve">7Е 0 03 75010 </v>
      </c>
      <c r="E683" s="110" t="str">
        <f>'пр.5 вед.стр.'!F712</f>
        <v>610</v>
      </c>
      <c r="F683" s="61">
        <f>'пр.5 вед.стр.'!G712</f>
        <v>1317.1999999999998</v>
      </c>
    </row>
    <row r="684" spans="1:6" ht="12.75">
      <c r="A684" s="16" t="str">
        <f>'пр.5 вед.стр.'!A713</f>
        <v>Основное мероприятие "Формирование доступной среды в учреждениях культуры и искусства"</v>
      </c>
      <c r="B684" s="20" t="s">
        <v>70</v>
      </c>
      <c r="C684" s="20" t="s">
        <v>63</v>
      </c>
      <c r="D684" s="115" t="str">
        <f>'пр.5 вед.стр.'!E713</f>
        <v xml:space="preserve">7Е 0 04 00000 </v>
      </c>
      <c r="E684" s="110"/>
      <c r="F684" s="61">
        <f>F685</f>
        <v>250</v>
      </c>
    </row>
    <row r="685" spans="1:6" ht="12.75">
      <c r="A685" s="16" t="str">
        <f>'пр.5 вед.стр.'!A714</f>
        <v>Адаптация социально- значимых объектов для инвалидов и маломобильных групп населения</v>
      </c>
      <c r="B685" s="20" t="s">
        <v>70</v>
      </c>
      <c r="C685" s="20" t="s">
        <v>63</v>
      </c>
      <c r="D685" s="115" t="str">
        <f>'пр.5 вед.стр.'!E714</f>
        <v xml:space="preserve">7Е 0 04 91500 </v>
      </c>
      <c r="E685" s="110"/>
      <c r="F685" s="61">
        <f>F686</f>
        <v>250</v>
      </c>
    </row>
    <row r="686" spans="1:6" ht="25.5">
      <c r="A686" s="16" t="str">
        <f>'пр.5 вед.стр.'!A715</f>
        <v>Предоставление субсидий бюджетным, автономным учреждениям и иным некоммерческим организациям</v>
      </c>
      <c r="B686" s="20" t="s">
        <v>70</v>
      </c>
      <c r="C686" s="20" t="s">
        <v>63</v>
      </c>
      <c r="D686" s="115" t="str">
        <f>'пр.5 вед.стр.'!E715</f>
        <v xml:space="preserve">7Е 0 04 91500 </v>
      </c>
      <c r="E686" s="110" t="str">
        <f>'пр.5 вед.стр.'!F715</f>
        <v>600</v>
      </c>
      <c r="F686" s="61">
        <f>F687</f>
        <v>250</v>
      </c>
    </row>
    <row r="687" spans="1:6" ht="12.75">
      <c r="A687" s="16" t="str">
        <f>'пр.5 вед.стр.'!A716</f>
        <v>Субсидии бюджетным учреждениям</v>
      </c>
      <c r="B687" s="20" t="s">
        <v>70</v>
      </c>
      <c r="C687" s="20" t="s">
        <v>63</v>
      </c>
      <c r="D687" s="115" t="str">
        <f>'пр.5 вед.стр.'!E716</f>
        <v xml:space="preserve">7Е 0 04 91500 </v>
      </c>
      <c r="E687" s="110" t="str">
        <f>'пр.5 вед.стр.'!F716</f>
        <v>610</v>
      </c>
      <c r="F687" s="61">
        <f>'пр.5 вед.стр.'!G716</f>
        <v>250</v>
      </c>
    </row>
    <row r="688" spans="1:6" ht="25.5">
      <c r="A688" s="29" t="str">
        <f>'пр.5 вед.стр.'!A717</f>
        <v>Муниципальная программа  "Пожарная безопасность в Сусуманском городском округе на 2018- 2022 годы"</v>
      </c>
      <c r="B688" s="20" t="s">
        <v>70</v>
      </c>
      <c r="C688" s="20" t="s">
        <v>63</v>
      </c>
      <c r="D688" s="115" t="str">
        <f>'пр.5 вед.стр.'!E717</f>
        <v xml:space="preserve">7П 0 00 00000 </v>
      </c>
      <c r="E688" s="110"/>
      <c r="F688" s="61">
        <f>F689</f>
        <v>413.7</v>
      </c>
    </row>
    <row r="689" spans="1:6" ht="25.5">
      <c r="A689" s="29" t="str">
        <f>'пр.5 вед.стр.'!A718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89" s="20" t="s">
        <v>70</v>
      </c>
      <c r="C689" s="20" t="s">
        <v>63</v>
      </c>
      <c r="D689" s="115" t="str">
        <f>'пр.5 вед.стр.'!E718</f>
        <v xml:space="preserve">7П 0 01 00000 </v>
      </c>
      <c r="E689" s="110"/>
      <c r="F689" s="61">
        <f>F690+F693+F696+F699</f>
        <v>413.7</v>
      </c>
    </row>
    <row r="690" spans="1:6" ht="25.5">
      <c r="A690" s="29" t="str">
        <f>'пр.5 вед.стр.'!A719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90" s="20" t="s">
        <v>70</v>
      </c>
      <c r="C690" s="20" t="s">
        <v>63</v>
      </c>
      <c r="D690" s="115" t="str">
        <f>'пр.5 вед.стр.'!E719</f>
        <v xml:space="preserve">7П 0 01 94100 </v>
      </c>
      <c r="E690" s="110"/>
      <c r="F690" s="61">
        <f>F691</f>
        <v>295</v>
      </c>
    </row>
    <row r="691" spans="1:6" ht="25.5">
      <c r="A691" s="29" t="str">
        <f>'пр.5 вед.стр.'!A720</f>
        <v>Предоставление субсидий бюджетным, автономным учреждениям и иным некоммерческим организациям</v>
      </c>
      <c r="B691" s="20" t="s">
        <v>70</v>
      </c>
      <c r="C691" s="20" t="s">
        <v>63</v>
      </c>
      <c r="D691" s="115" t="str">
        <f>'пр.5 вед.стр.'!E720</f>
        <v xml:space="preserve">7П 0 01 94100 </v>
      </c>
      <c r="E691" s="110" t="str">
        <f>'пр.5 вед.стр.'!F720</f>
        <v>600</v>
      </c>
      <c r="F691" s="61">
        <f>F692</f>
        <v>295</v>
      </c>
    </row>
    <row r="692" spans="1:6" ht="12.75">
      <c r="A692" s="29" t="str">
        <f>'пр.5 вед.стр.'!A721</f>
        <v>Субсидии бюджетным учреждениям</v>
      </c>
      <c r="B692" s="20" t="s">
        <v>70</v>
      </c>
      <c r="C692" s="20" t="s">
        <v>63</v>
      </c>
      <c r="D692" s="115" t="str">
        <f>'пр.5 вед.стр.'!E721</f>
        <v xml:space="preserve">7П 0 01 94100 </v>
      </c>
      <c r="E692" s="110" t="str">
        <f>'пр.5 вед.стр.'!F721</f>
        <v>610</v>
      </c>
      <c r="F692" s="61">
        <f>'пр.5 вед.стр.'!G721</f>
        <v>295</v>
      </c>
    </row>
    <row r="693" spans="1:6" ht="12.75">
      <c r="A693" s="29" t="str">
        <f>'пр.5 вед.стр.'!A722</f>
        <v>Обработка сгораемых конструкций огнезащитными составами</v>
      </c>
      <c r="B693" s="20" t="s">
        <v>70</v>
      </c>
      <c r="C693" s="20" t="s">
        <v>63</v>
      </c>
      <c r="D693" s="115" t="str">
        <f>'пр.5 вед.стр.'!E722</f>
        <v xml:space="preserve">7П 0 01 94200 </v>
      </c>
      <c r="E693" s="110"/>
      <c r="F693" s="61">
        <f>F694</f>
        <v>80</v>
      </c>
    </row>
    <row r="694" spans="1:6" ht="25.5">
      <c r="A694" s="29" t="str">
        <f>'пр.5 вед.стр.'!A723</f>
        <v>Предоставление субсидий бюджетным, автономным учреждениям и иным некоммерческим организациям</v>
      </c>
      <c r="B694" s="20" t="s">
        <v>70</v>
      </c>
      <c r="C694" s="20" t="s">
        <v>63</v>
      </c>
      <c r="D694" s="115" t="str">
        <f>'пр.5 вед.стр.'!E723</f>
        <v xml:space="preserve">7П 0 01 94200 </v>
      </c>
      <c r="E694" s="110" t="str">
        <f>'пр.5 вед.стр.'!F723</f>
        <v>600</v>
      </c>
      <c r="F694" s="61">
        <f>F695</f>
        <v>80</v>
      </c>
    </row>
    <row r="695" spans="1:6" ht="12.75">
      <c r="A695" s="29" t="str">
        <f>'пр.5 вед.стр.'!A724</f>
        <v>Субсидии бюджетным учреждениям</v>
      </c>
      <c r="B695" s="20" t="s">
        <v>70</v>
      </c>
      <c r="C695" s="20" t="s">
        <v>63</v>
      </c>
      <c r="D695" s="115" t="str">
        <f>'пр.5 вед.стр.'!E724</f>
        <v xml:space="preserve">7П 0 01 94200 </v>
      </c>
      <c r="E695" s="110" t="str">
        <f>'пр.5 вед.стр.'!F724</f>
        <v>610</v>
      </c>
      <c r="F695" s="61">
        <f>'пр.5 вед.стр.'!G724</f>
        <v>80</v>
      </c>
    </row>
    <row r="696" spans="1:6" ht="12.75">
      <c r="A696" s="29" t="str">
        <f>'пр.5 вед.стр.'!A725</f>
        <v>Приобретение и заправка огнетушителей, средств индивидуальной защиты</v>
      </c>
      <c r="B696" s="20" t="s">
        <v>70</v>
      </c>
      <c r="C696" s="20" t="s">
        <v>63</v>
      </c>
      <c r="D696" s="115" t="str">
        <f>'пр.5 вед.стр.'!E725</f>
        <v xml:space="preserve">7П 0 01 94300 </v>
      </c>
      <c r="E696" s="110"/>
      <c r="F696" s="61">
        <f>F697</f>
        <v>18.7</v>
      </c>
    </row>
    <row r="697" spans="1:6" ht="25.5">
      <c r="A697" s="29" t="str">
        <f>'пр.5 вед.стр.'!A726</f>
        <v>Предоставление субсидий бюджетным, автономным учреждениям и иным некоммерческим организациям</v>
      </c>
      <c r="B697" s="20" t="s">
        <v>70</v>
      </c>
      <c r="C697" s="20" t="s">
        <v>63</v>
      </c>
      <c r="D697" s="115" t="str">
        <f>'пр.5 вед.стр.'!E726</f>
        <v xml:space="preserve">7П 0 01 94300 </v>
      </c>
      <c r="E697" s="110" t="str">
        <f>'пр.5 вед.стр.'!F726</f>
        <v>600</v>
      </c>
      <c r="F697" s="61">
        <f>F698</f>
        <v>18.7</v>
      </c>
    </row>
    <row r="698" spans="1:6" ht="12.75">
      <c r="A698" s="29" t="str">
        <f>'пр.5 вед.стр.'!A727</f>
        <v>Субсидии бюджетным учреждениям</v>
      </c>
      <c r="B698" s="20" t="s">
        <v>70</v>
      </c>
      <c r="C698" s="20" t="s">
        <v>63</v>
      </c>
      <c r="D698" s="115" t="str">
        <f>'пр.5 вед.стр.'!E727</f>
        <v xml:space="preserve">7П 0 01 94300 </v>
      </c>
      <c r="E698" s="110" t="str">
        <f>'пр.5 вед.стр.'!F727</f>
        <v>610</v>
      </c>
      <c r="F698" s="61">
        <f>'пр.5 вед.стр.'!G727</f>
        <v>18.7</v>
      </c>
    </row>
    <row r="699" spans="1:6" ht="25.5">
      <c r="A699" s="29" t="str">
        <f>'пр.5 вед.стр.'!A728</f>
        <v>Проведение проверок исправности и ремонт систем противопожарного водоснабжения, приобретение и обслуживание гидрантов</v>
      </c>
      <c r="B699" s="20" t="s">
        <v>70</v>
      </c>
      <c r="C699" s="20" t="s">
        <v>63</v>
      </c>
      <c r="D699" s="115" t="str">
        <f>'пр.5 вед.стр.'!E728</f>
        <v xml:space="preserve">7П 0 01 94500 </v>
      </c>
      <c r="E699" s="110"/>
      <c r="F699" s="61">
        <f>F700</f>
        <v>20</v>
      </c>
    </row>
    <row r="700" spans="1:6" ht="25.5">
      <c r="A700" s="29" t="str">
        <f>'пр.5 вед.стр.'!A729</f>
        <v>Предоставление субсидий бюджетным, автономным учреждениям и иным некоммерческим организациям</v>
      </c>
      <c r="B700" s="20" t="s">
        <v>70</v>
      </c>
      <c r="C700" s="20" t="s">
        <v>63</v>
      </c>
      <c r="D700" s="115" t="str">
        <f>'пр.5 вед.стр.'!E729</f>
        <v xml:space="preserve">7П 0 01 94500 </v>
      </c>
      <c r="E700" s="110" t="str">
        <f>'пр.5 вед.стр.'!F729</f>
        <v>600</v>
      </c>
      <c r="F700" s="61">
        <f>F701</f>
        <v>20</v>
      </c>
    </row>
    <row r="701" spans="1:6" ht="12.75">
      <c r="A701" s="29" t="str">
        <f>'пр.5 вед.стр.'!A730</f>
        <v>Субсидии бюджетным учреждениям</v>
      </c>
      <c r="B701" s="20" t="s">
        <v>70</v>
      </c>
      <c r="C701" s="20" t="s">
        <v>63</v>
      </c>
      <c r="D701" s="115" t="str">
        <f>'пр.5 вед.стр.'!E730</f>
        <v xml:space="preserve">7П 0 01 94500 </v>
      </c>
      <c r="E701" s="110" t="str">
        <f>'пр.5 вед.стр.'!F730</f>
        <v>610</v>
      </c>
      <c r="F701" s="61">
        <f>'пр.5 вед.стр.'!G730</f>
        <v>20</v>
      </c>
    </row>
    <row r="702" spans="1:6" ht="12.75">
      <c r="A702" s="16" t="s">
        <v>136</v>
      </c>
      <c r="B702" s="20" t="s">
        <v>70</v>
      </c>
      <c r="C702" s="20" t="s">
        <v>63</v>
      </c>
      <c r="D702" s="110" t="s">
        <v>527</v>
      </c>
      <c r="E702" s="110"/>
      <c r="F702" s="61">
        <f>F703+F706+F709</f>
        <v>11580</v>
      </c>
    </row>
    <row r="703" spans="1:6" ht="12.75">
      <c r="A703" s="16" t="s">
        <v>185</v>
      </c>
      <c r="B703" s="20" t="s">
        <v>70</v>
      </c>
      <c r="C703" s="20" t="s">
        <v>63</v>
      </c>
      <c r="D703" s="110" t="s">
        <v>528</v>
      </c>
      <c r="E703" s="110"/>
      <c r="F703" s="61">
        <f>F704</f>
        <v>11391.7</v>
      </c>
    </row>
    <row r="704" spans="1:6" ht="25.5">
      <c r="A704" s="16" t="s">
        <v>95</v>
      </c>
      <c r="B704" s="20" t="s">
        <v>70</v>
      </c>
      <c r="C704" s="20" t="s">
        <v>63</v>
      </c>
      <c r="D704" s="110" t="s">
        <v>528</v>
      </c>
      <c r="E704" s="110" t="s">
        <v>96</v>
      </c>
      <c r="F704" s="61">
        <f>F705</f>
        <v>11391.7</v>
      </c>
    </row>
    <row r="705" spans="1:6" ht="12.75">
      <c r="A705" s="16" t="s">
        <v>99</v>
      </c>
      <c r="B705" s="20" t="s">
        <v>70</v>
      </c>
      <c r="C705" s="20" t="s">
        <v>63</v>
      </c>
      <c r="D705" s="110" t="s">
        <v>528</v>
      </c>
      <c r="E705" s="110" t="s">
        <v>100</v>
      </c>
      <c r="F705" s="61">
        <f>'пр.5 вед.стр.'!G734</f>
        <v>11391.7</v>
      </c>
    </row>
    <row r="706" spans="1:6" ht="38.25">
      <c r="A706" s="16" t="s">
        <v>204</v>
      </c>
      <c r="B706" s="20" t="s">
        <v>70</v>
      </c>
      <c r="C706" s="20" t="s">
        <v>63</v>
      </c>
      <c r="D706" s="110" t="s">
        <v>529</v>
      </c>
      <c r="E706" s="110"/>
      <c r="F706" s="61">
        <f>F707</f>
        <v>176.3</v>
      </c>
    </row>
    <row r="707" spans="1:6" ht="25.5">
      <c r="A707" s="16" t="s">
        <v>95</v>
      </c>
      <c r="B707" s="20" t="s">
        <v>70</v>
      </c>
      <c r="C707" s="20" t="s">
        <v>63</v>
      </c>
      <c r="D707" s="110" t="s">
        <v>529</v>
      </c>
      <c r="E707" s="110" t="s">
        <v>96</v>
      </c>
      <c r="F707" s="61">
        <f>F708</f>
        <v>176.3</v>
      </c>
    </row>
    <row r="708" spans="1:6" ht="12.75">
      <c r="A708" s="16" t="s">
        <v>99</v>
      </c>
      <c r="B708" s="20" t="s">
        <v>70</v>
      </c>
      <c r="C708" s="20" t="s">
        <v>63</v>
      </c>
      <c r="D708" s="110" t="s">
        <v>529</v>
      </c>
      <c r="E708" s="110" t="s">
        <v>100</v>
      </c>
      <c r="F708" s="61">
        <f>'пр.5 вед.стр.'!G737</f>
        <v>176.3</v>
      </c>
    </row>
    <row r="709" spans="1:6" ht="12.75">
      <c r="A709" s="16" t="s">
        <v>176</v>
      </c>
      <c r="B709" s="20" t="s">
        <v>70</v>
      </c>
      <c r="C709" s="20" t="s">
        <v>63</v>
      </c>
      <c r="D709" s="110" t="s">
        <v>530</v>
      </c>
      <c r="E709" s="110"/>
      <c r="F709" s="61">
        <f>F710</f>
        <v>12</v>
      </c>
    </row>
    <row r="710" spans="1:6" ht="25.5">
      <c r="A710" s="16" t="s">
        <v>95</v>
      </c>
      <c r="B710" s="20" t="s">
        <v>70</v>
      </c>
      <c r="C710" s="20" t="s">
        <v>63</v>
      </c>
      <c r="D710" s="110" t="s">
        <v>530</v>
      </c>
      <c r="E710" s="110" t="s">
        <v>96</v>
      </c>
      <c r="F710" s="61">
        <f>F711</f>
        <v>12</v>
      </c>
    </row>
    <row r="711" spans="1:6" ht="12.75">
      <c r="A711" s="16" t="s">
        <v>99</v>
      </c>
      <c r="B711" s="20" t="s">
        <v>70</v>
      </c>
      <c r="C711" s="20" t="s">
        <v>63</v>
      </c>
      <c r="D711" s="110" t="s">
        <v>530</v>
      </c>
      <c r="E711" s="110" t="s">
        <v>100</v>
      </c>
      <c r="F711" s="61">
        <f>'пр.5 вед.стр.'!G740</f>
        <v>12</v>
      </c>
    </row>
    <row r="712" spans="1:6" ht="12.75">
      <c r="A712" s="16" t="s">
        <v>531</v>
      </c>
      <c r="B712" s="20" t="s">
        <v>70</v>
      </c>
      <c r="C712" s="20" t="s">
        <v>63</v>
      </c>
      <c r="D712" s="110" t="s">
        <v>532</v>
      </c>
      <c r="E712" s="110"/>
      <c r="F712" s="61">
        <f>F713+F716+F719</f>
        <v>15716.399999999998</v>
      </c>
    </row>
    <row r="713" spans="1:6" ht="12.75">
      <c r="A713" s="16" t="s">
        <v>185</v>
      </c>
      <c r="B713" s="20" t="s">
        <v>70</v>
      </c>
      <c r="C713" s="20" t="s">
        <v>63</v>
      </c>
      <c r="D713" s="110" t="s">
        <v>533</v>
      </c>
      <c r="E713" s="110"/>
      <c r="F713" s="61">
        <f>F714</f>
        <v>15555.099999999999</v>
      </c>
    </row>
    <row r="714" spans="1:6" ht="25.5">
      <c r="A714" s="16" t="s">
        <v>95</v>
      </c>
      <c r="B714" s="20" t="s">
        <v>70</v>
      </c>
      <c r="C714" s="20" t="s">
        <v>63</v>
      </c>
      <c r="D714" s="110" t="s">
        <v>533</v>
      </c>
      <c r="E714" s="110" t="s">
        <v>96</v>
      </c>
      <c r="F714" s="61">
        <f>F715</f>
        <v>15555.099999999999</v>
      </c>
    </row>
    <row r="715" spans="1:6" ht="12.75">
      <c r="A715" s="16" t="s">
        <v>99</v>
      </c>
      <c r="B715" s="20" t="s">
        <v>70</v>
      </c>
      <c r="C715" s="20" t="s">
        <v>63</v>
      </c>
      <c r="D715" s="110" t="s">
        <v>533</v>
      </c>
      <c r="E715" s="110" t="s">
        <v>100</v>
      </c>
      <c r="F715" s="61">
        <f>'пр.5 вед.стр.'!G744</f>
        <v>15555.099999999999</v>
      </c>
    </row>
    <row r="716" spans="1:6" ht="38.25">
      <c r="A716" s="16" t="s">
        <v>204</v>
      </c>
      <c r="B716" s="20" t="s">
        <v>70</v>
      </c>
      <c r="C716" s="20" t="s">
        <v>63</v>
      </c>
      <c r="D716" s="110" t="s">
        <v>534</v>
      </c>
      <c r="E716" s="110"/>
      <c r="F716" s="61">
        <f>F717</f>
        <v>129.3</v>
      </c>
    </row>
    <row r="717" spans="1:6" ht="25.5">
      <c r="A717" s="16" t="s">
        <v>95</v>
      </c>
      <c r="B717" s="20" t="s">
        <v>70</v>
      </c>
      <c r="C717" s="20" t="s">
        <v>63</v>
      </c>
      <c r="D717" s="110" t="s">
        <v>534</v>
      </c>
      <c r="E717" s="110" t="s">
        <v>96</v>
      </c>
      <c r="F717" s="61">
        <f>F718</f>
        <v>129.3</v>
      </c>
    </row>
    <row r="718" spans="1:6" ht="12.75">
      <c r="A718" s="16" t="s">
        <v>99</v>
      </c>
      <c r="B718" s="20" t="s">
        <v>70</v>
      </c>
      <c r="C718" s="20" t="s">
        <v>63</v>
      </c>
      <c r="D718" s="110" t="s">
        <v>534</v>
      </c>
      <c r="E718" s="110" t="s">
        <v>100</v>
      </c>
      <c r="F718" s="61">
        <f>'пр.5 вед.стр.'!G747</f>
        <v>129.3</v>
      </c>
    </row>
    <row r="719" spans="1:6" ht="12.75">
      <c r="A719" s="16" t="s">
        <v>176</v>
      </c>
      <c r="B719" s="20" t="s">
        <v>70</v>
      </c>
      <c r="C719" s="20" t="s">
        <v>63</v>
      </c>
      <c r="D719" s="110" t="s">
        <v>535</v>
      </c>
      <c r="E719" s="110"/>
      <c r="F719" s="61">
        <f>F720</f>
        <v>32</v>
      </c>
    </row>
    <row r="720" spans="1:6" ht="25.5">
      <c r="A720" s="16" t="s">
        <v>95</v>
      </c>
      <c r="B720" s="20" t="s">
        <v>70</v>
      </c>
      <c r="C720" s="20" t="s">
        <v>63</v>
      </c>
      <c r="D720" s="110" t="s">
        <v>535</v>
      </c>
      <c r="E720" s="110" t="s">
        <v>96</v>
      </c>
      <c r="F720" s="61">
        <f>F721</f>
        <v>32</v>
      </c>
    </row>
    <row r="721" spans="1:6" ht="12.75">
      <c r="A721" s="16" t="s">
        <v>99</v>
      </c>
      <c r="B721" s="20" t="s">
        <v>70</v>
      </c>
      <c r="C721" s="20" t="s">
        <v>63</v>
      </c>
      <c r="D721" s="110" t="s">
        <v>535</v>
      </c>
      <c r="E721" s="110" t="s">
        <v>100</v>
      </c>
      <c r="F721" s="61">
        <f>'пр.5 вед.стр.'!G750</f>
        <v>32</v>
      </c>
    </row>
    <row r="722" spans="1:6" ht="12.75">
      <c r="A722" s="16" t="s">
        <v>78</v>
      </c>
      <c r="B722" s="20" t="s">
        <v>70</v>
      </c>
      <c r="C722" s="20" t="s">
        <v>63</v>
      </c>
      <c r="D722" s="110" t="s">
        <v>536</v>
      </c>
      <c r="E722" s="110"/>
      <c r="F722" s="61">
        <f>F723</f>
        <v>1280.6999999999998</v>
      </c>
    </row>
    <row r="723" spans="1:6" ht="12.75">
      <c r="A723" s="16" t="s">
        <v>537</v>
      </c>
      <c r="B723" s="20" t="s">
        <v>70</v>
      </c>
      <c r="C723" s="20" t="s">
        <v>63</v>
      </c>
      <c r="D723" s="110" t="s">
        <v>538</v>
      </c>
      <c r="E723" s="110"/>
      <c r="F723" s="61">
        <f>F724+F726+F728</f>
        <v>1280.6999999999998</v>
      </c>
    </row>
    <row r="724" spans="1:6" ht="38.25">
      <c r="A724" s="16" t="s">
        <v>92</v>
      </c>
      <c r="B724" s="20" t="s">
        <v>70</v>
      </c>
      <c r="C724" s="20" t="s">
        <v>63</v>
      </c>
      <c r="D724" s="110" t="s">
        <v>538</v>
      </c>
      <c r="E724" s="110" t="s">
        <v>93</v>
      </c>
      <c r="F724" s="61">
        <f>F725</f>
        <v>1054.1</v>
      </c>
    </row>
    <row r="725" spans="1:6" ht="12.75">
      <c r="A725" s="16" t="s">
        <v>208</v>
      </c>
      <c r="B725" s="20" t="s">
        <v>70</v>
      </c>
      <c r="C725" s="20" t="s">
        <v>63</v>
      </c>
      <c r="D725" s="110" t="s">
        <v>538</v>
      </c>
      <c r="E725" s="110" t="s">
        <v>209</v>
      </c>
      <c r="F725" s="61">
        <f>'пр.5 вед.стр.'!G754</f>
        <v>1054.1</v>
      </c>
    </row>
    <row r="726" spans="1:6" ht="12.75">
      <c r="A726" s="16" t="s">
        <v>333</v>
      </c>
      <c r="B726" s="20" t="s">
        <v>70</v>
      </c>
      <c r="C726" s="20" t="s">
        <v>63</v>
      </c>
      <c r="D726" s="110" t="s">
        <v>538</v>
      </c>
      <c r="E726" s="110" t="s">
        <v>94</v>
      </c>
      <c r="F726" s="61">
        <f>F727</f>
        <v>224.5</v>
      </c>
    </row>
    <row r="727" spans="1:6" ht="12.75">
      <c r="A727" s="16" t="s">
        <v>608</v>
      </c>
      <c r="B727" s="20" t="s">
        <v>70</v>
      </c>
      <c r="C727" s="20" t="s">
        <v>63</v>
      </c>
      <c r="D727" s="110" t="s">
        <v>538</v>
      </c>
      <c r="E727" s="110" t="s">
        <v>91</v>
      </c>
      <c r="F727" s="61">
        <f>'пр.5 вед.стр.'!G756</f>
        <v>224.5</v>
      </c>
    </row>
    <row r="728" spans="1:6" ht="12.75">
      <c r="A728" s="16" t="s">
        <v>110</v>
      </c>
      <c r="B728" s="20" t="s">
        <v>70</v>
      </c>
      <c r="C728" s="20" t="s">
        <v>63</v>
      </c>
      <c r="D728" s="110" t="s">
        <v>538</v>
      </c>
      <c r="E728" s="110" t="s">
        <v>111</v>
      </c>
      <c r="F728" s="61">
        <f>F729</f>
        <v>2.0999999999999996</v>
      </c>
    </row>
    <row r="729" spans="1:6" ht="12.75">
      <c r="A729" s="16" t="s">
        <v>113</v>
      </c>
      <c r="B729" s="20" t="s">
        <v>70</v>
      </c>
      <c r="C729" s="20" t="s">
        <v>63</v>
      </c>
      <c r="D729" s="110" t="s">
        <v>538</v>
      </c>
      <c r="E729" s="110" t="s">
        <v>114</v>
      </c>
      <c r="F729" s="61">
        <f>'пр.5 вед.стр.'!G758</f>
        <v>2.0999999999999996</v>
      </c>
    </row>
    <row r="730" spans="1:6" ht="12.75">
      <c r="A730" s="15" t="s">
        <v>83</v>
      </c>
      <c r="B730" s="32" t="s">
        <v>70</v>
      </c>
      <c r="C730" s="32" t="s">
        <v>65</v>
      </c>
      <c r="D730" s="113"/>
      <c r="E730" s="113"/>
      <c r="F730" s="174">
        <f>F732+F739+F744+F749+F770</f>
        <v>14220.3</v>
      </c>
    </row>
    <row r="731" spans="1:6" ht="12.75">
      <c r="A731" s="16" t="s">
        <v>478</v>
      </c>
      <c r="B731" s="20" t="s">
        <v>70</v>
      </c>
      <c r="C731" s="20" t="s">
        <v>65</v>
      </c>
      <c r="D731" s="115" t="s">
        <v>479</v>
      </c>
      <c r="E731" s="110"/>
      <c r="F731" s="61">
        <f>F732+F739+F744</f>
        <v>313.5</v>
      </c>
    </row>
    <row r="732" spans="1:6" ht="12.75">
      <c r="A732" s="29" t="str">
        <f>'пр.5 вед.стр.'!A761</f>
        <v>Муниципальная программа "Развитие культуры в Сусуманском городском округе на 2018- 2022 годы"</v>
      </c>
      <c r="B732" s="20" t="s">
        <v>70</v>
      </c>
      <c r="C732" s="20" t="s">
        <v>65</v>
      </c>
      <c r="D732" s="115" t="str">
        <f>'пр.5 вед.стр.'!E761</f>
        <v xml:space="preserve">7Е 0 00 00000 </v>
      </c>
      <c r="E732" s="110"/>
      <c r="F732" s="61">
        <f>F733</f>
        <v>261.6</v>
      </c>
    </row>
    <row r="733" spans="1:6" ht="12.75">
      <c r="A733" s="29" t="str">
        <f>'пр.5 вед.стр.'!A762</f>
        <v>Основное мероприятие "Сохранение культурного наследия и творческого потенциала"</v>
      </c>
      <c r="B733" s="20" t="s">
        <v>70</v>
      </c>
      <c r="C733" s="20" t="s">
        <v>65</v>
      </c>
      <c r="D733" s="115" t="str">
        <f>'пр.5 вед.стр.'!E762</f>
        <v xml:space="preserve">7Е 0 02 00000 </v>
      </c>
      <c r="E733" s="110"/>
      <c r="F733" s="61">
        <f>F734</f>
        <v>261.6</v>
      </c>
    </row>
    <row r="734" spans="1:6" ht="12.75">
      <c r="A734" s="29" t="str">
        <f>'пр.5 вед.стр.'!A763</f>
        <v>Проведение и участие в конкурсах, фестивалях, выставках, концертах, мастер- классах</v>
      </c>
      <c r="B734" s="20" t="s">
        <v>70</v>
      </c>
      <c r="C734" s="20" t="s">
        <v>65</v>
      </c>
      <c r="D734" s="115" t="s">
        <v>348</v>
      </c>
      <c r="E734" s="113"/>
      <c r="F734" s="61">
        <f>F735+F737</f>
        <v>261.6</v>
      </c>
    </row>
    <row r="735" spans="1:6" ht="38.25">
      <c r="A735" s="29" t="str">
        <f>'пр.5 вед.стр.'!A764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35" s="20" t="s">
        <v>70</v>
      </c>
      <c r="C735" s="20" t="s">
        <v>65</v>
      </c>
      <c r="D735" s="115" t="str">
        <f>'пр.5 вед.стр.'!E764</f>
        <v xml:space="preserve">7Е 0 02 96120 </v>
      </c>
      <c r="E735" s="110" t="str">
        <f>'пр.5 вед.стр.'!F764</f>
        <v>100</v>
      </c>
      <c r="F735" s="61">
        <f>F736</f>
        <v>53.2</v>
      </c>
    </row>
    <row r="736" spans="1:6" ht="12.75">
      <c r="A736" s="29" t="str">
        <f>'пр.5 вед.стр.'!A765</f>
        <v>Расходы на выплаты персоналу казенных учреждений</v>
      </c>
      <c r="B736" s="20" t="s">
        <v>70</v>
      </c>
      <c r="C736" s="20" t="s">
        <v>65</v>
      </c>
      <c r="D736" s="115" t="str">
        <f>'пр.5 вед.стр.'!E765</f>
        <v xml:space="preserve">7Е 0 02 96120 </v>
      </c>
      <c r="E736" s="110" t="str">
        <f>'пр.5 вед.стр.'!F765</f>
        <v>110</v>
      </c>
      <c r="F736" s="61">
        <f>'пр.5 вед.стр.'!G765</f>
        <v>53.2</v>
      </c>
    </row>
    <row r="737" spans="1:6" ht="12.75">
      <c r="A737" s="29" t="str">
        <f>'пр.5 вед.стр.'!A766</f>
        <v>Закупка товаров, работ и услуг для обеспечения государственных (муниципальных) нужд</v>
      </c>
      <c r="B737" s="20" t="s">
        <v>70</v>
      </c>
      <c r="C737" s="20" t="s">
        <v>65</v>
      </c>
      <c r="D737" s="115" t="str">
        <f>'пр.5 вед.стр.'!E766</f>
        <v xml:space="preserve">7Е 0 02 96120 </v>
      </c>
      <c r="E737" s="110" t="str">
        <f>'пр.5 вед.стр.'!F766</f>
        <v>200</v>
      </c>
      <c r="F737" s="61">
        <f>F738</f>
        <v>208.4</v>
      </c>
    </row>
    <row r="738" spans="1:6" ht="12.75">
      <c r="A738" s="16" t="s">
        <v>608</v>
      </c>
      <c r="B738" s="20" t="s">
        <v>70</v>
      </c>
      <c r="C738" s="20" t="s">
        <v>65</v>
      </c>
      <c r="D738" s="115" t="str">
        <f>'пр.5 вед.стр.'!E767</f>
        <v xml:space="preserve">7Е 0 02 96120 </v>
      </c>
      <c r="E738" s="110" t="str">
        <f>'пр.5 вед.стр.'!F767</f>
        <v>240</v>
      </c>
      <c r="F738" s="61">
        <f>'пр.5 вед.стр.'!G767</f>
        <v>208.4</v>
      </c>
    </row>
    <row r="739" spans="1:6" ht="25.5">
      <c r="A739" s="29" t="str">
        <f>'пр.5 вед.стр.'!A768</f>
        <v>Муниципальная программа  "Пожарная безопасность в Сусуманском городском округе на 2018- 2022 годы"</v>
      </c>
      <c r="B739" s="20" t="s">
        <v>70</v>
      </c>
      <c r="C739" s="20" t="s">
        <v>65</v>
      </c>
      <c r="D739" s="115" t="str">
        <f>'пр.5 вед.стр.'!E768</f>
        <v xml:space="preserve">7П 0 00 00000 </v>
      </c>
      <c r="E739" s="110"/>
      <c r="F739" s="61">
        <f>F740</f>
        <v>36.4</v>
      </c>
    </row>
    <row r="740" spans="1:6" ht="25.5">
      <c r="A740" s="29" t="str">
        <f>'пр.5 вед.стр.'!A769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40" s="20" t="s">
        <v>70</v>
      </c>
      <c r="C740" s="20" t="s">
        <v>65</v>
      </c>
      <c r="D740" s="115" t="str">
        <f>'пр.5 вед.стр.'!E769</f>
        <v xml:space="preserve">7П 0 01 00000 </v>
      </c>
      <c r="E740" s="110"/>
      <c r="F740" s="61">
        <f>F741</f>
        <v>36.4</v>
      </c>
    </row>
    <row r="741" spans="1:6" ht="12.75">
      <c r="A741" s="29" t="str">
        <f>'пр.5 вед.стр.'!A770</f>
        <v>Приобретение и заправка огнетушителей, средств индивидуальной защиты</v>
      </c>
      <c r="B741" s="20" t="s">
        <v>70</v>
      </c>
      <c r="C741" s="20" t="s">
        <v>65</v>
      </c>
      <c r="D741" s="115" t="str">
        <f>'пр.5 вед.стр.'!E770</f>
        <v xml:space="preserve">7П 0 01 94300 </v>
      </c>
      <c r="E741" s="110"/>
      <c r="F741" s="61">
        <f>F742</f>
        <v>36.4</v>
      </c>
    </row>
    <row r="742" spans="1:6" ht="12.75">
      <c r="A742" s="29" t="str">
        <f>'пр.5 вед.стр.'!A771</f>
        <v>Закупка товаров, работ и услуг для обеспечения государственных (муниципальных) нужд</v>
      </c>
      <c r="B742" s="20" t="s">
        <v>70</v>
      </c>
      <c r="C742" s="20" t="s">
        <v>65</v>
      </c>
      <c r="D742" s="115" t="str">
        <f>'пр.5 вед.стр.'!E771</f>
        <v xml:space="preserve">7П 0 01 94300 </v>
      </c>
      <c r="E742" s="110" t="str">
        <f>'пр.5 вед.стр.'!F771</f>
        <v>200</v>
      </c>
      <c r="F742" s="61">
        <f>F743</f>
        <v>36.4</v>
      </c>
    </row>
    <row r="743" spans="1:6" ht="12.75">
      <c r="A743" s="16" t="s">
        <v>608</v>
      </c>
      <c r="B743" s="20" t="s">
        <v>70</v>
      </c>
      <c r="C743" s="20" t="s">
        <v>65</v>
      </c>
      <c r="D743" s="115" t="str">
        <f>'пр.5 вед.стр.'!E772</f>
        <v xml:space="preserve">7П 0 01 94300 </v>
      </c>
      <c r="E743" s="110" t="str">
        <f>'пр.5 вед.стр.'!F772</f>
        <v>240</v>
      </c>
      <c r="F743" s="61">
        <f>'пр.5 вед.стр.'!G772</f>
        <v>36.4</v>
      </c>
    </row>
    <row r="744" spans="1:6" ht="38.25">
      <c r="A744" s="16" t="str">
        <f>'пр.5 вед.стр.'!A773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744" s="20" t="s">
        <v>70</v>
      </c>
      <c r="C744" s="20" t="s">
        <v>65</v>
      </c>
      <c r="D744" s="110" t="str">
        <f>'пр.5 вед.стр.'!E773</f>
        <v>7L 0 00 00000</v>
      </c>
      <c r="E744" s="111"/>
      <c r="F744" s="61">
        <f>F745</f>
        <v>15.5</v>
      </c>
    </row>
    <row r="745" spans="1:6" ht="12.75">
      <c r="A745" s="16" t="str">
        <f>'пр.5 вед.стр.'!A774</f>
        <v>Основное мероприятие "Гармонизация межнациональных отношений"</v>
      </c>
      <c r="B745" s="20" t="s">
        <v>70</v>
      </c>
      <c r="C745" s="20" t="s">
        <v>65</v>
      </c>
      <c r="D745" s="110" t="str">
        <f>'пр.5 вед.стр.'!E774</f>
        <v>7L 0 03 00000</v>
      </c>
      <c r="E745" s="111"/>
      <c r="F745" s="61">
        <f>F746</f>
        <v>15.5</v>
      </c>
    </row>
    <row r="746" spans="1:6" ht="25.5">
      <c r="A746" s="16" t="str">
        <f>'пр.5 вед.стр.'!A775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746" s="20" t="s">
        <v>70</v>
      </c>
      <c r="C746" s="20" t="s">
        <v>65</v>
      </c>
      <c r="D746" s="110" t="str">
        <f>'пр.5 вед.стр.'!E775</f>
        <v>7L 0 03 97200</v>
      </c>
      <c r="E746" s="111"/>
      <c r="F746" s="61">
        <f>F747</f>
        <v>15.5</v>
      </c>
    </row>
    <row r="747" spans="1:6" ht="12.75">
      <c r="A747" s="16" t="str">
        <f>'пр.5 вед.стр.'!A776</f>
        <v>Закупка товаров, работ и услуг для обеспечения государственных (муниципальных) нужд</v>
      </c>
      <c r="B747" s="20" t="s">
        <v>70</v>
      </c>
      <c r="C747" s="20" t="s">
        <v>65</v>
      </c>
      <c r="D747" s="110" t="str">
        <f>'пр.5 вед.стр.'!E776</f>
        <v>7L 0 03 97200</v>
      </c>
      <c r="E747" s="110" t="str">
        <f>'пр.5 вед.стр.'!F776</f>
        <v>200</v>
      </c>
      <c r="F747" s="61">
        <f>F748</f>
        <v>15.5</v>
      </c>
    </row>
    <row r="748" spans="1:6" ht="12.75">
      <c r="A748" s="16" t="s">
        <v>608</v>
      </c>
      <c r="B748" s="20" t="s">
        <v>70</v>
      </c>
      <c r="C748" s="20" t="s">
        <v>65</v>
      </c>
      <c r="D748" s="110" t="str">
        <f>'пр.5 вед.стр.'!E777</f>
        <v>7L 0 03 97200</v>
      </c>
      <c r="E748" s="110" t="str">
        <f>'пр.5 вед.стр.'!F777</f>
        <v>240</v>
      </c>
      <c r="F748" s="61">
        <f>'пр.5 вед.стр.'!G777</f>
        <v>15.5</v>
      </c>
    </row>
    <row r="749" spans="1:6" ht="25.5">
      <c r="A749" s="16" t="s">
        <v>277</v>
      </c>
      <c r="B749" s="20" t="s">
        <v>70</v>
      </c>
      <c r="C749" s="20" t="s">
        <v>65</v>
      </c>
      <c r="D749" s="110" t="s">
        <v>175</v>
      </c>
      <c r="E749" s="110"/>
      <c r="F749" s="61">
        <f>F750</f>
        <v>6886.900000000001</v>
      </c>
    </row>
    <row r="750" spans="1:6" ht="12.75">
      <c r="A750" s="16" t="s">
        <v>47</v>
      </c>
      <c r="B750" s="20" t="s">
        <v>70</v>
      </c>
      <c r="C750" s="20" t="s">
        <v>65</v>
      </c>
      <c r="D750" s="110" t="s">
        <v>181</v>
      </c>
      <c r="E750" s="110"/>
      <c r="F750" s="61">
        <f>F751+F754+F759+F762+F767</f>
        <v>6886.900000000001</v>
      </c>
    </row>
    <row r="751" spans="1:6" ht="12.75">
      <c r="A751" s="16" t="s">
        <v>177</v>
      </c>
      <c r="B751" s="20" t="s">
        <v>70</v>
      </c>
      <c r="C751" s="20" t="s">
        <v>65</v>
      </c>
      <c r="D751" s="110" t="s">
        <v>182</v>
      </c>
      <c r="E751" s="110"/>
      <c r="F751" s="61">
        <f>F752</f>
        <v>5775.1</v>
      </c>
    </row>
    <row r="752" spans="1:6" ht="38.25">
      <c r="A752" s="16" t="s">
        <v>92</v>
      </c>
      <c r="B752" s="20" t="s">
        <v>70</v>
      </c>
      <c r="C752" s="20" t="s">
        <v>65</v>
      </c>
      <c r="D752" s="110" t="s">
        <v>182</v>
      </c>
      <c r="E752" s="110" t="s">
        <v>93</v>
      </c>
      <c r="F752" s="61">
        <f>F753</f>
        <v>5775.1</v>
      </c>
    </row>
    <row r="753" spans="1:6" ht="12.75">
      <c r="A753" s="16" t="s">
        <v>89</v>
      </c>
      <c r="B753" s="20" t="s">
        <v>70</v>
      </c>
      <c r="C753" s="20" t="s">
        <v>65</v>
      </c>
      <c r="D753" s="110" t="s">
        <v>182</v>
      </c>
      <c r="E753" s="110" t="s">
        <v>90</v>
      </c>
      <c r="F753" s="61">
        <f>'пр.5 вед.стр.'!G782</f>
        <v>5775.1</v>
      </c>
    </row>
    <row r="754" spans="1:6" ht="12.75">
      <c r="A754" s="16" t="s">
        <v>178</v>
      </c>
      <c r="B754" s="20" t="s">
        <v>70</v>
      </c>
      <c r="C754" s="20" t="s">
        <v>65</v>
      </c>
      <c r="D754" s="110" t="s">
        <v>183</v>
      </c>
      <c r="E754" s="110"/>
      <c r="F754" s="61">
        <f>F755+F757</f>
        <v>387.70000000000005</v>
      </c>
    </row>
    <row r="755" spans="1:6" ht="12.75">
      <c r="A755" s="16" t="s">
        <v>333</v>
      </c>
      <c r="B755" s="20" t="s">
        <v>70</v>
      </c>
      <c r="C755" s="20" t="s">
        <v>65</v>
      </c>
      <c r="D755" s="110" t="s">
        <v>183</v>
      </c>
      <c r="E755" s="110" t="s">
        <v>94</v>
      </c>
      <c r="F755" s="61">
        <f>F756</f>
        <v>329.6</v>
      </c>
    </row>
    <row r="756" spans="1:6" ht="12.75">
      <c r="A756" s="16" t="s">
        <v>608</v>
      </c>
      <c r="B756" s="20" t="s">
        <v>70</v>
      </c>
      <c r="C756" s="20" t="s">
        <v>65</v>
      </c>
      <c r="D756" s="110" t="s">
        <v>183</v>
      </c>
      <c r="E756" s="110" t="s">
        <v>91</v>
      </c>
      <c r="F756" s="61">
        <f>'пр.5 вед.стр.'!G788</f>
        <v>329.6</v>
      </c>
    </row>
    <row r="757" spans="1:6" ht="12.75">
      <c r="A757" s="16" t="s">
        <v>110</v>
      </c>
      <c r="B757" s="20" t="s">
        <v>70</v>
      </c>
      <c r="C757" s="20" t="s">
        <v>65</v>
      </c>
      <c r="D757" s="110" t="s">
        <v>183</v>
      </c>
      <c r="E757" s="110" t="s">
        <v>111</v>
      </c>
      <c r="F757" s="61">
        <f>F758</f>
        <v>58.099999999999994</v>
      </c>
    </row>
    <row r="758" spans="1:6" ht="12.75">
      <c r="A758" s="16" t="s">
        <v>113</v>
      </c>
      <c r="B758" s="20" t="s">
        <v>70</v>
      </c>
      <c r="C758" s="20" t="s">
        <v>65</v>
      </c>
      <c r="D758" s="110" t="s">
        <v>183</v>
      </c>
      <c r="E758" s="110" t="s">
        <v>114</v>
      </c>
      <c r="F758" s="61">
        <f>'пр.5 вед.стр.'!G790</f>
        <v>58.099999999999994</v>
      </c>
    </row>
    <row r="759" spans="1:6" ht="38.25">
      <c r="A759" s="16" t="s">
        <v>204</v>
      </c>
      <c r="B759" s="20" t="s">
        <v>70</v>
      </c>
      <c r="C759" s="20" t="s">
        <v>65</v>
      </c>
      <c r="D759" s="110" t="s">
        <v>462</v>
      </c>
      <c r="E759" s="110"/>
      <c r="F759" s="61">
        <f>F760</f>
        <v>281.1</v>
      </c>
    </row>
    <row r="760" spans="1:6" ht="38.25">
      <c r="A760" s="16" t="s">
        <v>92</v>
      </c>
      <c r="B760" s="20" t="s">
        <v>70</v>
      </c>
      <c r="C760" s="20" t="s">
        <v>65</v>
      </c>
      <c r="D760" s="110" t="s">
        <v>462</v>
      </c>
      <c r="E760" s="110" t="s">
        <v>93</v>
      </c>
      <c r="F760" s="61">
        <f>F761</f>
        <v>281.1</v>
      </c>
    </row>
    <row r="761" spans="1:6" ht="12.75">
      <c r="A761" s="16" t="s">
        <v>89</v>
      </c>
      <c r="B761" s="20" t="s">
        <v>70</v>
      </c>
      <c r="C761" s="20" t="s">
        <v>65</v>
      </c>
      <c r="D761" s="110" t="s">
        <v>462</v>
      </c>
      <c r="E761" s="110" t="s">
        <v>90</v>
      </c>
      <c r="F761" s="61">
        <f>'пр.5 вед.стр.'!G793</f>
        <v>281.1</v>
      </c>
    </row>
    <row r="762" spans="1:6" ht="12.75">
      <c r="A762" s="16" t="s">
        <v>176</v>
      </c>
      <c r="B762" s="20" t="s">
        <v>70</v>
      </c>
      <c r="C762" s="20" t="s">
        <v>65</v>
      </c>
      <c r="D762" s="110" t="s">
        <v>463</v>
      </c>
      <c r="E762" s="110"/>
      <c r="F762" s="61">
        <f>F763+F765</f>
        <v>316</v>
      </c>
    </row>
    <row r="763" spans="1:6" ht="38.25">
      <c r="A763" s="16" t="s">
        <v>92</v>
      </c>
      <c r="B763" s="20" t="s">
        <v>70</v>
      </c>
      <c r="C763" s="20" t="s">
        <v>65</v>
      </c>
      <c r="D763" s="110" t="s">
        <v>463</v>
      </c>
      <c r="E763" s="110" t="s">
        <v>93</v>
      </c>
      <c r="F763" s="61">
        <f>F764</f>
        <v>32</v>
      </c>
    </row>
    <row r="764" spans="1:6" ht="12.75">
      <c r="A764" s="16" t="s">
        <v>89</v>
      </c>
      <c r="B764" s="20" t="s">
        <v>70</v>
      </c>
      <c r="C764" s="20" t="s">
        <v>65</v>
      </c>
      <c r="D764" s="110" t="s">
        <v>463</v>
      </c>
      <c r="E764" s="110" t="s">
        <v>90</v>
      </c>
      <c r="F764" s="61">
        <f>'пр.5 вед.стр.'!G796</f>
        <v>32</v>
      </c>
    </row>
    <row r="765" spans="1:6" ht="12.75">
      <c r="A765" s="16" t="str">
        <f>'пр.5 вед.стр.'!A797</f>
        <v>Социальное обеспечение и иные выплаты населению</v>
      </c>
      <c r="B765" s="20" t="s">
        <v>70</v>
      </c>
      <c r="C765" s="20" t="s">
        <v>65</v>
      </c>
      <c r="D765" s="110" t="s">
        <v>463</v>
      </c>
      <c r="E765" s="142">
        <f>'пр.5 вед.стр.'!F797</f>
        <v>300</v>
      </c>
      <c r="F765" s="61">
        <f>F766</f>
        <v>284</v>
      </c>
    </row>
    <row r="766" spans="1:6" ht="12.75">
      <c r="A766" s="16" t="str">
        <f>'пр.5 вед.стр.'!A798</f>
        <v>Социальные выплаты гражданам, кроме публичных нормативных социальных выплат</v>
      </c>
      <c r="B766" s="20" t="s">
        <v>70</v>
      </c>
      <c r="C766" s="20" t="s">
        <v>65</v>
      </c>
      <c r="D766" s="110" t="s">
        <v>463</v>
      </c>
      <c r="E766" s="142">
        <f>'пр.5 вед.стр.'!F798</f>
        <v>320</v>
      </c>
      <c r="F766" s="61">
        <f>'пр.5 вед.стр.'!G798</f>
        <v>284</v>
      </c>
    </row>
    <row r="767" spans="1:6" ht="25.5">
      <c r="A767" s="16" t="str">
        <f>'пр.5 вед.стр.'!A783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767" s="20" t="s">
        <v>70</v>
      </c>
      <c r="C767" s="20" t="s">
        <v>65</v>
      </c>
      <c r="D767" s="110" t="str">
        <f>'пр.5 вед.стр.'!E783</f>
        <v>Р2 4 00 55500</v>
      </c>
      <c r="E767" s="142"/>
      <c r="F767" s="61">
        <f>F768</f>
        <v>127</v>
      </c>
    </row>
    <row r="768" spans="1:6" ht="38.25">
      <c r="A768" s="16" t="str">
        <f>'пр.5 вед.стр.'!A784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68" s="20" t="s">
        <v>70</v>
      </c>
      <c r="C768" s="20" t="s">
        <v>65</v>
      </c>
      <c r="D768" s="110" t="str">
        <f>'пр.5 вед.стр.'!E784</f>
        <v>Р2 4 00 55500</v>
      </c>
      <c r="E768" s="110" t="s">
        <v>93</v>
      </c>
      <c r="F768" s="61">
        <f>F769</f>
        <v>127</v>
      </c>
    </row>
    <row r="769" spans="1:6" ht="12.75">
      <c r="A769" s="16" t="str">
        <f>'пр.5 вед.стр.'!A785</f>
        <v>Расходы на выплаты персоналу государственных (муниципальных) органов</v>
      </c>
      <c r="B769" s="20" t="s">
        <v>70</v>
      </c>
      <c r="C769" s="20" t="s">
        <v>65</v>
      </c>
      <c r="D769" s="110" t="str">
        <f>'пр.5 вед.стр.'!E785</f>
        <v>Р2 4 00 55500</v>
      </c>
      <c r="E769" s="110" t="s">
        <v>90</v>
      </c>
      <c r="F769" s="61">
        <f>'пр.5 вед.стр.'!G785</f>
        <v>127</v>
      </c>
    </row>
    <row r="770" spans="1:6" ht="12.75">
      <c r="A770" s="16" t="s">
        <v>515</v>
      </c>
      <c r="B770" s="20" t="s">
        <v>70</v>
      </c>
      <c r="C770" s="20" t="s">
        <v>65</v>
      </c>
      <c r="D770" s="110" t="s">
        <v>516</v>
      </c>
      <c r="E770" s="110"/>
      <c r="F770" s="61">
        <f>F771+F778+F781</f>
        <v>7019.9</v>
      </c>
    </row>
    <row r="771" spans="1:6" ht="12.75">
      <c r="A771" s="16" t="s">
        <v>263</v>
      </c>
      <c r="B771" s="20" t="s">
        <v>70</v>
      </c>
      <c r="C771" s="20" t="s">
        <v>65</v>
      </c>
      <c r="D771" s="110" t="s">
        <v>517</v>
      </c>
      <c r="E771" s="110"/>
      <c r="F771" s="61">
        <f>F772+F774+F776</f>
        <v>6688.9</v>
      </c>
    </row>
    <row r="772" spans="1:6" ht="38.25">
      <c r="A772" s="16" t="s">
        <v>92</v>
      </c>
      <c r="B772" s="20" t="s">
        <v>70</v>
      </c>
      <c r="C772" s="20" t="s">
        <v>65</v>
      </c>
      <c r="D772" s="110" t="s">
        <v>517</v>
      </c>
      <c r="E772" s="110" t="s">
        <v>93</v>
      </c>
      <c r="F772" s="61">
        <f>F773</f>
        <v>6225.4</v>
      </c>
    </row>
    <row r="773" spans="1:6" ht="12.75">
      <c r="A773" s="16" t="s">
        <v>208</v>
      </c>
      <c r="B773" s="20" t="s">
        <v>70</v>
      </c>
      <c r="C773" s="20" t="s">
        <v>65</v>
      </c>
      <c r="D773" s="110" t="s">
        <v>517</v>
      </c>
      <c r="E773" s="110" t="s">
        <v>209</v>
      </c>
      <c r="F773" s="61">
        <f>'пр.5 вед.стр.'!G802</f>
        <v>6225.4</v>
      </c>
    </row>
    <row r="774" spans="1:6" ht="12.75">
      <c r="A774" s="16" t="s">
        <v>333</v>
      </c>
      <c r="B774" s="20" t="s">
        <v>70</v>
      </c>
      <c r="C774" s="20" t="s">
        <v>65</v>
      </c>
      <c r="D774" s="110" t="s">
        <v>517</v>
      </c>
      <c r="E774" s="110" t="s">
        <v>94</v>
      </c>
      <c r="F774" s="61">
        <f>F775</f>
        <v>453.5</v>
      </c>
    </row>
    <row r="775" spans="1:6" ht="12.75">
      <c r="A775" s="16" t="s">
        <v>608</v>
      </c>
      <c r="B775" s="20" t="s">
        <v>70</v>
      </c>
      <c r="C775" s="20" t="s">
        <v>65</v>
      </c>
      <c r="D775" s="110" t="s">
        <v>517</v>
      </c>
      <c r="E775" s="110" t="s">
        <v>91</v>
      </c>
      <c r="F775" s="61">
        <f>'пр.5 вед.стр.'!G804</f>
        <v>453.5</v>
      </c>
    </row>
    <row r="776" spans="1:6" ht="12.75">
      <c r="A776" s="16" t="s">
        <v>110</v>
      </c>
      <c r="B776" s="20" t="s">
        <v>70</v>
      </c>
      <c r="C776" s="20" t="s">
        <v>65</v>
      </c>
      <c r="D776" s="110" t="s">
        <v>517</v>
      </c>
      <c r="E776" s="110" t="s">
        <v>111</v>
      </c>
      <c r="F776" s="61">
        <f>F777</f>
        <v>10</v>
      </c>
    </row>
    <row r="777" spans="1:6" ht="12.75">
      <c r="A777" s="16" t="s">
        <v>113</v>
      </c>
      <c r="B777" s="20" t="s">
        <v>70</v>
      </c>
      <c r="C777" s="20" t="s">
        <v>65</v>
      </c>
      <c r="D777" s="110" t="s">
        <v>517</v>
      </c>
      <c r="E777" s="110" t="s">
        <v>114</v>
      </c>
      <c r="F777" s="61">
        <f>'пр.5 вед.стр.'!G806</f>
        <v>10</v>
      </c>
    </row>
    <row r="778" spans="1:6" ht="38.25">
      <c r="A778" s="16" t="s">
        <v>204</v>
      </c>
      <c r="B778" s="20" t="s">
        <v>70</v>
      </c>
      <c r="C778" s="20" t="s">
        <v>65</v>
      </c>
      <c r="D778" s="110" t="s">
        <v>518</v>
      </c>
      <c r="E778" s="110"/>
      <c r="F778" s="61">
        <f>F779</f>
        <v>330</v>
      </c>
    </row>
    <row r="779" spans="1:6" ht="38.25">
      <c r="A779" s="16" t="s">
        <v>92</v>
      </c>
      <c r="B779" s="20" t="s">
        <v>70</v>
      </c>
      <c r="C779" s="20" t="s">
        <v>65</v>
      </c>
      <c r="D779" s="110" t="s">
        <v>518</v>
      </c>
      <c r="E779" s="110" t="s">
        <v>93</v>
      </c>
      <c r="F779" s="61">
        <f>F780</f>
        <v>330</v>
      </c>
    </row>
    <row r="780" spans="1:6" ht="12.75">
      <c r="A780" s="16" t="s">
        <v>208</v>
      </c>
      <c r="B780" s="20" t="s">
        <v>70</v>
      </c>
      <c r="C780" s="20" t="s">
        <v>65</v>
      </c>
      <c r="D780" s="110" t="s">
        <v>518</v>
      </c>
      <c r="E780" s="110" t="s">
        <v>209</v>
      </c>
      <c r="F780" s="61">
        <f>'пр.5 вед.стр.'!G809</f>
        <v>330</v>
      </c>
    </row>
    <row r="781" spans="1:6" ht="12.75">
      <c r="A781" s="16" t="s">
        <v>176</v>
      </c>
      <c r="B781" s="20" t="s">
        <v>70</v>
      </c>
      <c r="C781" s="20" t="s">
        <v>65</v>
      </c>
      <c r="D781" s="110" t="s">
        <v>519</v>
      </c>
      <c r="E781" s="110"/>
      <c r="F781" s="61">
        <f>F782</f>
        <v>1</v>
      </c>
    </row>
    <row r="782" spans="1:6" ht="38.25">
      <c r="A782" s="16" t="s">
        <v>92</v>
      </c>
      <c r="B782" s="20" t="s">
        <v>70</v>
      </c>
      <c r="C782" s="20" t="s">
        <v>65</v>
      </c>
      <c r="D782" s="110" t="s">
        <v>519</v>
      </c>
      <c r="E782" s="110" t="s">
        <v>93</v>
      </c>
      <c r="F782" s="61">
        <f>F783</f>
        <v>1</v>
      </c>
    </row>
    <row r="783" spans="1:6" ht="12.75">
      <c r="A783" s="16" t="s">
        <v>208</v>
      </c>
      <c r="B783" s="20" t="s">
        <v>70</v>
      </c>
      <c r="C783" s="20" t="s">
        <v>65</v>
      </c>
      <c r="D783" s="110" t="s">
        <v>519</v>
      </c>
      <c r="E783" s="110" t="s">
        <v>209</v>
      </c>
      <c r="F783" s="61">
        <f>'пр.5 вед.стр.'!G812</f>
        <v>1</v>
      </c>
    </row>
    <row r="784" spans="1:6" ht="12.75">
      <c r="A784" s="15" t="s">
        <v>59</v>
      </c>
      <c r="B784" s="32" t="s">
        <v>68</v>
      </c>
      <c r="C784" s="32" t="s">
        <v>34</v>
      </c>
      <c r="D784" s="110"/>
      <c r="E784" s="110"/>
      <c r="F784" s="174">
        <f>F786+F790+F825</f>
        <v>47596.3</v>
      </c>
    </row>
    <row r="785" spans="1:6" ht="12.75">
      <c r="A785" s="15" t="s">
        <v>55</v>
      </c>
      <c r="B785" s="32" t="s">
        <v>68</v>
      </c>
      <c r="C785" s="32" t="s">
        <v>63</v>
      </c>
      <c r="D785" s="110"/>
      <c r="E785" s="110"/>
      <c r="F785" s="174">
        <f>F786</f>
        <v>7952.5</v>
      </c>
    </row>
    <row r="786" spans="1:6" ht="12.75">
      <c r="A786" s="16" t="s">
        <v>18</v>
      </c>
      <c r="B786" s="20" t="s">
        <v>68</v>
      </c>
      <c r="C786" s="20" t="s">
        <v>63</v>
      </c>
      <c r="D786" s="110" t="s">
        <v>349</v>
      </c>
      <c r="E786" s="110"/>
      <c r="F786" s="61">
        <f>F787</f>
        <v>7952.5</v>
      </c>
    </row>
    <row r="787" spans="1:6" ht="12.75">
      <c r="A787" s="16" t="str">
        <f>'пр.5 вед.стр.'!A166</f>
        <v>Выплата доплаты к пенсии</v>
      </c>
      <c r="B787" s="20" t="s">
        <v>68</v>
      </c>
      <c r="C787" s="20" t="s">
        <v>63</v>
      </c>
      <c r="D787" s="110" t="s">
        <v>623</v>
      </c>
      <c r="E787" s="110"/>
      <c r="F787" s="61">
        <f>F788</f>
        <v>7952.5</v>
      </c>
    </row>
    <row r="788" spans="1:6" ht="12.75">
      <c r="A788" s="16" t="s">
        <v>101</v>
      </c>
      <c r="B788" s="20" t="s">
        <v>68</v>
      </c>
      <c r="C788" s="20" t="s">
        <v>63</v>
      </c>
      <c r="D788" s="110" t="s">
        <v>623</v>
      </c>
      <c r="E788" s="110" t="s">
        <v>102</v>
      </c>
      <c r="F788" s="61">
        <f>F789</f>
        <v>7952.5</v>
      </c>
    </row>
    <row r="789" spans="1:6" ht="12.75">
      <c r="A789" s="16" t="s">
        <v>103</v>
      </c>
      <c r="B789" s="20" t="s">
        <v>68</v>
      </c>
      <c r="C789" s="20" t="s">
        <v>63</v>
      </c>
      <c r="D789" s="110" t="s">
        <v>623</v>
      </c>
      <c r="E789" s="110" t="s">
        <v>104</v>
      </c>
      <c r="F789" s="61">
        <f>'пр.5 вед.стр.'!G168</f>
        <v>7952.5</v>
      </c>
    </row>
    <row r="790" spans="1:6" ht="12.75">
      <c r="A790" s="23" t="s">
        <v>58</v>
      </c>
      <c r="B790" s="37" t="s">
        <v>68</v>
      </c>
      <c r="C790" s="37" t="s">
        <v>67</v>
      </c>
      <c r="D790" s="115"/>
      <c r="E790" s="115"/>
      <c r="F790" s="175">
        <f>F791+F821</f>
        <v>36202</v>
      </c>
    </row>
    <row r="791" spans="1:6" ht="12.75">
      <c r="A791" s="16" t="s">
        <v>478</v>
      </c>
      <c r="B791" s="20" t="s">
        <v>68</v>
      </c>
      <c r="C791" s="20" t="s">
        <v>67</v>
      </c>
      <c r="D791" s="115" t="s">
        <v>479</v>
      </c>
      <c r="E791" s="115"/>
      <c r="F791" s="176">
        <f>F816+F792+F800</f>
        <v>30007.7</v>
      </c>
    </row>
    <row r="792" spans="1:6" ht="25.5">
      <c r="A792" s="16" t="str">
        <f>'пр.5 вед.стр.'!A171</f>
        <v>Муниципальная программа "Патриотическое воспитание  жителей Сусуманского городского округа  на 2018- 2022 годы"</v>
      </c>
      <c r="B792" s="20" t="s">
        <v>68</v>
      </c>
      <c r="C792" s="20" t="s">
        <v>67</v>
      </c>
      <c r="D792" s="115" t="str">
        <f>'пр.5 вед.стр.'!E171</f>
        <v xml:space="preserve">7В 0 00 00000 </v>
      </c>
      <c r="E792" s="115"/>
      <c r="F792" s="176">
        <f>F793</f>
        <v>117.19999999999999</v>
      </c>
    </row>
    <row r="793" spans="1:6" ht="25.5">
      <c r="A793" s="16" t="str">
        <f>'пр.5 вед.стр.'!A172</f>
        <v>Основное мероприятие "Реализация мероприятий по оказанию адресной помощи ветеранам Великой Отечественной войны 1941- 1945 годов"</v>
      </c>
      <c r="B793" s="20" t="s">
        <v>68</v>
      </c>
      <c r="C793" s="20" t="s">
        <v>67</v>
      </c>
      <c r="D793" s="115" t="str">
        <f>'пр.5 вед.стр.'!E172</f>
        <v>7В 0 02 00000</v>
      </c>
      <c r="E793" s="115"/>
      <c r="F793" s="176">
        <f>F794+F797</f>
        <v>117.19999999999999</v>
      </c>
    </row>
    <row r="794" spans="1:6" ht="12.75">
      <c r="A794" s="16" t="str">
        <f>'пр.5 вед.стр.'!A173</f>
        <v>Оказание материальной помощи, единовременной выплаты</v>
      </c>
      <c r="B794" s="20" t="s">
        <v>68</v>
      </c>
      <c r="C794" s="20" t="s">
        <v>67</v>
      </c>
      <c r="D794" s="115" t="str">
        <f>'пр.5 вед.стр.'!E173</f>
        <v>7В 0 02 91200</v>
      </c>
      <c r="E794" s="115"/>
      <c r="F794" s="176">
        <f>F795</f>
        <v>27.6</v>
      </c>
    </row>
    <row r="795" spans="1:6" ht="12.75">
      <c r="A795" s="16" t="str">
        <f>'пр.5 вед.стр.'!A174</f>
        <v>Социальное обеспечение и иные выплаты населению</v>
      </c>
      <c r="B795" s="20" t="s">
        <v>68</v>
      </c>
      <c r="C795" s="20" t="s">
        <v>67</v>
      </c>
      <c r="D795" s="115" t="str">
        <f>'пр.5 вед.стр.'!E174</f>
        <v>7В 0 02 91200</v>
      </c>
      <c r="E795" s="40" t="s">
        <v>102</v>
      </c>
      <c r="F795" s="176">
        <f>F796</f>
        <v>27.6</v>
      </c>
    </row>
    <row r="796" spans="1:6" ht="12.75">
      <c r="A796" s="16" t="str">
        <f>'пр.5 вед.стр.'!A175</f>
        <v>Иные выплаты населению</v>
      </c>
      <c r="B796" s="20" t="s">
        <v>68</v>
      </c>
      <c r="C796" s="20" t="s">
        <v>67</v>
      </c>
      <c r="D796" s="115" t="str">
        <f>'пр.5 вед.стр.'!E175</f>
        <v>7В 0 02 91200</v>
      </c>
      <c r="E796" s="40" t="s">
        <v>106</v>
      </c>
      <c r="F796" s="176">
        <f>'пр.5 вед.стр.'!G175</f>
        <v>27.6</v>
      </c>
    </row>
    <row r="797" spans="1:6" ht="12.75">
      <c r="A797" s="16" t="str">
        <f>'пр.5 вед.стр.'!A176</f>
        <v>Предоставление льготы по оплате жилищно- коммунальных услуг</v>
      </c>
      <c r="B797" s="20" t="s">
        <v>68</v>
      </c>
      <c r="C797" s="20" t="s">
        <v>67</v>
      </c>
      <c r="D797" s="115" t="str">
        <f>'пр.5 вед.стр.'!E176</f>
        <v>7В 0 02 91410</v>
      </c>
      <c r="E797" s="19"/>
      <c r="F797" s="176">
        <f>F798</f>
        <v>89.6</v>
      </c>
    </row>
    <row r="798" spans="1:6" ht="12.75">
      <c r="A798" s="16" t="str">
        <f>'пр.5 вед.стр.'!A177</f>
        <v>Социальное обеспечение и иные выплаты населению</v>
      </c>
      <c r="B798" s="20" t="s">
        <v>68</v>
      </c>
      <c r="C798" s="20" t="s">
        <v>67</v>
      </c>
      <c r="D798" s="115" t="str">
        <f>'пр.5 вед.стр.'!E177</f>
        <v>7В 0 02 91410</v>
      </c>
      <c r="E798" s="40">
        <v>300</v>
      </c>
      <c r="F798" s="176">
        <f>F799</f>
        <v>89.6</v>
      </c>
    </row>
    <row r="799" spans="1:6" ht="12.75">
      <c r="A799" s="16" t="str">
        <f>'пр.5 вед.стр.'!A178</f>
        <v>Иные выплаты населению</v>
      </c>
      <c r="B799" s="20" t="s">
        <v>68</v>
      </c>
      <c r="C799" s="20" t="s">
        <v>67</v>
      </c>
      <c r="D799" s="115" t="str">
        <f>'пр.5 вед.стр.'!E178</f>
        <v>7В 0 02 91410</v>
      </c>
      <c r="E799" s="40" t="s">
        <v>106</v>
      </c>
      <c r="F799" s="176">
        <f>'пр.5 вед.стр.'!G178</f>
        <v>89.6</v>
      </c>
    </row>
    <row r="800" spans="1:6" ht="25.5">
      <c r="A800" s="16" t="str">
        <f>'пр.5 вед.стр.'!A179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800" s="20" t="s">
        <v>68</v>
      </c>
      <c r="C800" s="20" t="s">
        <v>67</v>
      </c>
      <c r="D800" s="115" t="str">
        <f>'пр.5 вед.стр.'!E179</f>
        <v xml:space="preserve">7Г 0 00 00000 </v>
      </c>
      <c r="E800" s="115"/>
      <c r="F800" s="176">
        <f>F805+F801</f>
        <v>29822.8</v>
      </c>
    </row>
    <row r="801" spans="1:6" ht="12.75">
      <c r="A801" s="16" t="str">
        <f>'пр.5 вед.стр.'!A180</f>
        <v>Основное мероприятие "Оптимизация системы расселения в Сусуманском городском округе"</v>
      </c>
      <c r="B801" s="20" t="s">
        <v>68</v>
      </c>
      <c r="C801" s="20" t="s">
        <v>67</v>
      </c>
      <c r="D801" s="115" t="str">
        <f>'пр.5 вед.стр.'!E180</f>
        <v xml:space="preserve">7Г 0 01 00000 </v>
      </c>
      <c r="E801" s="115"/>
      <c r="F801" s="176">
        <f>F802</f>
        <v>857.9</v>
      </c>
    </row>
    <row r="802" spans="1:6" ht="12.75">
      <c r="A802" s="16" t="str">
        <f>'пр.5 вед.стр.'!A181</f>
        <v xml:space="preserve">Оптимизация жилищного фонда в виде расселения </v>
      </c>
      <c r="B802" s="20" t="s">
        <v>68</v>
      </c>
      <c r="C802" s="20" t="s">
        <v>67</v>
      </c>
      <c r="D802" s="115" t="str">
        <f>'пр.5 вед.стр.'!E181</f>
        <v xml:space="preserve">7Г 0 01 96610 </v>
      </c>
      <c r="E802" s="115"/>
      <c r="F802" s="176">
        <f>F803</f>
        <v>857.9</v>
      </c>
    </row>
    <row r="803" spans="1:6" ht="12.75">
      <c r="A803" s="16" t="str">
        <f>'пр.5 вед.стр.'!A182</f>
        <v>Иные бюджетные ассигнования</v>
      </c>
      <c r="B803" s="20" t="s">
        <v>68</v>
      </c>
      <c r="C803" s="20" t="s">
        <v>67</v>
      </c>
      <c r="D803" s="115" t="str">
        <f>'пр.5 вед.стр.'!E182</f>
        <v xml:space="preserve">7Г 0 01 96610 </v>
      </c>
      <c r="E803" s="142">
        <v>800</v>
      </c>
      <c r="F803" s="176">
        <f>F804</f>
        <v>857.9</v>
      </c>
    </row>
    <row r="804" spans="1:6" ht="12.75">
      <c r="A804" s="16" t="str">
        <f>'пр.5 вед.стр.'!A183</f>
        <v>Уплата налогов, сборов и иных платежей</v>
      </c>
      <c r="B804" s="20" t="s">
        <v>68</v>
      </c>
      <c r="C804" s="20" t="s">
        <v>67</v>
      </c>
      <c r="D804" s="115" t="str">
        <f>'пр.5 вед.стр.'!E183</f>
        <v xml:space="preserve">7Г 0 01 96610 </v>
      </c>
      <c r="E804" s="142">
        <v>850</v>
      </c>
      <c r="F804" s="176">
        <f>'пр.5 вед.стр.'!G183</f>
        <v>857.9</v>
      </c>
    </row>
    <row r="805" spans="1:6" ht="25.5">
      <c r="A805" s="16" t="str">
        <f>'пр.5 вед.стр.'!A184</f>
        <v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v>
      </c>
      <c r="B805" s="20" t="s">
        <v>68</v>
      </c>
      <c r="C805" s="20" t="s">
        <v>67</v>
      </c>
      <c r="D805" s="115" t="str">
        <f>'пр.5 вед.стр.'!E184</f>
        <v xml:space="preserve">7Г 0 F3 00000 </v>
      </c>
      <c r="E805" s="115"/>
      <c r="F805" s="176">
        <f>F806+F811</f>
        <v>28964.899999999998</v>
      </c>
    </row>
    <row r="806" spans="1:6" ht="25.5">
      <c r="A806" s="16" t="str">
        <f>'пр.5 вед.стр.'!A185</f>
        <v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</v>
      </c>
      <c r="B806" s="20" t="s">
        <v>68</v>
      </c>
      <c r="C806" s="20" t="s">
        <v>67</v>
      </c>
      <c r="D806" s="115" t="str">
        <f>'пр.5 вед.стр.'!E185</f>
        <v>7Г 0 F3 67483</v>
      </c>
      <c r="E806" s="40"/>
      <c r="F806" s="176">
        <f>F807+F809</f>
        <v>28385.6</v>
      </c>
    </row>
    <row r="807" spans="1:6" ht="12.75">
      <c r="A807" s="16" t="str">
        <f>'пр.5 вед.стр.'!A186</f>
        <v>Закупка товаров, работ и услуг для обеспечения государственных (муниципальных) нужд</v>
      </c>
      <c r="B807" s="20" t="s">
        <v>68</v>
      </c>
      <c r="C807" s="20" t="s">
        <v>67</v>
      </c>
      <c r="D807" s="115" t="str">
        <f>'пр.5 вед.стр.'!E186</f>
        <v>7Г 0 F3 67483</v>
      </c>
      <c r="E807" s="110" t="s">
        <v>94</v>
      </c>
      <c r="F807" s="176">
        <f>F808</f>
        <v>14653.3</v>
      </c>
    </row>
    <row r="808" spans="1:6" ht="12.75">
      <c r="A808" s="16" t="str">
        <f>'пр.5 вед.стр.'!A187</f>
        <v>Иные закупки товаров, работ и услуг для обеспечения государственных ( муниципальных ) нужд</v>
      </c>
      <c r="B808" s="20" t="s">
        <v>68</v>
      </c>
      <c r="C808" s="20" t="s">
        <v>67</v>
      </c>
      <c r="D808" s="115" t="str">
        <f>'пр.5 вед.стр.'!E187</f>
        <v>7Г 0 F3 67483</v>
      </c>
      <c r="E808" s="110" t="s">
        <v>91</v>
      </c>
      <c r="F808" s="176">
        <f>'пр.5 вед.стр.'!G187</f>
        <v>14653.3</v>
      </c>
    </row>
    <row r="809" spans="1:6" ht="12.75">
      <c r="A809" s="16" t="str">
        <f>'пр.5 вед.стр.'!A188</f>
        <v>Иные бюджетные ассигнования</v>
      </c>
      <c r="B809" s="20" t="s">
        <v>68</v>
      </c>
      <c r="C809" s="20" t="s">
        <v>67</v>
      </c>
      <c r="D809" s="115" t="str">
        <f>'пр.5 вед.стр.'!E188</f>
        <v>7Г 0 F3 67483</v>
      </c>
      <c r="E809" s="142">
        <v>800</v>
      </c>
      <c r="F809" s="176">
        <f>F810</f>
        <v>13732.3</v>
      </c>
    </row>
    <row r="810" spans="1:6" ht="12.75">
      <c r="A810" s="16" t="str">
        <f>'пр.5 вед.стр.'!A189</f>
        <v>Уплата налогов, сборов и иных платежей</v>
      </c>
      <c r="B810" s="20" t="s">
        <v>68</v>
      </c>
      <c r="C810" s="20" t="s">
        <v>67</v>
      </c>
      <c r="D810" s="115" t="str">
        <f>'пр.5 вед.стр.'!E189</f>
        <v>7Г 0 F3 67483</v>
      </c>
      <c r="E810" s="142">
        <v>850</v>
      </c>
      <c r="F810" s="176">
        <f>'пр.5 вед.стр.'!G189</f>
        <v>13732.3</v>
      </c>
    </row>
    <row r="811" spans="1:6" ht="25.5">
      <c r="A811" s="16" t="str">
        <f>'пр.5 вед.стр.'!A190</f>
        <v>Обеспечение мероприятий по переселению граждан из аварийного жилищного фонда за счет средств субъекта Российской Федерации</v>
      </c>
      <c r="B811" s="20" t="s">
        <v>68</v>
      </c>
      <c r="C811" s="20" t="s">
        <v>67</v>
      </c>
      <c r="D811" s="115" t="str">
        <f>'пр.5 вед.стр.'!E190</f>
        <v>7Г 0 F3 67484</v>
      </c>
      <c r="E811" s="189"/>
      <c r="F811" s="176">
        <f>F812+F814</f>
        <v>579.3</v>
      </c>
    </row>
    <row r="812" spans="1:6" ht="12.75">
      <c r="A812" s="16" t="str">
        <f>'пр.5 вед.стр.'!A191</f>
        <v>Закупка товаров, работ и услуг для обеспечения государственных (муниципальных) нужд</v>
      </c>
      <c r="B812" s="20" t="s">
        <v>68</v>
      </c>
      <c r="C812" s="20" t="s">
        <v>67</v>
      </c>
      <c r="D812" s="115" t="str">
        <f>'пр.5 вед.стр.'!E191</f>
        <v>7Г 0 F3 67483</v>
      </c>
      <c r="E812" s="110" t="s">
        <v>94</v>
      </c>
      <c r="F812" s="176">
        <f>F813</f>
        <v>299</v>
      </c>
    </row>
    <row r="813" spans="1:6" ht="12.75">
      <c r="A813" s="16" t="str">
        <f>'пр.5 вед.стр.'!A192</f>
        <v>Иные закупки товаров, работ и услуг для обеспечения государственных ( муниципальных ) нужд</v>
      </c>
      <c r="B813" s="20" t="s">
        <v>68</v>
      </c>
      <c r="C813" s="20" t="s">
        <v>67</v>
      </c>
      <c r="D813" s="115" t="str">
        <f>'пр.5 вед.стр.'!E192</f>
        <v>7Г 0 F3 67484</v>
      </c>
      <c r="E813" s="110" t="s">
        <v>91</v>
      </c>
      <c r="F813" s="176">
        <f>'пр.5 вед.стр.'!G192</f>
        <v>299</v>
      </c>
    </row>
    <row r="814" spans="1:6" ht="12.75">
      <c r="A814" s="16" t="str">
        <f>'пр.5 вед.стр.'!A193</f>
        <v>Иные бюджетные ассигнования</v>
      </c>
      <c r="B814" s="20" t="s">
        <v>68</v>
      </c>
      <c r="C814" s="20" t="s">
        <v>67</v>
      </c>
      <c r="D814" s="115" t="str">
        <f>'пр.5 вед.стр.'!E193</f>
        <v>7Г 0 F3 67484</v>
      </c>
      <c r="E814" s="142">
        <v>800</v>
      </c>
      <c r="F814" s="176">
        <f>F815</f>
        <v>280.3</v>
      </c>
    </row>
    <row r="815" spans="1:6" ht="12.75">
      <c r="A815" s="16" t="str">
        <f>'пр.5 вед.стр.'!A194</f>
        <v>Уплата налогов, сборов и иных платежей</v>
      </c>
      <c r="B815" s="20" t="s">
        <v>68</v>
      </c>
      <c r="C815" s="20" t="s">
        <v>67</v>
      </c>
      <c r="D815" s="115" t="str">
        <f>'пр.5 вед.стр.'!E194</f>
        <v>7Г 0 F3 67484</v>
      </c>
      <c r="E815" s="142">
        <v>850</v>
      </c>
      <c r="F815" s="176">
        <f>'пр.5 вед.стр.'!G194</f>
        <v>280.3</v>
      </c>
    </row>
    <row r="816" spans="1:6" ht="25.5">
      <c r="A816" s="29" t="str">
        <f>'пр.5 вед.стр.'!A816</f>
        <v>Муниципальная программа "Обеспечение жильем молодых семей  в Сусуманском городском округе  на 2018- 2022 годы"</v>
      </c>
      <c r="B816" s="20" t="s">
        <v>68</v>
      </c>
      <c r="C816" s="20" t="s">
        <v>67</v>
      </c>
      <c r="D816" s="115" t="str">
        <f>'пр.5 вед.стр.'!E816</f>
        <v xml:space="preserve">7Ж 0 00 00000 </v>
      </c>
      <c r="E816" s="110"/>
      <c r="F816" s="61">
        <f>F817</f>
        <v>67.7</v>
      </c>
    </row>
    <row r="817" spans="1:6" ht="12.75">
      <c r="A817" s="29" t="str">
        <f>'пр.5 вед.стр.'!A817</f>
        <v>Основное мероприятие "Улучшение жилищных условий молодых семей"</v>
      </c>
      <c r="B817" s="20" t="s">
        <v>68</v>
      </c>
      <c r="C817" s="20" t="s">
        <v>67</v>
      </c>
      <c r="D817" s="115" t="str">
        <f>'пр.5 вед.стр.'!E817</f>
        <v xml:space="preserve">7Ж 0 01 00000 </v>
      </c>
      <c r="E817" s="110"/>
      <c r="F817" s="61">
        <f>F818</f>
        <v>67.7</v>
      </c>
    </row>
    <row r="818" spans="1:6" ht="12.75">
      <c r="A818" s="29" t="str">
        <f>'пр.5 вед.стр.'!A818</f>
        <v>Дополнительная социальная выплата молодым семьям при рождении (усыновлении) каждого ребенка</v>
      </c>
      <c r="B818" s="20" t="s">
        <v>68</v>
      </c>
      <c r="C818" s="20" t="s">
        <v>67</v>
      </c>
      <c r="D818" s="115" t="str">
        <f>'пр.5 вед.стр.'!E818</f>
        <v>7Ж 0 01 73070</v>
      </c>
      <c r="E818" s="110"/>
      <c r="F818" s="61">
        <f>F819</f>
        <v>67.7</v>
      </c>
    </row>
    <row r="819" spans="1:6" ht="12.75">
      <c r="A819" s="29" t="str">
        <f>'пр.5 вед.стр.'!A819</f>
        <v>Социальное обеспечение и иные выплаты населению</v>
      </c>
      <c r="B819" s="20" t="s">
        <v>68</v>
      </c>
      <c r="C819" s="20" t="s">
        <v>67</v>
      </c>
      <c r="D819" s="115" t="str">
        <f>'пр.5 вед.стр.'!E819</f>
        <v>7Ж 0 01 73070</v>
      </c>
      <c r="E819" s="110" t="s">
        <v>102</v>
      </c>
      <c r="F819" s="61">
        <f>F820</f>
        <v>67.7</v>
      </c>
    </row>
    <row r="820" spans="1:6" ht="12.75">
      <c r="A820" s="29" t="str">
        <f>'пр.5 вед.стр.'!A820</f>
        <v>Социальные выплаты гражданам, кроме публичных нормативных социальных выплат</v>
      </c>
      <c r="B820" s="20" t="s">
        <v>68</v>
      </c>
      <c r="C820" s="20" t="s">
        <v>67</v>
      </c>
      <c r="D820" s="115" t="str">
        <f>'пр.5 вед.стр.'!E820</f>
        <v>7Ж 0 01 73070</v>
      </c>
      <c r="E820" s="110" t="s">
        <v>115</v>
      </c>
      <c r="F820" s="61">
        <f>'пр.5 вед.стр.'!G820</f>
        <v>67.7</v>
      </c>
    </row>
    <row r="821" spans="1:6" ht="12.75">
      <c r="A821" s="29" t="str">
        <f>'пр.5 вед.стр.'!A195</f>
        <v xml:space="preserve">Мероприятия по благоустройству </v>
      </c>
      <c r="B821" s="20" t="s">
        <v>68</v>
      </c>
      <c r="C821" s="20" t="s">
        <v>67</v>
      </c>
      <c r="D821" s="115" t="str">
        <f>'пр.5 вед.стр.'!E195</f>
        <v>К2 0 00 00000</v>
      </c>
      <c r="E821" s="110"/>
      <c r="F821" s="61">
        <f>F822</f>
        <v>6194.3</v>
      </c>
    </row>
    <row r="822" spans="1:6" ht="25.5">
      <c r="A822" s="29" t="str">
        <f>'пр.5 вед.стр.'!A196</f>
        <v>Расселение жителей из аварийного многоквартирного дома, расположенного по адресу: ул.Строителей, д.17,г.Сусуман, Сусуманский городской округ</v>
      </c>
      <c r="B822" s="20" t="s">
        <v>68</v>
      </c>
      <c r="C822" s="20" t="s">
        <v>67</v>
      </c>
      <c r="D822" s="115" t="str">
        <f>'пр.5 вед.стр.'!E196</f>
        <v>К2 0 00 50100</v>
      </c>
      <c r="E822" s="110"/>
      <c r="F822" s="61">
        <f>F823</f>
        <v>6194.3</v>
      </c>
    </row>
    <row r="823" spans="1:6" ht="12.75">
      <c r="A823" s="29" t="str">
        <f>'пр.5 вед.стр.'!A197</f>
        <v>Иные бюджетные ассигнования</v>
      </c>
      <c r="B823" s="20" t="s">
        <v>68</v>
      </c>
      <c r="C823" s="20" t="s">
        <v>67</v>
      </c>
      <c r="D823" s="115" t="str">
        <f>'пр.5 вед.стр.'!E197</f>
        <v>К2 0 00 50100</v>
      </c>
      <c r="E823" s="142">
        <v>800</v>
      </c>
      <c r="F823" s="61">
        <f>F824</f>
        <v>6194.3</v>
      </c>
    </row>
    <row r="824" spans="1:6" ht="12.75">
      <c r="A824" s="29" t="str">
        <f>'пр.5 вед.стр.'!A198</f>
        <v>Уплата налогов, сборов и иных платежей</v>
      </c>
      <c r="B824" s="20" t="s">
        <v>68</v>
      </c>
      <c r="C824" s="20" t="s">
        <v>67</v>
      </c>
      <c r="D824" s="115" t="str">
        <f>'пр.5 вед.стр.'!E198</f>
        <v>К2 0 00 50100</v>
      </c>
      <c r="E824" s="142">
        <v>850</v>
      </c>
      <c r="F824" s="61">
        <f>'пр.5 вед.стр.'!G198</f>
        <v>6194.3</v>
      </c>
    </row>
    <row r="825" spans="1:6" ht="12.75">
      <c r="A825" s="15" t="s">
        <v>129</v>
      </c>
      <c r="B825" s="32" t="s">
        <v>68</v>
      </c>
      <c r="C825" s="32" t="s">
        <v>73</v>
      </c>
      <c r="D825" s="113"/>
      <c r="E825" s="113"/>
      <c r="F825" s="175">
        <f>F826+F842</f>
        <v>3441.7999999999997</v>
      </c>
    </row>
    <row r="826" spans="1:6" ht="12.75">
      <c r="A826" s="16" t="s">
        <v>478</v>
      </c>
      <c r="B826" s="20" t="s">
        <v>68</v>
      </c>
      <c r="C826" s="20" t="s">
        <v>73</v>
      </c>
      <c r="D826" s="115" t="s">
        <v>479</v>
      </c>
      <c r="E826" s="113"/>
      <c r="F826" s="176">
        <f>F827+F834</f>
        <v>2668.7999999999997</v>
      </c>
    </row>
    <row r="827" spans="1:6" ht="25.5">
      <c r="A827" s="29" t="str">
        <f>'пр.5 вед.стр.'!A201</f>
        <v>Муниципальная  программа  "Развитие образования в Сусуманском городском округе  на 2018- 2022 годы"</v>
      </c>
      <c r="B827" s="20" t="s">
        <v>68</v>
      </c>
      <c r="C827" s="20" t="s">
        <v>73</v>
      </c>
      <c r="D827" s="110" t="str">
        <f>'пр.5 вед.стр.'!E201</f>
        <v xml:space="preserve">7Р 0 00 00000 </v>
      </c>
      <c r="E827" s="110"/>
      <c r="F827" s="61">
        <f>F828</f>
        <v>2603.8999999999996</v>
      </c>
    </row>
    <row r="828" spans="1:6" ht="25.5">
      <c r="A828" s="16" t="str">
        <f>'пр.5 вед.стр.'!A202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828" s="20" t="s">
        <v>68</v>
      </c>
      <c r="C828" s="20" t="s">
        <v>73</v>
      </c>
      <c r="D828" s="110" t="str">
        <f>'пр.5 вед.стр.'!E202</f>
        <v>7Р 0 04 00000</v>
      </c>
      <c r="E828" s="110"/>
      <c r="F828" s="61">
        <f>F829</f>
        <v>2603.8999999999996</v>
      </c>
    </row>
    <row r="829" spans="1:6" ht="25.5">
      <c r="A829" s="16" t="str">
        <f>'пр.5 вед.стр.'!A203</f>
        <v xml:space="preserve">Осуществление государственных полномочий по организации и осуществлению деятельности по опеке и попечительству </v>
      </c>
      <c r="B829" s="20" t="s">
        <v>68</v>
      </c>
      <c r="C829" s="20" t="s">
        <v>73</v>
      </c>
      <c r="D829" s="110" t="str">
        <f>'пр.5 вед.стр.'!E203</f>
        <v>7Р 0 04 74090</v>
      </c>
      <c r="E829" s="110"/>
      <c r="F829" s="61">
        <f>F830+F832</f>
        <v>2603.8999999999996</v>
      </c>
    </row>
    <row r="830" spans="1:6" ht="38.25">
      <c r="A830" s="16" t="str">
        <f>'пр.5 вед.стр.'!A204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0" s="20" t="s">
        <v>68</v>
      </c>
      <c r="C830" s="20" t="s">
        <v>73</v>
      </c>
      <c r="D830" s="110" t="str">
        <f>'пр.5 вед.стр.'!E204</f>
        <v>7Р 0 04 74090</v>
      </c>
      <c r="E830" s="110" t="s">
        <v>93</v>
      </c>
      <c r="F830" s="61">
        <f>F831</f>
        <v>2320.2</v>
      </c>
    </row>
    <row r="831" spans="1:6" ht="12.75">
      <c r="A831" s="16" t="str">
        <f>'пр.5 вед.стр.'!A205</f>
        <v>Расходы на выплаты персоналу государственных (муниципальных) органов</v>
      </c>
      <c r="B831" s="20" t="s">
        <v>68</v>
      </c>
      <c r="C831" s="20" t="s">
        <v>73</v>
      </c>
      <c r="D831" s="110" t="str">
        <f>'пр.5 вед.стр.'!E205</f>
        <v>7Р 0 04 74090</v>
      </c>
      <c r="E831" s="110" t="s">
        <v>90</v>
      </c>
      <c r="F831" s="61">
        <f>'пр.5 вед.стр.'!G205</f>
        <v>2320.2</v>
      </c>
    </row>
    <row r="832" spans="1:6" ht="12.75">
      <c r="A832" s="16" t="str">
        <f>'пр.5 вед.стр.'!A206</f>
        <v>Закупка товаров, работ и услуг для обеспечения государственных (муниципальных) нужд</v>
      </c>
      <c r="B832" s="20" t="s">
        <v>68</v>
      </c>
      <c r="C832" s="20" t="s">
        <v>73</v>
      </c>
      <c r="D832" s="110" t="str">
        <f>'пр.5 вед.стр.'!E206</f>
        <v>7Р 0 04 74090</v>
      </c>
      <c r="E832" s="110" t="s">
        <v>94</v>
      </c>
      <c r="F832" s="61">
        <f>F833</f>
        <v>283.7</v>
      </c>
    </row>
    <row r="833" spans="1:6" ht="12.75">
      <c r="A833" s="16" t="s">
        <v>608</v>
      </c>
      <c r="B833" s="20" t="s">
        <v>68</v>
      </c>
      <c r="C833" s="20" t="s">
        <v>73</v>
      </c>
      <c r="D833" s="110" t="str">
        <f>'пр.5 вед.стр.'!E207</f>
        <v>7Р 0 04 74090</v>
      </c>
      <c r="E833" s="110" t="s">
        <v>91</v>
      </c>
      <c r="F833" s="61">
        <f>'пр.5 вед.стр.'!G207</f>
        <v>283.7</v>
      </c>
    </row>
    <row r="834" spans="1:6" ht="38.25">
      <c r="A834" s="16" t="str">
        <f>'пр.5 вед.стр.'!A208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834" s="20" t="s">
        <v>68</v>
      </c>
      <c r="C834" s="20" t="s">
        <v>73</v>
      </c>
      <c r="D834" s="110" t="str">
        <f>'пр.5 вед.стр.'!E208</f>
        <v>7L 0 00 00000</v>
      </c>
      <c r="E834" s="110"/>
      <c r="F834" s="61">
        <f>F835</f>
        <v>64.9</v>
      </c>
    </row>
    <row r="835" spans="1:6" ht="25.5">
      <c r="A835" s="29" t="str">
        <f>'пр.5 вед.стр.'!A209</f>
        <v>Основное мероприятие "Оказание финансовой поддержки деятельности социально ориентированных некоммерческих организаций"</v>
      </c>
      <c r="B835" s="20" t="s">
        <v>68</v>
      </c>
      <c r="C835" s="20" t="s">
        <v>73</v>
      </c>
      <c r="D835" s="110" t="str">
        <f>'пр.5 вед.стр.'!E209</f>
        <v>7L 0 01 00000</v>
      </c>
      <c r="E835" s="110"/>
      <c r="F835" s="61">
        <f>F836+F839</f>
        <v>64.9</v>
      </c>
    </row>
    <row r="836" spans="1:6" ht="25.5">
      <c r="A836" s="29" t="str">
        <f>'пр.5 вед.стр.'!A210</f>
        <v>Поддержка деятельности социально ориентированных некоммерческих организаций за счет средств из областного бюджета</v>
      </c>
      <c r="B836" s="20" t="s">
        <v>68</v>
      </c>
      <c r="C836" s="20" t="s">
        <v>73</v>
      </c>
      <c r="D836" s="110" t="str">
        <f>'пр.5 вед.стр.'!E210</f>
        <v>7L 0 01 73280</v>
      </c>
      <c r="E836" s="110"/>
      <c r="F836" s="61">
        <f>F837</f>
        <v>34.9</v>
      </c>
    </row>
    <row r="837" spans="1:6" ht="25.5">
      <c r="A837" s="29" t="str">
        <f>'пр.5 вед.стр.'!A211</f>
        <v>Предоставление субсидий бюджетным, автономным учреждениям и иным некоммерческим организациям</v>
      </c>
      <c r="B837" s="20" t="s">
        <v>68</v>
      </c>
      <c r="C837" s="20" t="s">
        <v>73</v>
      </c>
      <c r="D837" s="110" t="str">
        <f>'пр.5 вед.стр.'!E211</f>
        <v>7L 0 01 73280</v>
      </c>
      <c r="E837" s="110" t="str">
        <f>'пр.5 вед.стр.'!F211</f>
        <v>600</v>
      </c>
      <c r="F837" s="61">
        <f>F838</f>
        <v>34.9</v>
      </c>
    </row>
    <row r="838" spans="1:6" ht="25.5">
      <c r="A838" s="29" t="str">
        <f>'пр.5 вед.стр.'!A212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B838" s="20" t="s">
        <v>68</v>
      </c>
      <c r="C838" s="20" t="s">
        <v>73</v>
      </c>
      <c r="D838" s="110" t="str">
        <f>'пр.5 вед.стр.'!E212</f>
        <v>7L 0 01 73280</v>
      </c>
      <c r="E838" s="142">
        <f>'пр.5 вед.стр.'!F212</f>
        <v>630</v>
      </c>
      <c r="F838" s="61">
        <f>'пр.5 вед.стр.'!G212</f>
        <v>34.9</v>
      </c>
    </row>
    <row r="839" spans="1:6" ht="12.75">
      <c r="A839" s="29" t="str">
        <f>'пр.5 вед.стр.'!A213</f>
        <v>Поддержка деятельности социально ориентированных некоммерческих организаций</v>
      </c>
      <c r="B839" s="20" t="s">
        <v>68</v>
      </c>
      <c r="C839" s="20" t="s">
        <v>73</v>
      </c>
      <c r="D839" s="110" t="str">
        <f>'пр.5 вед.стр.'!E213</f>
        <v>7L 0 01 91700</v>
      </c>
      <c r="E839" s="110"/>
      <c r="F839" s="61">
        <f>F840</f>
        <v>30</v>
      </c>
    </row>
    <row r="840" spans="1:6" ht="25.5">
      <c r="A840" s="29" t="str">
        <f>'пр.5 вед.стр.'!A214</f>
        <v>Предоставление субсидий бюджетным, автономным учреждениям и иным некоммерческим организациям</v>
      </c>
      <c r="B840" s="20" t="s">
        <v>68</v>
      </c>
      <c r="C840" s="20" t="s">
        <v>73</v>
      </c>
      <c r="D840" s="110" t="str">
        <f>'пр.5 вед.стр.'!E214</f>
        <v>7L 0 01 91700</v>
      </c>
      <c r="E840" s="110" t="str">
        <f>'пр.5 вед.стр.'!F214</f>
        <v>600</v>
      </c>
      <c r="F840" s="61">
        <f>F841</f>
        <v>30</v>
      </c>
    </row>
    <row r="841" spans="1:6" ht="25.5">
      <c r="A841" s="29" t="str">
        <f>'пр.5 вед.стр.'!A215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B841" s="20" t="s">
        <v>68</v>
      </c>
      <c r="C841" s="20" t="s">
        <v>73</v>
      </c>
      <c r="D841" s="110" t="str">
        <f>'пр.5 вед.стр.'!E215</f>
        <v>7L 0 01 91700</v>
      </c>
      <c r="E841" s="142">
        <f>'пр.5 вед.стр.'!F215</f>
        <v>630</v>
      </c>
      <c r="F841" s="61">
        <f>'пр.5 вед.стр.'!G214</f>
        <v>30</v>
      </c>
    </row>
    <row r="842" spans="1:6" ht="25.5">
      <c r="A842" s="117" t="str">
        <f>'пр.5 вед.стр.'!A216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842" s="20" t="s">
        <v>68</v>
      </c>
      <c r="C842" s="20" t="s">
        <v>73</v>
      </c>
      <c r="D842" s="110" t="s">
        <v>464</v>
      </c>
      <c r="E842" s="110"/>
      <c r="F842" s="176">
        <f>F843</f>
        <v>773</v>
      </c>
    </row>
    <row r="843" spans="1:6" ht="25.5">
      <c r="A843" s="16" t="s">
        <v>486</v>
      </c>
      <c r="B843" s="20" t="s">
        <v>68</v>
      </c>
      <c r="C843" s="20" t="s">
        <v>73</v>
      </c>
      <c r="D843" s="110" t="str">
        <f>'пр.5 вед.стр.'!E217</f>
        <v>Р1 6 00 00000</v>
      </c>
      <c r="E843" s="110"/>
      <c r="F843" s="176">
        <f>F844</f>
        <v>773</v>
      </c>
    </row>
    <row r="844" spans="1:6" ht="25.5">
      <c r="A844" s="16" t="str">
        <f>'пр.5 вед.стр.'!A218</f>
        <v>Осуществление государственных полномочий по организации и осуществлению деятельности по опеке и попечительству</v>
      </c>
      <c r="B844" s="20" t="s">
        <v>68</v>
      </c>
      <c r="C844" s="20" t="s">
        <v>73</v>
      </c>
      <c r="D844" s="110" t="str">
        <f>'пр.5 вед.стр.'!E218</f>
        <v>Р1 6 00  74090</v>
      </c>
      <c r="E844" s="110"/>
      <c r="F844" s="176">
        <f>F845+F847</f>
        <v>773</v>
      </c>
    </row>
    <row r="845" spans="1:6" ht="38.25">
      <c r="A845" s="16" t="s">
        <v>92</v>
      </c>
      <c r="B845" s="20" t="s">
        <v>68</v>
      </c>
      <c r="C845" s="20" t="s">
        <v>73</v>
      </c>
      <c r="D845" s="110" t="str">
        <f>'пр.5 вед.стр.'!E219</f>
        <v>Р1 6 00  74090</v>
      </c>
      <c r="E845" s="110" t="s">
        <v>93</v>
      </c>
      <c r="F845" s="61">
        <f>F846</f>
        <v>564.3</v>
      </c>
    </row>
    <row r="846" spans="1:6" ht="12.75">
      <c r="A846" s="16" t="s">
        <v>89</v>
      </c>
      <c r="B846" s="20" t="s">
        <v>68</v>
      </c>
      <c r="C846" s="20" t="s">
        <v>73</v>
      </c>
      <c r="D846" s="110" t="str">
        <f>'пр.5 вед.стр.'!E220</f>
        <v>Р1 6 00  74090</v>
      </c>
      <c r="E846" s="110" t="s">
        <v>90</v>
      </c>
      <c r="F846" s="61">
        <f>'пр.5 вед.стр.'!G220</f>
        <v>564.3</v>
      </c>
    </row>
    <row r="847" spans="1:6" ht="12.75">
      <c r="A847" s="16" t="s">
        <v>333</v>
      </c>
      <c r="B847" s="20" t="s">
        <v>68</v>
      </c>
      <c r="C847" s="20" t="s">
        <v>73</v>
      </c>
      <c r="D847" s="110" t="str">
        <f>'пр.5 вед.стр.'!E221</f>
        <v>Р1 6 00  74090</v>
      </c>
      <c r="E847" s="110" t="s">
        <v>94</v>
      </c>
      <c r="F847" s="61">
        <f>F848</f>
        <v>208.7</v>
      </c>
    </row>
    <row r="848" spans="1:6" ht="12.75">
      <c r="A848" s="16" t="s">
        <v>608</v>
      </c>
      <c r="B848" s="20" t="s">
        <v>68</v>
      </c>
      <c r="C848" s="20" t="s">
        <v>73</v>
      </c>
      <c r="D848" s="110" t="str">
        <f>'пр.5 вед.стр.'!E222</f>
        <v>Р1 6 00  74090</v>
      </c>
      <c r="E848" s="110" t="s">
        <v>91</v>
      </c>
      <c r="F848" s="61">
        <f>'пр.5 вед.стр.'!G222</f>
        <v>208.7</v>
      </c>
    </row>
    <row r="849" spans="1:6" ht="12.75">
      <c r="A849" s="15" t="s">
        <v>80</v>
      </c>
      <c r="B849" s="32" t="s">
        <v>71</v>
      </c>
      <c r="C849" s="32" t="s">
        <v>34</v>
      </c>
      <c r="D849" s="110"/>
      <c r="E849" s="110"/>
      <c r="F849" s="174">
        <f>F850</f>
        <v>29991.300000000003</v>
      </c>
    </row>
    <row r="850" spans="1:6" ht="12.75">
      <c r="A850" s="15" t="s">
        <v>81</v>
      </c>
      <c r="B850" s="32" t="s">
        <v>71</v>
      </c>
      <c r="C850" s="32" t="s">
        <v>63</v>
      </c>
      <c r="D850" s="113"/>
      <c r="E850" s="113"/>
      <c r="F850" s="174">
        <f>F851+F885+F895</f>
        <v>29991.300000000003</v>
      </c>
    </row>
    <row r="851" spans="1:6" ht="12.75">
      <c r="A851" s="46" t="s">
        <v>478</v>
      </c>
      <c r="B851" s="20" t="s">
        <v>71</v>
      </c>
      <c r="C851" s="20" t="s">
        <v>63</v>
      </c>
      <c r="D851" s="115" t="s">
        <v>479</v>
      </c>
      <c r="E851" s="110"/>
      <c r="F851" s="61">
        <f>F852+F874+F869</f>
        <v>1843.6000000000001</v>
      </c>
    </row>
    <row r="852" spans="1:6" ht="25.5">
      <c r="A852" s="29" t="str">
        <f>'пр.5 вед.стр.'!A824</f>
        <v>Муниципальная программа  "Пожарная безопасность в Сусуманском городском округе на 2018- 2022 годы"</v>
      </c>
      <c r="B852" s="20" t="s">
        <v>71</v>
      </c>
      <c r="C852" s="20" t="s">
        <v>63</v>
      </c>
      <c r="D852" s="115" t="str">
        <f>'пр.5 вед.стр.'!E824</f>
        <v xml:space="preserve">7П 0 00 00000 </v>
      </c>
      <c r="E852" s="110"/>
      <c r="F852" s="61">
        <f>F853</f>
        <v>305.7</v>
      </c>
    </row>
    <row r="853" spans="1:6" ht="25.5">
      <c r="A853" s="29" t="str">
        <f>'пр.5 вед.стр.'!A825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53" s="20" t="s">
        <v>71</v>
      </c>
      <c r="C853" s="20" t="s">
        <v>63</v>
      </c>
      <c r="D853" s="115" t="str">
        <f>'пр.5 вед.стр.'!E825</f>
        <v xml:space="preserve">7П 0 01 00000 </v>
      </c>
      <c r="E853" s="110"/>
      <c r="F853" s="61">
        <f>F854+F857+F863+F866+F860</f>
        <v>305.7</v>
      </c>
    </row>
    <row r="854" spans="1:6" ht="25.5">
      <c r="A854" s="29" t="str">
        <f>'пр.5 вед.стр.'!A826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54" s="20" t="s">
        <v>71</v>
      </c>
      <c r="C854" s="20" t="s">
        <v>63</v>
      </c>
      <c r="D854" s="115" t="str">
        <f>'пр.5 вед.стр.'!E826</f>
        <v xml:space="preserve">7П 0 01 94100 </v>
      </c>
      <c r="E854" s="110"/>
      <c r="F854" s="61">
        <f>F855</f>
        <v>180</v>
      </c>
    </row>
    <row r="855" spans="1:6" ht="25.5">
      <c r="A855" s="29" t="str">
        <f>'пр.5 вед.стр.'!A827</f>
        <v>Предоставление субсидий бюджетным, автономным учреждениям и иным некоммерческим организациям</v>
      </c>
      <c r="B855" s="20" t="s">
        <v>71</v>
      </c>
      <c r="C855" s="20" t="s">
        <v>63</v>
      </c>
      <c r="D855" s="115" t="str">
        <f>'пр.5 вед.стр.'!E827</f>
        <v xml:space="preserve">7П 0 01 94100 </v>
      </c>
      <c r="E855" s="110" t="str">
        <f>'пр.5 вед.стр.'!F827</f>
        <v>600</v>
      </c>
      <c r="F855" s="61">
        <f>F856</f>
        <v>180</v>
      </c>
    </row>
    <row r="856" spans="1:6" ht="12.75">
      <c r="A856" s="29" t="str">
        <f>'пр.5 вед.стр.'!A828</f>
        <v>Субсидии бюджетным учреждениям</v>
      </c>
      <c r="B856" s="20" t="s">
        <v>71</v>
      </c>
      <c r="C856" s="20" t="s">
        <v>63</v>
      </c>
      <c r="D856" s="115" t="str">
        <f>'пр.5 вед.стр.'!E828</f>
        <v xml:space="preserve">7П 0 01 94100 </v>
      </c>
      <c r="E856" s="110" t="str">
        <f>'пр.5 вед.стр.'!F828</f>
        <v>610</v>
      </c>
      <c r="F856" s="61">
        <f>'пр.5 вед.стр.'!G828</f>
        <v>180</v>
      </c>
    </row>
    <row r="857" spans="1:6" ht="12.75">
      <c r="A857" s="29" t="str">
        <f>'пр.5 вед.стр.'!A829</f>
        <v>Приобретение и заправка огнетушителей, средств индивидуальной защиты</v>
      </c>
      <c r="B857" s="20" t="s">
        <v>71</v>
      </c>
      <c r="C857" s="20" t="s">
        <v>63</v>
      </c>
      <c r="D857" s="115" t="str">
        <f>'пр.5 вед.стр.'!E829</f>
        <v xml:space="preserve">7П 0 01 94300 </v>
      </c>
      <c r="E857" s="110"/>
      <c r="F857" s="61">
        <f>F858</f>
        <v>33.6</v>
      </c>
    </row>
    <row r="858" spans="1:6" ht="25.5">
      <c r="A858" s="29" t="str">
        <f>'пр.5 вед.стр.'!A830</f>
        <v>Предоставление субсидий бюджетным, автономным учреждениям и иным некоммерческим организациям</v>
      </c>
      <c r="B858" s="20" t="s">
        <v>71</v>
      </c>
      <c r="C858" s="20" t="s">
        <v>63</v>
      </c>
      <c r="D858" s="115" t="str">
        <f>'пр.5 вед.стр.'!E830</f>
        <v xml:space="preserve">7П 0 01 94300 </v>
      </c>
      <c r="E858" s="110" t="str">
        <f>'пр.5 вед.стр.'!F830</f>
        <v>600</v>
      </c>
      <c r="F858" s="61">
        <f>F859</f>
        <v>33.6</v>
      </c>
    </row>
    <row r="859" spans="1:6" ht="12.75">
      <c r="A859" s="29" t="str">
        <f>'пр.5 вед.стр.'!A831</f>
        <v>Субсидии бюджетным учреждениям</v>
      </c>
      <c r="B859" s="20" t="s">
        <v>71</v>
      </c>
      <c r="C859" s="20" t="s">
        <v>63</v>
      </c>
      <c r="D859" s="115" t="str">
        <f>'пр.5 вед.стр.'!E831</f>
        <v xml:space="preserve">7П 0 01 94300 </v>
      </c>
      <c r="E859" s="110" t="str">
        <f>'пр.5 вед.стр.'!F831</f>
        <v>610</v>
      </c>
      <c r="F859" s="61">
        <f>'пр.5 вед.стр.'!G831</f>
        <v>33.6</v>
      </c>
    </row>
    <row r="860" spans="1:6" ht="12.75">
      <c r="A860" s="29" t="str">
        <f>'пр.5 вед.стр.'!A832</f>
        <v>Проведение замеров сопротивления изоляции электросетей и электрооборудования</v>
      </c>
      <c r="B860" s="20" t="s">
        <v>71</v>
      </c>
      <c r="C860" s="20" t="s">
        <v>63</v>
      </c>
      <c r="D860" s="115" t="str">
        <f>'пр.5 вед.стр.'!E832</f>
        <v xml:space="preserve">7П 0 01 94400 </v>
      </c>
      <c r="E860" s="110"/>
      <c r="F860" s="61">
        <f>F861</f>
        <v>50</v>
      </c>
    </row>
    <row r="861" spans="1:6" ht="25.5">
      <c r="A861" s="29" t="str">
        <f>'пр.5 вед.стр.'!A833</f>
        <v>Предоставление субсидий бюджетным, автономным учреждениям и иным некоммерческим организациям</v>
      </c>
      <c r="B861" s="20" t="s">
        <v>71</v>
      </c>
      <c r="C861" s="20" t="s">
        <v>63</v>
      </c>
      <c r="D861" s="115" t="str">
        <f>'пр.5 вед.стр.'!E833</f>
        <v xml:space="preserve">7П 0 01 94400 </v>
      </c>
      <c r="E861" s="142">
        <v>600</v>
      </c>
      <c r="F861" s="61">
        <f>F862</f>
        <v>50</v>
      </c>
    </row>
    <row r="862" spans="1:6" ht="12.75">
      <c r="A862" s="29" t="str">
        <f>'пр.5 вед.стр.'!A834</f>
        <v>Субсидии бюджетным учреждениям</v>
      </c>
      <c r="B862" s="20" t="s">
        <v>71</v>
      </c>
      <c r="C862" s="20" t="s">
        <v>63</v>
      </c>
      <c r="D862" s="115" t="str">
        <f>'пр.5 вед.стр.'!E834</f>
        <v xml:space="preserve">7П 0 01 94400 </v>
      </c>
      <c r="E862" s="142">
        <v>610</v>
      </c>
      <c r="F862" s="61">
        <f>'пр.5 вед.стр.'!G832</f>
        <v>50</v>
      </c>
    </row>
    <row r="863" spans="1:6" ht="25.5">
      <c r="A863" s="29" t="str">
        <f>'пр.5 вед.стр.'!A835</f>
        <v>Проведение проверок исправности и ремонт систем противопожарного водоснабжения, приобретение и обслуживание гидрантов</v>
      </c>
      <c r="B863" s="20" t="s">
        <v>71</v>
      </c>
      <c r="C863" s="20" t="s">
        <v>63</v>
      </c>
      <c r="D863" s="115" t="str">
        <f>'пр.5 вед.стр.'!E835</f>
        <v xml:space="preserve">7П 0 01 94500 </v>
      </c>
      <c r="E863" s="110"/>
      <c r="F863" s="61">
        <f>F864</f>
        <v>21.099999999999994</v>
      </c>
    </row>
    <row r="864" spans="1:6" ht="25.5">
      <c r="A864" s="29" t="str">
        <f>'пр.5 вед.стр.'!A836</f>
        <v>Предоставление субсидий бюджетным, автономным учреждениям и иным некоммерческим организациям</v>
      </c>
      <c r="B864" s="20" t="s">
        <v>71</v>
      </c>
      <c r="C864" s="20" t="s">
        <v>63</v>
      </c>
      <c r="D864" s="115" t="str">
        <f>'пр.5 вед.стр.'!E836</f>
        <v xml:space="preserve">7П 0 01 94500 </v>
      </c>
      <c r="E864" s="110" t="str">
        <f>'пр.5 вед.стр.'!F836</f>
        <v>600</v>
      </c>
      <c r="F864" s="61">
        <f>F865</f>
        <v>21.099999999999994</v>
      </c>
    </row>
    <row r="865" spans="1:6" ht="12.75">
      <c r="A865" s="29" t="str">
        <f>'пр.5 вед.стр.'!A837</f>
        <v>Субсидии бюджетным учреждениям</v>
      </c>
      <c r="B865" s="20" t="s">
        <v>71</v>
      </c>
      <c r="C865" s="20" t="s">
        <v>63</v>
      </c>
      <c r="D865" s="115" t="str">
        <f>'пр.5 вед.стр.'!E837</f>
        <v xml:space="preserve">7П 0 01 94500 </v>
      </c>
      <c r="E865" s="110" t="str">
        <f>'пр.5 вед.стр.'!F837</f>
        <v>610</v>
      </c>
      <c r="F865" s="61">
        <f>'пр.5 вед.стр.'!G837</f>
        <v>21.099999999999994</v>
      </c>
    </row>
    <row r="866" spans="1:6" ht="12.75">
      <c r="A866" s="29" t="str">
        <f>'пр.5 вед.стр.'!A838</f>
        <v>Изготовление планов эвакуации</v>
      </c>
      <c r="B866" s="20" t="s">
        <v>71</v>
      </c>
      <c r="C866" s="20" t="s">
        <v>63</v>
      </c>
      <c r="D866" s="115" t="str">
        <f>'пр.5 вед.стр.'!E838</f>
        <v xml:space="preserve">7П 0 01 94700 </v>
      </c>
      <c r="E866" s="110"/>
      <c r="F866" s="61">
        <f>F867</f>
        <v>21</v>
      </c>
    </row>
    <row r="867" spans="1:6" ht="25.5">
      <c r="A867" s="29" t="str">
        <f>'пр.5 вед.стр.'!A839</f>
        <v>Предоставление субсидий бюджетным, автономным учреждениям и иным некоммерческим организациям</v>
      </c>
      <c r="B867" s="20" t="s">
        <v>71</v>
      </c>
      <c r="C867" s="20" t="s">
        <v>63</v>
      </c>
      <c r="D867" s="115" t="str">
        <f>'пр.5 вед.стр.'!E839</f>
        <v xml:space="preserve">7П 0 01 94700 </v>
      </c>
      <c r="E867" s="110" t="str">
        <f>'пр.5 вед.стр.'!F839</f>
        <v>600</v>
      </c>
      <c r="F867" s="61">
        <f>F868</f>
        <v>21</v>
      </c>
    </row>
    <row r="868" spans="1:6" ht="12.75">
      <c r="A868" s="29" t="str">
        <f>'пр.5 вед.стр.'!A840</f>
        <v>Субсидии бюджетным учреждениям</v>
      </c>
      <c r="B868" s="20" t="s">
        <v>71</v>
      </c>
      <c r="C868" s="20" t="s">
        <v>63</v>
      </c>
      <c r="D868" s="115" t="str">
        <f>'пр.5 вед.стр.'!E840</f>
        <v xml:space="preserve">7П 0 01 94700 </v>
      </c>
      <c r="E868" s="110" t="str">
        <f>'пр.5 вед.стр.'!F840</f>
        <v>610</v>
      </c>
      <c r="F868" s="61">
        <f>'пр.5 вед.стр.'!G840</f>
        <v>21</v>
      </c>
    </row>
    <row r="869" spans="1:6" ht="25.5">
      <c r="A869" s="190" t="str">
        <f>'пр.5 вед.стр.'!A841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869" s="20" t="s">
        <v>71</v>
      </c>
      <c r="C869" s="20" t="s">
        <v>63</v>
      </c>
      <c r="D869" s="115" t="str">
        <f>'пр.5 вед.стр.'!E841</f>
        <v xml:space="preserve">7Т 0 00 00000 </v>
      </c>
      <c r="E869" s="110"/>
      <c r="F869" s="61">
        <f>F870</f>
        <v>300</v>
      </c>
    </row>
    <row r="870" spans="1:6" ht="25.5">
      <c r="A870" s="190" t="str">
        <f>'пр.5 вед.стр.'!A842</f>
        <v>Основное мероприятие "Профилактика правонарушений по отдельным видам противоправной деятельности"</v>
      </c>
      <c r="B870" s="20" t="s">
        <v>71</v>
      </c>
      <c r="C870" s="20" t="s">
        <v>63</v>
      </c>
      <c r="D870" s="115" t="str">
        <f>'пр.5 вед.стр.'!E842</f>
        <v xml:space="preserve">7Т 0 05 00000 </v>
      </c>
      <c r="E870" s="110"/>
      <c r="F870" s="61">
        <f>F871</f>
        <v>300</v>
      </c>
    </row>
    <row r="871" spans="1:6" ht="12.75">
      <c r="A871" s="190" t="str">
        <f>'пр.5 вед.стр.'!A843</f>
        <v xml:space="preserve">Установка видеонаблюдения </v>
      </c>
      <c r="B871" s="20" t="s">
        <v>71</v>
      </c>
      <c r="C871" s="20" t="s">
        <v>63</v>
      </c>
      <c r="D871" s="115" t="str">
        <f>'пр.5 вед.стр.'!E843</f>
        <v xml:space="preserve">7Т 0 05 95100 </v>
      </c>
      <c r="E871" s="110"/>
      <c r="F871" s="61">
        <f>F872</f>
        <v>300</v>
      </c>
    </row>
    <row r="872" spans="1:6" ht="25.5">
      <c r="A872" s="190" t="str">
        <f>'пр.5 вед.стр.'!A844</f>
        <v>Предоставление субсидий бюджетным, автономным учреждениям и иным некоммерческим организациям</v>
      </c>
      <c r="B872" s="20" t="s">
        <v>71</v>
      </c>
      <c r="C872" s="20" t="s">
        <v>63</v>
      </c>
      <c r="D872" s="115" t="str">
        <f>'пр.5 вед.стр.'!E844</f>
        <v xml:space="preserve">7Т 0 05 95100 </v>
      </c>
      <c r="E872" s="110" t="s">
        <v>96</v>
      </c>
      <c r="F872" s="61">
        <f>F873</f>
        <v>300</v>
      </c>
    </row>
    <row r="873" spans="1:6" ht="12.75">
      <c r="A873" s="190" t="str">
        <f>'пр.5 вед.стр.'!A845</f>
        <v>Субсидии бюджетным учреждениям</v>
      </c>
      <c r="B873" s="20" t="s">
        <v>71</v>
      </c>
      <c r="C873" s="20" t="s">
        <v>63</v>
      </c>
      <c r="D873" s="115" t="str">
        <f>'пр.5 вед.стр.'!E845</f>
        <v xml:space="preserve">7Т 0 05 95100 </v>
      </c>
      <c r="E873" s="110" t="s">
        <v>100</v>
      </c>
      <c r="F873" s="61">
        <f>'пр.5 вед.стр.'!G845</f>
        <v>300</v>
      </c>
    </row>
    <row r="874" spans="1:6" ht="25.5">
      <c r="A874" s="29" t="str">
        <f>'пр.5 вед.стр.'!A846</f>
        <v>Муниципальная программа "Развитие физической культуры и спорта в Сусуманском городском округе на 2018- 2022 годы"</v>
      </c>
      <c r="B874" s="20" t="s">
        <v>71</v>
      </c>
      <c r="C874" s="20" t="s">
        <v>63</v>
      </c>
      <c r="D874" s="115" t="str">
        <f>'пр.5 вед.стр.'!E846</f>
        <v xml:space="preserve">7Ф 0 00 00000 </v>
      </c>
      <c r="E874" s="110"/>
      <c r="F874" s="61">
        <f>F875</f>
        <v>1237.9</v>
      </c>
    </row>
    <row r="875" spans="1:6" ht="25.5">
      <c r="A875" s="29" t="str">
        <f>'пр.5 вед.стр.'!A847</f>
        <v>Основное мероприятие "Приобщение различных слоев населения к регулярным занятиям физической культурой и спортом"</v>
      </c>
      <c r="B875" s="20" t="s">
        <v>71</v>
      </c>
      <c r="C875" s="20" t="s">
        <v>63</v>
      </c>
      <c r="D875" s="115" t="str">
        <f>'пр.5 вед.стр.'!E847</f>
        <v xml:space="preserve">7Ф 0 01 00000 </v>
      </c>
      <c r="E875" s="110"/>
      <c r="F875" s="61">
        <f>F879+F882+F876</f>
        <v>1237.9</v>
      </c>
    </row>
    <row r="876" spans="1:6" ht="25.15" customHeight="1">
      <c r="A876" s="29" t="str">
        <f>'пр.5 вед.стр.'!A848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76" s="20" t="s">
        <v>71</v>
      </c>
      <c r="C876" s="20" t="s">
        <v>63</v>
      </c>
      <c r="D876" s="115" t="str">
        <f>'пр.5 вед.стр.'!E848</f>
        <v xml:space="preserve">7Ф 0 01 75010 </v>
      </c>
      <c r="E876" s="110"/>
      <c r="F876" s="61">
        <f>F877</f>
        <v>87.9</v>
      </c>
    </row>
    <row r="877" spans="1:6" ht="25.5">
      <c r="A877" s="29" t="str">
        <f>'пр.5 вед.стр.'!A849</f>
        <v>Предоставление субсидий бюджетным, автономным учреждениям и иным некоммерческим организациям</v>
      </c>
      <c r="B877" s="20" t="s">
        <v>71</v>
      </c>
      <c r="C877" s="20" t="s">
        <v>63</v>
      </c>
      <c r="D877" s="115" t="str">
        <f>'пр.5 вед.стр.'!E849</f>
        <v xml:space="preserve">7Ф 0 01 75010 </v>
      </c>
      <c r="E877" s="110" t="str">
        <f>'пр.5 вед.стр.'!F849</f>
        <v>600</v>
      </c>
      <c r="F877" s="61">
        <f>F878</f>
        <v>87.9</v>
      </c>
    </row>
    <row r="878" spans="1:6" ht="12.75">
      <c r="A878" s="29" t="str">
        <f>'пр.5 вед.стр.'!A850</f>
        <v>Субсидии бюджетным учреждениям</v>
      </c>
      <c r="B878" s="20" t="s">
        <v>71</v>
      </c>
      <c r="C878" s="20" t="s">
        <v>63</v>
      </c>
      <c r="D878" s="115" t="str">
        <f>'пр.5 вед.стр.'!E850</f>
        <v xml:space="preserve">7Ф 0 01 75010 </v>
      </c>
      <c r="E878" s="110" t="str">
        <f>'пр.5 вед.стр.'!F850</f>
        <v>610</v>
      </c>
      <c r="F878" s="61">
        <f>'пр.5 вед.стр.'!G850</f>
        <v>87.9</v>
      </c>
    </row>
    <row r="879" spans="1:6" ht="12.75">
      <c r="A879" s="29" t="str">
        <f>'пр.5 вед.стр.'!A851</f>
        <v>Укрепление материально- технической базы</v>
      </c>
      <c r="B879" s="20" t="s">
        <v>71</v>
      </c>
      <c r="C879" s="20" t="s">
        <v>63</v>
      </c>
      <c r="D879" s="115" t="str">
        <f>'пр.5 вед.стр.'!E851</f>
        <v xml:space="preserve">7Ф 0 01 92500 </v>
      </c>
      <c r="E879" s="110"/>
      <c r="F879" s="61">
        <f>F880</f>
        <v>300</v>
      </c>
    </row>
    <row r="880" spans="1:6" ht="25.5">
      <c r="A880" s="29" t="str">
        <f>'пр.5 вед.стр.'!A852</f>
        <v>Предоставление субсидий бюджетным, автономным учреждениям и иным некоммерческим организациям</v>
      </c>
      <c r="B880" s="20" t="s">
        <v>71</v>
      </c>
      <c r="C880" s="20" t="s">
        <v>63</v>
      </c>
      <c r="D880" s="115" t="str">
        <f>'пр.5 вед.стр.'!E852</f>
        <v xml:space="preserve">7Ф 0 01 92500 </v>
      </c>
      <c r="E880" s="110" t="str">
        <f>'пр.5 вед.стр.'!F852</f>
        <v>600</v>
      </c>
      <c r="F880" s="61">
        <f>F881</f>
        <v>300</v>
      </c>
    </row>
    <row r="881" spans="1:6" ht="12.75">
      <c r="A881" s="29" t="str">
        <f>'пр.5 вед.стр.'!A853</f>
        <v>Субсидии бюджетным учреждениям</v>
      </c>
      <c r="B881" s="20" t="s">
        <v>71</v>
      </c>
      <c r="C881" s="20" t="s">
        <v>63</v>
      </c>
      <c r="D881" s="115" t="str">
        <f>'пр.5 вед.стр.'!E853</f>
        <v xml:space="preserve">7Ф 0 01 92500 </v>
      </c>
      <c r="E881" s="110" t="str">
        <f>'пр.5 вед.стр.'!F853</f>
        <v>610</v>
      </c>
      <c r="F881" s="61">
        <f>'пр.5 вед.стр.'!G853</f>
        <v>300</v>
      </c>
    </row>
    <row r="882" spans="1:6" ht="12.75">
      <c r="A882" s="29" t="str">
        <f>'пр.5 вед.стр.'!A854</f>
        <v>Оздоровительная, спортивно- массовая работа с населением, проведение мероприятий</v>
      </c>
      <c r="B882" s="20" t="s">
        <v>71</v>
      </c>
      <c r="C882" s="20" t="s">
        <v>63</v>
      </c>
      <c r="D882" s="115" t="str">
        <f>'пр.5 вед.стр.'!E854</f>
        <v xml:space="preserve">7Ф 0 01 93100 </v>
      </c>
      <c r="E882" s="110"/>
      <c r="F882" s="61">
        <f>F883</f>
        <v>850</v>
      </c>
    </row>
    <row r="883" spans="1:6" ht="25.5">
      <c r="A883" s="29" t="str">
        <f>'пр.5 вед.стр.'!A855</f>
        <v>Предоставление субсидий бюджетным, автономным учреждениям и иным некоммерческим организациям</v>
      </c>
      <c r="B883" s="20" t="s">
        <v>71</v>
      </c>
      <c r="C883" s="20" t="s">
        <v>63</v>
      </c>
      <c r="D883" s="115" t="str">
        <f>'пр.5 вед.стр.'!E855</f>
        <v xml:space="preserve">7Ф 0 01 93100 </v>
      </c>
      <c r="E883" s="110" t="str">
        <f>'пр.5 вед.стр.'!F855</f>
        <v>600</v>
      </c>
      <c r="F883" s="61">
        <f>F884</f>
        <v>850</v>
      </c>
    </row>
    <row r="884" spans="1:6" ht="12.75">
      <c r="A884" s="29" t="str">
        <f>'пр.5 вед.стр.'!A856</f>
        <v>Субсидии бюджетным учреждениям</v>
      </c>
      <c r="B884" s="20" t="s">
        <v>71</v>
      </c>
      <c r="C884" s="20" t="s">
        <v>63</v>
      </c>
      <c r="D884" s="115" t="str">
        <f>'пр.5 вед.стр.'!E856</f>
        <v xml:space="preserve">7Ф 0 01 93100 </v>
      </c>
      <c r="E884" s="110" t="str">
        <f>'пр.5 вед.стр.'!F856</f>
        <v>610</v>
      </c>
      <c r="F884" s="61">
        <f>'пр.5 вед.стр.'!G856</f>
        <v>850</v>
      </c>
    </row>
    <row r="885" spans="1:6" ht="12.75">
      <c r="A885" s="16" t="s">
        <v>540</v>
      </c>
      <c r="B885" s="20" t="s">
        <v>71</v>
      </c>
      <c r="C885" s="20" t="s">
        <v>63</v>
      </c>
      <c r="D885" s="110" t="s">
        <v>541</v>
      </c>
      <c r="E885" s="110"/>
      <c r="F885" s="61">
        <f>F886+F889+F892</f>
        <v>27628.300000000003</v>
      </c>
    </row>
    <row r="886" spans="1:6" ht="12.75">
      <c r="A886" s="16" t="s">
        <v>185</v>
      </c>
      <c r="B886" s="20" t="s">
        <v>71</v>
      </c>
      <c r="C886" s="20" t="s">
        <v>63</v>
      </c>
      <c r="D886" s="110" t="s">
        <v>542</v>
      </c>
      <c r="E886" s="110"/>
      <c r="F886" s="61">
        <f>F887</f>
        <v>27456.600000000002</v>
      </c>
    </row>
    <row r="887" spans="1:6" ht="25.5">
      <c r="A887" s="16" t="s">
        <v>95</v>
      </c>
      <c r="B887" s="20" t="s">
        <v>71</v>
      </c>
      <c r="C887" s="20" t="s">
        <v>63</v>
      </c>
      <c r="D887" s="110" t="s">
        <v>542</v>
      </c>
      <c r="E887" s="110" t="s">
        <v>96</v>
      </c>
      <c r="F887" s="61">
        <f>F888</f>
        <v>27456.600000000002</v>
      </c>
    </row>
    <row r="888" spans="1:6" ht="12.75">
      <c r="A888" s="16" t="s">
        <v>99</v>
      </c>
      <c r="B888" s="20" t="s">
        <v>71</v>
      </c>
      <c r="C888" s="20" t="s">
        <v>63</v>
      </c>
      <c r="D888" s="110" t="s">
        <v>542</v>
      </c>
      <c r="E888" s="110" t="s">
        <v>100</v>
      </c>
      <c r="F888" s="61">
        <f>'пр.5 вед.стр.'!G860</f>
        <v>27456.600000000002</v>
      </c>
    </row>
    <row r="889" spans="1:6" ht="38.25">
      <c r="A889" s="16" t="s">
        <v>204</v>
      </c>
      <c r="B889" s="20" t="s">
        <v>71</v>
      </c>
      <c r="C889" s="20" t="s">
        <v>63</v>
      </c>
      <c r="D889" s="110" t="s">
        <v>543</v>
      </c>
      <c r="E889" s="110"/>
      <c r="F889" s="61">
        <f>F890</f>
        <v>159.7</v>
      </c>
    </row>
    <row r="890" spans="1:6" ht="25.5">
      <c r="A890" s="16" t="s">
        <v>95</v>
      </c>
      <c r="B890" s="20" t="s">
        <v>71</v>
      </c>
      <c r="C890" s="20" t="s">
        <v>63</v>
      </c>
      <c r="D890" s="110" t="s">
        <v>543</v>
      </c>
      <c r="E890" s="110" t="s">
        <v>96</v>
      </c>
      <c r="F890" s="61">
        <f>F891</f>
        <v>159.7</v>
      </c>
    </row>
    <row r="891" spans="1:6" ht="12.75">
      <c r="A891" s="16" t="s">
        <v>99</v>
      </c>
      <c r="B891" s="20" t="s">
        <v>71</v>
      </c>
      <c r="C891" s="20" t="s">
        <v>63</v>
      </c>
      <c r="D891" s="110" t="s">
        <v>543</v>
      </c>
      <c r="E891" s="110" t="s">
        <v>100</v>
      </c>
      <c r="F891" s="61">
        <f>'пр.5 вед.стр.'!G863</f>
        <v>159.7</v>
      </c>
    </row>
    <row r="892" spans="1:6" ht="12.75">
      <c r="A892" s="16" t="s">
        <v>176</v>
      </c>
      <c r="B892" s="20" t="s">
        <v>71</v>
      </c>
      <c r="C892" s="20" t="s">
        <v>63</v>
      </c>
      <c r="D892" s="110" t="s">
        <v>544</v>
      </c>
      <c r="E892" s="110"/>
      <c r="F892" s="61">
        <f>F893</f>
        <v>12</v>
      </c>
    </row>
    <row r="893" spans="1:6" ht="25.5">
      <c r="A893" s="16" t="s">
        <v>95</v>
      </c>
      <c r="B893" s="20" t="s">
        <v>71</v>
      </c>
      <c r="C893" s="20" t="s">
        <v>63</v>
      </c>
      <c r="D893" s="110" t="s">
        <v>544</v>
      </c>
      <c r="E893" s="110" t="s">
        <v>96</v>
      </c>
      <c r="F893" s="61">
        <f>F894</f>
        <v>12</v>
      </c>
    </row>
    <row r="894" spans="1:6" ht="12.75">
      <c r="A894" s="16" t="s">
        <v>99</v>
      </c>
      <c r="B894" s="20" t="s">
        <v>71</v>
      </c>
      <c r="C894" s="20" t="s">
        <v>63</v>
      </c>
      <c r="D894" s="110" t="s">
        <v>544</v>
      </c>
      <c r="E894" s="110" t="s">
        <v>100</v>
      </c>
      <c r="F894" s="61">
        <f>'пр.5 вед.стр.'!G866</f>
        <v>12</v>
      </c>
    </row>
    <row r="895" spans="1:6" ht="12.75">
      <c r="A895" s="16" t="s">
        <v>28</v>
      </c>
      <c r="B895" s="20" t="s">
        <v>71</v>
      </c>
      <c r="C895" s="20" t="s">
        <v>63</v>
      </c>
      <c r="D895" s="110" t="s">
        <v>545</v>
      </c>
      <c r="E895" s="110"/>
      <c r="F895" s="61">
        <f>F896</f>
        <v>519.4</v>
      </c>
    </row>
    <row r="896" spans="1:6" ht="12.75">
      <c r="A896" s="11" t="s">
        <v>546</v>
      </c>
      <c r="B896" s="20" t="s">
        <v>71</v>
      </c>
      <c r="C896" s="20" t="s">
        <v>63</v>
      </c>
      <c r="D896" s="110" t="s">
        <v>547</v>
      </c>
      <c r="E896" s="110"/>
      <c r="F896" s="61">
        <f>F897</f>
        <v>519.4</v>
      </c>
    </row>
    <row r="897" spans="1:6" ht="25.5">
      <c r="A897" s="16" t="s">
        <v>95</v>
      </c>
      <c r="B897" s="20" t="s">
        <v>71</v>
      </c>
      <c r="C897" s="20" t="s">
        <v>63</v>
      </c>
      <c r="D897" s="110" t="s">
        <v>547</v>
      </c>
      <c r="E897" s="110" t="s">
        <v>96</v>
      </c>
      <c r="F897" s="61">
        <f>F898</f>
        <v>519.4</v>
      </c>
    </row>
    <row r="898" spans="1:6" ht="12.75">
      <c r="A898" s="16" t="s">
        <v>99</v>
      </c>
      <c r="B898" s="20" t="s">
        <v>71</v>
      </c>
      <c r="C898" s="20" t="s">
        <v>63</v>
      </c>
      <c r="D898" s="110" t="s">
        <v>547</v>
      </c>
      <c r="E898" s="110" t="s">
        <v>100</v>
      </c>
      <c r="F898" s="61">
        <f>'пр.5 вед.стр.'!G870</f>
        <v>519.4</v>
      </c>
    </row>
    <row r="899" spans="1:6" ht="12.75">
      <c r="A899" s="15" t="s">
        <v>82</v>
      </c>
      <c r="B899" s="32" t="s">
        <v>75</v>
      </c>
      <c r="C899" s="32" t="s">
        <v>34</v>
      </c>
      <c r="D899" s="110"/>
      <c r="E899" s="110"/>
      <c r="F899" s="174">
        <f>F900</f>
        <v>5617</v>
      </c>
    </row>
    <row r="900" spans="1:6" ht="12.75">
      <c r="A900" s="15" t="s">
        <v>13</v>
      </c>
      <c r="B900" s="32" t="s">
        <v>75</v>
      </c>
      <c r="C900" s="32" t="s">
        <v>64</v>
      </c>
      <c r="D900" s="113"/>
      <c r="E900" s="110"/>
      <c r="F900" s="174">
        <f>F901</f>
        <v>5617</v>
      </c>
    </row>
    <row r="901" spans="1:6" ht="12.75">
      <c r="A901" s="16" t="s">
        <v>171</v>
      </c>
      <c r="B901" s="20" t="s">
        <v>75</v>
      </c>
      <c r="C901" s="20" t="s">
        <v>64</v>
      </c>
      <c r="D901" s="110" t="s">
        <v>501</v>
      </c>
      <c r="E901" s="110"/>
      <c r="F901" s="61">
        <f>F902</f>
        <v>5617</v>
      </c>
    </row>
    <row r="902" spans="1:6" ht="12.75">
      <c r="A902" s="16" t="s">
        <v>185</v>
      </c>
      <c r="B902" s="20" t="s">
        <v>75</v>
      </c>
      <c r="C902" s="20" t="s">
        <v>64</v>
      </c>
      <c r="D902" s="110" t="s">
        <v>502</v>
      </c>
      <c r="E902" s="110"/>
      <c r="F902" s="61">
        <f>F903</f>
        <v>5617</v>
      </c>
    </row>
    <row r="903" spans="1:6" ht="25.5">
      <c r="A903" s="16" t="s">
        <v>95</v>
      </c>
      <c r="B903" s="20" t="s">
        <v>75</v>
      </c>
      <c r="C903" s="20" t="s">
        <v>64</v>
      </c>
      <c r="D903" s="110" t="s">
        <v>502</v>
      </c>
      <c r="E903" s="110" t="s">
        <v>96</v>
      </c>
      <c r="F903" s="61">
        <f>F904</f>
        <v>5617</v>
      </c>
    </row>
    <row r="904" spans="1:6" ht="12.75">
      <c r="A904" s="16" t="s">
        <v>97</v>
      </c>
      <c r="B904" s="20" t="s">
        <v>75</v>
      </c>
      <c r="C904" s="20" t="s">
        <v>64</v>
      </c>
      <c r="D904" s="110" t="s">
        <v>502</v>
      </c>
      <c r="E904" s="110" t="s">
        <v>98</v>
      </c>
      <c r="F904" s="61">
        <f>'пр.5 вед.стр.'!G352</f>
        <v>5617</v>
      </c>
    </row>
    <row r="905" spans="1:6" ht="12.75">
      <c r="A905" s="15" t="s">
        <v>198</v>
      </c>
      <c r="B905" s="32" t="s">
        <v>84</v>
      </c>
      <c r="C905" s="32" t="s">
        <v>34</v>
      </c>
      <c r="D905" s="113"/>
      <c r="E905" s="113"/>
      <c r="F905" s="174">
        <f>F906</f>
        <v>12</v>
      </c>
    </row>
    <row r="906" spans="1:22" s="60" customFormat="1" ht="12.75">
      <c r="A906" s="15" t="str">
        <f>'пр.5 вед.стр.'!A252</f>
        <v>Обслуживание государственного внутреннего и муниципального долга</v>
      </c>
      <c r="B906" s="32" t="s">
        <v>84</v>
      </c>
      <c r="C906" s="32" t="s">
        <v>63</v>
      </c>
      <c r="D906" s="113"/>
      <c r="E906" s="113"/>
      <c r="F906" s="174">
        <f>F907</f>
        <v>12</v>
      </c>
      <c r="G906" s="81"/>
      <c r="H906" s="81"/>
      <c r="I906" s="81"/>
      <c r="J906" s="81"/>
      <c r="K906" s="79"/>
      <c r="L906" s="79"/>
      <c r="M906" s="79"/>
      <c r="N906" s="79"/>
      <c r="O906" s="81"/>
      <c r="P906" s="81"/>
      <c r="Q906" s="81"/>
      <c r="R906" s="81"/>
      <c r="S906" s="81"/>
      <c r="T906" s="81"/>
      <c r="U906" s="81"/>
      <c r="V906" s="81"/>
    </row>
    <row r="907" spans="1:22" s="60" customFormat="1" ht="12.75">
      <c r="A907" s="16" t="str">
        <f>'пр.5 вед.стр.'!A253</f>
        <v>Процентные платежи по долговым обязательствам</v>
      </c>
      <c r="B907" s="20" t="s">
        <v>84</v>
      </c>
      <c r="C907" s="20" t="s">
        <v>63</v>
      </c>
      <c r="D907" s="110" t="s">
        <v>490</v>
      </c>
      <c r="E907" s="110"/>
      <c r="F907" s="61">
        <f>F908</f>
        <v>12</v>
      </c>
      <c r="G907" s="81"/>
      <c r="H907" s="81"/>
      <c r="I907" s="81"/>
      <c r="J907" s="81"/>
      <c r="K907" s="79"/>
      <c r="L907" s="79"/>
      <c r="M907" s="79"/>
      <c r="N907" s="79"/>
      <c r="O907" s="81"/>
      <c r="P907" s="81"/>
      <c r="Q907" s="81"/>
      <c r="R907" s="81"/>
      <c r="S907" s="81"/>
      <c r="T907" s="81"/>
      <c r="U907" s="81"/>
      <c r="V907" s="81"/>
    </row>
    <row r="908" spans="1:22" s="60" customFormat="1" ht="12.75">
      <c r="A908" s="16" t="str">
        <f>'пр.5 вед.стр.'!A254</f>
        <v>Процентные платежи по муниципальному долгу</v>
      </c>
      <c r="B908" s="20" t="s">
        <v>84</v>
      </c>
      <c r="C908" s="20" t="s">
        <v>63</v>
      </c>
      <c r="D908" s="110" t="s">
        <v>491</v>
      </c>
      <c r="E908" s="110"/>
      <c r="F908" s="61">
        <f>F909</f>
        <v>12</v>
      </c>
      <c r="G908" s="81"/>
      <c r="H908" s="81"/>
      <c r="I908" s="81"/>
      <c r="J908" s="81"/>
      <c r="K908" s="79"/>
      <c r="L908" s="79"/>
      <c r="M908" s="79"/>
      <c r="N908" s="79"/>
      <c r="O908" s="81"/>
      <c r="P908" s="81"/>
      <c r="Q908" s="81"/>
      <c r="R908" s="81"/>
      <c r="S908" s="81"/>
      <c r="T908" s="81"/>
      <c r="U908" s="81"/>
      <c r="V908" s="81"/>
    </row>
    <row r="909" spans="1:22" s="60" customFormat="1" ht="12.75">
      <c r="A909" s="16" t="str">
        <f>'пр.5 вед.стр.'!A255</f>
        <v>Обслуживание государственного (муниципального) долга</v>
      </c>
      <c r="B909" s="20" t="s">
        <v>84</v>
      </c>
      <c r="C909" s="20" t="s">
        <v>63</v>
      </c>
      <c r="D909" s="110" t="s">
        <v>491</v>
      </c>
      <c r="E909" s="110" t="s">
        <v>107</v>
      </c>
      <c r="F909" s="61">
        <f>F910</f>
        <v>12</v>
      </c>
      <c r="G909" s="81"/>
      <c r="H909" s="81"/>
      <c r="I909" s="81"/>
      <c r="J909" s="81"/>
      <c r="K909" s="79"/>
      <c r="L909" s="79"/>
      <c r="M909" s="79"/>
      <c r="N909" s="79"/>
      <c r="O909" s="81"/>
      <c r="P909" s="81"/>
      <c r="Q909" s="81"/>
      <c r="R909" s="81"/>
      <c r="S909" s="81"/>
      <c r="T909" s="81"/>
      <c r="U909" s="81"/>
      <c r="V909" s="81"/>
    </row>
    <row r="910" spans="1:22" s="60" customFormat="1" ht="12.75">
      <c r="A910" s="16" t="str">
        <f>'пр.5 вед.стр.'!A256</f>
        <v>Обслуживание муниципального долга</v>
      </c>
      <c r="B910" s="20" t="s">
        <v>84</v>
      </c>
      <c r="C910" s="20" t="s">
        <v>63</v>
      </c>
      <c r="D910" s="110" t="s">
        <v>491</v>
      </c>
      <c r="E910" s="110" t="s">
        <v>109</v>
      </c>
      <c r="F910" s="61">
        <f>'пр.5 вед.стр.'!G256</f>
        <v>12</v>
      </c>
      <c r="G910" s="81"/>
      <c r="H910" s="81"/>
      <c r="I910" s="81"/>
      <c r="J910" s="81"/>
      <c r="K910" s="79"/>
      <c r="L910" s="79"/>
      <c r="M910" s="79"/>
      <c r="N910" s="79"/>
      <c r="O910" s="81"/>
      <c r="P910" s="81"/>
      <c r="Q910" s="81"/>
      <c r="R910" s="81"/>
      <c r="S910" s="81"/>
      <c r="T910" s="81"/>
      <c r="U910" s="81"/>
      <c r="V910" s="81"/>
    </row>
    <row r="911" spans="1:11" ht="12.75">
      <c r="A911" s="31" t="s">
        <v>74</v>
      </c>
      <c r="B911" s="34"/>
      <c r="C911" s="34"/>
      <c r="D911" s="110"/>
      <c r="E911" s="110"/>
      <c r="F911" s="177">
        <f>F9+F186+F193+F217+F265+F339+F354+F665+F784+F849+F899+F905</f>
        <v>776848.8999999999</v>
      </c>
      <c r="K911" s="133"/>
    </row>
    <row r="912" ht="12.75">
      <c r="F912" s="132">
        <f>SUBTOTAL(9,F14:F911)</f>
        <v>6008585.700000001</v>
      </c>
    </row>
    <row r="913" spans="6:11" ht="12.75">
      <c r="F913" s="132"/>
      <c r="K913" s="133"/>
    </row>
    <row r="914" spans="6:7" ht="12.75">
      <c r="F914" s="132"/>
      <c r="G914" s="133"/>
    </row>
    <row r="971" spans="1:6" s="79" customFormat="1" ht="12.75">
      <c r="A971" s="118"/>
      <c r="B971" s="191"/>
      <c r="C971" s="191"/>
      <c r="D971" s="192"/>
      <c r="E971" s="192"/>
      <c r="F971" s="193"/>
    </row>
    <row r="1041" spans="11:14" ht="12.75">
      <c r="K1041" s="81"/>
      <c r="L1041" s="81"/>
      <c r="M1041" s="81"/>
      <c r="N1041" s="81"/>
    </row>
    <row r="1042" spans="11:14" ht="12.75">
      <c r="K1042" s="81"/>
      <c r="L1042" s="81"/>
      <c r="M1042" s="81"/>
      <c r="N1042" s="81"/>
    </row>
  </sheetData>
  <mergeCells count="5">
    <mergeCell ref="A1:F1"/>
    <mergeCell ref="A2:F2"/>
    <mergeCell ref="A3:F3"/>
    <mergeCell ref="A4:F4"/>
    <mergeCell ref="A5:F5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08"/>
  <sheetViews>
    <sheetView view="pageBreakPreview" zoomScaleSheetLayoutView="100" workbookViewId="0" topLeftCell="A1">
      <selection activeCell="A21" sqref="A21"/>
    </sheetView>
  </sheetViews>
  <sheetFormatPr defaultColWidth="9.125" defaultRowHeight="12.75"/>
  <cols>
    <col min="1" max="1" width="74.25390625" style="11" customWidth="1"/>
    <col min="2" max="2" width="6.75390625" style="38" bestFit="1" customWidth="1"/>
    <col min="3" max="3" width="3.875" style="38" customWidth="1"/>
    <col min="4" max="4" width="3.75390625" style="38" customWidth="1"/>
    <col min="5" max="5" width="15.00390625" style="112" customWidth="1"/>
    <col min="6" max="6" width="5.25390625" style="112" customWidth="1"/>
    <col min="7" max="7" width="13.25390625" style="194" customWidth="1"/>
    <col min="8" max="16384" width="9.125" style="11" customWidth="1"/>
  </cols>
  <sheetData>
    <row r="1" spans="1:7" ht="12.75">
      <c r="A1" s="263" t="s">
        <v>350</v>
      </c>
      <c r="B1" s="263"/>
      <c r="C1" s="263"/>
      <c r="D1" s="263"/>
      <c r="E1" s="263"/>
      <c r="F1" s="276"/>
      <c r="G1" s="263"/>
    </row>
    <row r="2" spans="1:7" ht="12.75">
      <c r="A2" s="263" t="str">
        <f>'пр3 по разд'!A2:D2</f>
        <v>к  решению Собрания представителей Сусуманского городского округа</v>
      </c>
      <c r="B2" s="263"/>
      <c r="C2" s="263"/>
      <c r="D2" s="263"/>
      <c r="E2" s="263"/>
      <c r="F2" s="276"/>
      <c r="G2" s="263"/>
    </row>
    <row r="3" spans="1:7" ht="12.75">
      <c r="A3" s="263" t="str">
        <f>'пр.4'!A3</f>
        <v>"О бюджете муниципального образования "Сусуманский городской округ" на 2019 год</v>
      </c>
      <c r="B3" s="263"/>
      <c r="C3" s="263"/>
      <c r="D3" s="263"/>
      <c r="E3" s="263"/>
      <c r="F3" s="276"/>
      <c r="G3" s="263"/>
    </row>
    <row r="4" spans="1:7" ht="12.75">
      <c r="A4" s="263" t="str">
        <f>'пр3 по разд'!A4:D4</f>
        <v>от 30.12.2019 г. № 329</v>
      </c>
      <c r="B4" s="263"/>
      <c r="C4" s="263"/>
      <c r="D4" s="263"/>
      <c r="E4" s="263"/>
      <c r="F4" s="276"/>
      <c r="G4" s="263"/>
    </row>
    <row r="5" spans="1:7" ht="12.75">
      <c r="A5" s="274" t="s">
        <v>596</v>
      </c>
      <c r="B5" s="274"/>
      <c r="C5" s="274"/>
      <c r="D5" s="274"/>
      <c r="E5" s="274"/>
      <c r="F5" s="274"/>
      <c r="G5" s="274"/>
    </row>
    <row r="6" ht="26.25" customHeight="1">
      <c r="G6" s="194" t="s">
        <v>1</v>
      </c>
    </row>
    <row r="7" spans="1:7" ht="12.75">
      <c r="A7" s="24" t="s">
        <v>30</v>
      </c>
      <c r="B7" s="39" t="s">
        <v>0</v>
      </c>
      <c r="C7" s="39" t="s">
        <v>43</v>
      </c>
      <c r="D7" s="39" t="s">
        <v>42</v>
      </c>
      <c r="E7" s="113" t="s">
        <v>44</v>
      </c>
      <c r="F7" s="113" t="s">
        <v>45</v>
      </c>
      <c r="G7" s="195" t="str">
        <f>'пр.4'!F7</f>
        <v>Сумма</v>
      </c>
    </row>
    <row r="8" spans="1:7" ht="12.75">
      <c r="A8" s="24">
        <v>1</v>
      </c>
      <c r="B8" s="39">
        <v>2</v>
      </c>
      <c r="C8" s="39">
        <v>3</v>
      </c>
      <c r="D8" s="39">
        <v>4</v>
      </c>
      <c r="E8" s="119">
        <v>5</v>
      </c>
      <c r="F8" s="119">
        <v>6</v>
      </c>
      <c r="G8" s="196">
        <v>7</v>
      </c>
    </row>
    <row r="9" spans="1:7" ht="12.75">
      <c r="A9" s="197" t="s">
        <v>130</v>
      </c>
      <c r="B9" s="32" t="s">
        <v>270</v>
      </c>
      <c r="C9" s="32"/>
      <c r="D9" s="34"/>
      <c r="E9" s="110"/>
      <c r="F9" s="110"/>
      <c r="G9" s="198">
        <f>G10+G105+G153+G163+G129+G98+G147</f>
        <v>161706</v>
      </c>
    </row>
    <row r="10" spans="1:7" ht="12.75">
      <c r="A10" s="15" t="s">
        <v>2</v>
      </c>
      <c r="B10" s="32" t="s">
        <v>270</v>
      </c>
      <c r="C10" s="32" t="s">
        <v>63</v>
      </c>
      <c r="D10" s="32" t="s">
        <v>34</v>
      </c>
      <c r="E10" s="110"/>
      <c r="F10" s="110"/>
      <c r="G10" s="198">
        <f>G11+G17+G51</f>
        <v>97378.3</v>
      </c>
    </row>
    <row r="11" spans="1:7" ht="25.5">
      <c r="A11" s="14" t="s">
        <v>15</v>
      </c>
      <c r="B11" s="32" t="s">
        <v>270</v>
      </c>
      <c r="C11" s="32" t="s">
        <v>63</v>
      </c>
      <c r="D11" s="32" t="s">
        <v>64</v>
      </c>
      <c r="E11" s="113"/>
      <c r="F11" s="113"/>
      <c r="G11" s="198">
        <f>G12</f>
        <v>4834</v>
      </c>
    </row>
    <row r="12" spans="1:7" ht="25.5">
      <c r="A12" s="16" t="s">
        <v>277</v>
      </c>
      <c r="B12" s="20" t="s">
        <v>270</v>
      </c>
      <c r="C12" s="20" t="s">
        <v>63</v>
      </c>
      <c r="D12" s="20" t="s">
        <v>64</v>
      </c>
      <c r="E12" s="110" t="s">
        <v>175</v>
      </c>
      <c r="F12" s="110"/>
      <c r="G12" s="199">
        <f>G13</f>
        <v>4834</v>
      </c>
    </row>
    <row r="13" spans="1:7" ht="12.75">
      <c r="A13" s="16" t="s">
        <v>16</v>
      </c>
      <c r="B13" s="20" t="s">
        <v>270</v>
      </c>
      <c r="C13" s="20" t="s">
        <v>63</v>
      </c>
      <c r="D13" s="20" t="s">
        <v>64</v>
      </c>
      <c r="E13" s="110" t="s">
        <v>460</v>
      </c>
      <c r="F13" s="110"/>
      <c r="G13" s="199">
        <f>G14</f>
        <v>4834</v>
      </c>
    </row>
    <row r="14" spans="1:7" ht="12.75">
      <c r="A14" s="16" t="s">
        <v>177</v>
      </c>
      <c r="B14" s="20" t="s">
        <v>270</v>
      </c>
      <c r="C14" s="20" t="s">
        <v>63</v>
      </c>
      <c r="D14" s="20" t="s">
        <v>64</v>
      </c>
      <c r="E14" s="110" t="s">
        <v>461</v>
      </c>
      <c r="F14" s="110"/>
      <c r="G14" s="199">
        <f>G15</f>
        <v>4834</v>
      </c>
    </row>
    <row r="15" spans="1:7" ht="38.25">
      <c r="A15" s="16" t="s">
        <v>92</v>
      </c>
      <c r="B15" s="20" t="s">
        <v>270</v>
      </c>
      <c r="C15" s="20" t="s">
        <v>63</v>
      </c>
      <c r="D15" s="20" t="s">
        <v>64</v>
      </c>
      <c r="E15" s="110" t="s">
        <v>461</v>
      </c>
      <c r="F15" s="110" t="s">
        <v>93</v>
      </c>
      <c r="G15" s="199">
        <f>G16</f>
        <v>4834</v>
      </c>
    </row>
    <row r="16" spans="1:7" ht="15" customHeight="1">
      <c r="A16" s="16" t="s">
        <v>89</v>
      </c>
      <c r="B16" s="20" t="s">
        <v>270</v>
      </c>
      <c r="C16" s="20" t="s">
        <v>63</v>
      </c>
      <c r="D16" s="20" t="s">
        <v>64</v>
      </c>
      <c r="E16" s="110" t="s">
        <v>461</v>
      </c>
      <c r="F16" s="110" t="s">
        <v>90</v>
      </c>
      <c r="G16" s="199">
        <f>4751.4+82.6</f>
        <v>4834</v>
      </c>
    </row>
    <row r="17" spans="1:7" ht="38.25">
      <c r="A17" s="15" t="s">
        <v>17</v>
      </c>
      <c r="B17" s="32" t="s">
        <v>270</v>
      </c>
      <c r="C17" s="32" t="s">
        <v>63</v>
      </c>
      <c r="D17" s="32" t="s">
        <v>65</v>
      </c>
      <c r="E17" s="113"/>
      <c r="F17" s="113"/>
      <c r="G17" s="198">
        <f>G31+G18</f>
        <v>90848.2</v>
      </c>
    </row>
    <row r="18" spans="1:7" ht="38.25">
      <c r="A18" s="117" t="s">
        <v>575</v>
      </c>
      <c r="B18" s="20" t="s">
        <v>270</v>
      </c>
      <c r="C18" s="20" t="s">
        <v>63</v>
      </c>
      <c r="D18" s="20" t="s">
        <v>65</v>
      </c>
      <c r="E18" s="110" t="s">
        <v>464</v>
      </c>
      <c r="F18" s="110"/>
      <c r="G18" s="199">
        <f>G19</f>
        <v>3718.1</v>
      </c>
    </row>
    <row r="19" spans="1:7" ht="25.5">
      <c r="A19" s="16" t="s">
        <v>465</v>
      </c>
      <c r="B19" s="20" t="s">
        <v>270</v>
      </c>
      <c r="C19" s="20" t="s">
        <v>63</v>
      </c>
      <c r="D19" s="20" t="s">
        <v>65</v>
      </c>
      <c r="E19" s="110" t="s">
        <v>466</v>
      </c>
      <c r="F19" s="110"/>
      <c r="G19" s="199">
        <f>G20+G25+G28</f>
        <v>3718.1</v>
      </c>
    </row>
    <row r="20" spans="1:7" ht="51">
      <c r="A20" s="16" t="s">
        <v>278</v>
      </c>
      <c r="B20" s="20" t="s">
        <v>270</v>
      </c>
      <c r="C20" s="20" t="s">
        <v>63</v>
      </c>
      <c r="D20" s="20" t="s">
        <v>65</v>
      </c>
      <c r="E20" s="110" t="s">
        <v>467</v>
      </c>
      <c r="F20" s="110"/>
      <c r="G20" s="199">
        <f>G21+G23</f>
        <v>2175.3</v>
      </c>
    </row>
    <row r="21" spans="1:7" ht="38.25">
      <c r="A21" s="16" t="s">
        <v>92</v>
      </c>
      <c r="B21" s="20" t="s">
        <v>270</v>
      </c>
      <c r="C21" s="20" t="s">
        <v>63</v>
      </c>
      <c r="D21" s="20" t="s">
        <v>65</v>
      </c>
      <c r="E21" s="110" t="s">
        <v>467</v>
      </c>
      <c r="F21" s="110" t="s">
        <v>93</v>
      </c>
      <c r="G21" s="199">
        <f>G22</f>
        <v>1090.2</v>
      </c>
    </row>
    <row r="22" spans="1:7" ht="12.75">
      <c r="A22" s="16" t="s">
        <v>89</v>
      </c>
      <c r="B22" s="20" t="s">
        <v>270</v>
      </c>
      <c r="C22" s="20" t="s">
        <v>63</v>
      </c>
      <c r="D22" s="20" t="s">
        <v>65</v>
      </c>
      <c r="E22" s="110" t="s">
        <v>467</v>
      </c>
      <c r="F22" s="110" t="s">
        <v>90</v>
      </c>
      <c r="G22" s="199">
        <v>1090.2</v>
      </c>
    </row>
    <row r="23" spans="1:7" ht="25.5">
      <c r="A23" s="16" t="s">
        <v>333</v>
      </c>
      <c r="B23" s="20" t="s">
        <v>270</v>
      </c>
      <c r="C23" s="20" t="s">
        <v>63</v>
      </c>
      <c r="D23" s="20" t="s">
        <v>65</v>
      </c>
      <c r="E23" s="110" t="s">
        <v>467</v>
      </c>
      <c r="F23" s="110" t="s">
        <v>94</v>
      </c>
      <c r="G23" s="199">
        <f>G24</f>
        <v>1085.1</v>
      </c>
    </row>
    <row r="24" spans="1:7" ht="25.5">
      <c r="A24" s="16" t="s">
        <v>608</v>
      </c>
      <c r="B24" s="20" t="s">
        <v>270</v>
      </c>
      <c r="C24" s="20" t="s">
        <v>63</v>
      </c>
      <c r="D24" s="20" t="s">
        <v>65</v>
      </c>
      <c r="E24" s="110" t="s">
        <v>467</v>
      </c>
      <c r="F24" s="110" t="s">
        <v>91</v>
      </c>
      <c r="G24" s="199">
        <f>1015.6+69.5</f>
        <v>1085.1</v>
      </c>
    </row>
    <row r="25" spans="1:7" ht="21" customHeight="1">
      <c r="A25" s="16" t="s">
        <v>177</v>
      </c>
      <c r="B25" s="20" t="s">
        <v>270</v>
      </c>
      <c r="C25" s="20" t="s">
        <v>63</v>
      </c>
      <c r="D25" s="20" t="s">
        <v>65</v>
      </c>
      <c r="E25" s="110" t="s">
        <v>468</v>
      </c>
      <c r="F25" s="110"/>
      <c r="G25" s="199">
        <f>G26</f>
        <v>1494.6</v>
      </c>
    </row>
    <row r="26" spans="1:7" ht="38.25">
      <c r="A26" s="16" t="s">
        <v>92</v>
      </c>
      <c r="B26" s="20" t="s">
        <v>270</v>
      </c>
      <c r="C26" s="20" t="s">
        <v>63</v>
      </c>
      <c r="D26" s="20" t="s">
        <v>65</v>
      </c>
      <c r="E26" s="110" t="s">
        <v>468</v>
      </c>
      <c r="F26" s="110" t="s">
        <v>93</v>
      </c>
      <c r="G26" s="199">
        <f>G27</f>
        <v>1494.6</v>
      </c>
    </row>
    <row r="27" spans="1:7" ht="16.15" customHeight="1">
      <c r="A27" s="16" t="s">
        <v>89</v>
      </c>
      <c r="B27" s="20" t="s">
        <v>270</v>
      </c>
      <c r="C27" s="20" t="s">
        <v>63</v>
      </c>
      <c r="D27" s="20" t="s">
        <v>65</v>
      </c>
      <c r="E27" s="110" t="s">
        <v>468</v>
      </c>
      <c r="F27" s="110" t="s">
        <v>90</v>
      </c>
      <c r="G27" s="199">
        <f>1564.6-22-48</f>
        <v>1494.6</v>
      </c>
    </row>
    <row r="28" spans="1:7" ht="12.75">
      <c r="A28" s="16" t="s">
        <v>178</v>
      </c>
      <c r="B28" s="20" t="s">
        <v>270</v>
      </c>
      <c r="C28" s="20" t="s">
        <v>63</v>
      </c>
      <c r="D28" s="20" t="s">
        <v>65</v>
      </c>
      <c r="E28" s="110" t="s">
        <v>469</v>
      </c>
      <c r="F28" s="110"/>
      <c r="G28" s="199">
        <f>G29</f>
        <v>48.2</v>
      </c>
    </row>
    <row r="29" spans="1:7" ht="25.5">
      <c r="A29" s="16" t="s">
        <v>333</v>
      </c>
      <c r="B29" s="20" t="s">
        <v>270</v>
      </c>
      <c r="C29" s="20" t="s">
        <v>63</v>
      </c>
      <c r="D29" s="20" t="s">
        <v>65</v>
      </c>
      <c r="E29" s="110" t="s">
        <v>469</v>
      </c>
      <c r="F29" s="110" t="s">
        <v>94</v>
      </c>
      <c r="G29" s="199">
        <f>G30</f>
        <v>48.2</v>
      </c>
    </row>
    <row r="30" spans="1:7" ht="25.5">
      <c r="A30" s="179" t="s">
        <v>608</v>
      </c>
      <c r="B30" s="180" t="s">
        <v>270</v>
      </c>
      <c r="C30" s="180" t="s">
        <v>63</v>
      </c>
      <c r="D30" s="180" t="s">
        <v>65</v>
      </c>
      <c r="E30" s="181" t="s">
        <v>469</v>
      </c>
      <c r="F30" s="181" t="s">
        <v>91</v>
      </c>
      <c r="G30" s="208">
        <f>88-39.8</f>
        <v>48.2</v>
      </c>
    </row>
    <row r="31" spans="1:7" ht="25.5">
      <c r="A31" s="16" t="s">
        <v>277</v>
      </c>
      <c r="B31" s="20" t="s">
        <v>270</v>
      </c>
      <c r="C31" s="20" t="s">
        <v>63</v>
      </c>
      <c r="D31" s="20" t="s">
        <v>65</v>
      </c>
      <c r="E31" s="110" t="s">
        <v>175</v>
      </c>
      <c r="F31" s="110"/>
      <c r="G31" s="199">
        <f>G32</f>
        <v>87130.09999999999</v>
      </c>
    </row>
    <row r="32" spans="1:7" ht="12.75">
      <c r="A32" s="16" t="s">
        <v>47</v>
      </c>
      <c r="B32" s="20" t="s">
        <v>270</v>
      </c>
      <c r="C32" s="20" t="s">
        <v>63</v>
      </c>
      <c r="D32" s="20" t="s">
        <v>65</v>
      </c>
      <c r="E32" s="110" t="s">
        <v>181</v>
      </c>
      <c r="F32" s="110"/>
      <c r="G32" s="199">
        <f>G33+G39+G45+G48+G36</f>
        <v>87130.09999999999</v>
      </c>
    </row>
    <row r="33" spans="1:7" ht="12.75">
      <c r="A33" s="16" t="s">
        <v>177</v>
      </c>
      <c r="B33" s="20" t="s">
        <v>270</v>
      </c>
      <c r="C33" s="20" t="s">
        <v>63</v>
      </c>
      <c r="D33" s="20" t="s">
        <v>65</v>
      </c>
      <c r="E33" s="110" t="s">
        <v>182</v>
      </c>
      <c r="F33" s="110"/>
      <c r="G33" s="199">
        <f>G34</f>
        <v>78208.7</v>
      </c>
    </row>
    <row r="34" spans="1:7" ht="38.25">
      <c r="A34" s="16" t="s">
        <v>92</v>
      </c>
      <c r="B34" s="20" t="s">
        <v>270</v>
      </c>
      <c r="C34" s="20" t="s">
        <v>63</v>
      </c>
      <c r="D34" s="20" t="s">
        <v>65</v>
      </c>
      <c r="E34" s="110" t="s">
        <v>182</v>
      </c>
      <c r="F34" s="110" t="s">
        <v>93</v>
      </c>
      <c r="G34" s="199">
        <f>G35</f>
        <v>78208.7</v>
      </c>
    </row>
    <row r="35" spans="1:7" ht="12.75">
      <c r="A35" s="16" t="s">
        <v>89</v>
      </c>
      <c r="B35" s="20" t="s">
        <v>270</v>
      </c>
      <c r="C35" s="20" t="s">
        <v>63</v>
      </c>
      <c r="D35" s="20" t="s">
        <v>65</v>
      </c>
      <c r="E35" s="110" t="s">
        <v>182</v>
      </c>
      <c r="F35" s="110" t="s">
        <v>90</v>
      </c>
      <c r="G35" s="199">
        <f>79557.3-1348.6</f>
        <v>78208.7</v>
      </c>
    </row>
    <row r="36" spans="1:7" ht="25.5">
      <c r="A36" s="203" t="s">
        <v>745</v>
      </c>
      <c r="B36" s="20" t="s">
        <v>270</v>
      </c>
      <c r="C36" s="20" t="s">
        <v>63</v>
      </c>
      <c r="D36" s="20" t="s">
        <v>65</v>
      </c>
      <c r="E36" s="110" t="s">
        <v>746</v>
      </c>
      <c r="F36" s="110"/>
      <c r="G36" s="199">
        <f>G37</f>
        <v>1393</v>
      </c>
    </row>
    <row r="37" spans="1:7" ht="38.25">
      <c r="A37" s="16" t="s">
        <v>92</v>
      </c>
      <c r="B37" s="20" t="s">
        <v>270</v>
      </c>
      <c r="C37" s="20" t="s">
        <v>63</v>
      </c>
      <c r="D37" s="20" t="s">
        <v>65</v>
      </c>
      <c r="E37" s="110" t="s">
        <v>746</v>
      </c>
      <c r="F37" s="110" t="s">
        <v>93</v>
      </c>
      <c r="G37" s="199">
        <f>G38</f>
        <v>1393</v>
      </c>
    </row>
    <row r="38" spans="1:7" ht="12.75">
      <c r="A38" s="16" t="s">
        <v>89</v>
      </c>
      <c r="B38" s="20" t="s">
        <v>270</v>
      </c>
      <c r="C38" s="20" t="s">
        <v>63</v>
      </c>
      <c r="D38" s="20" t="s">
        <v>65</v>
      </c>
      <c r="E38" s="110" t="s">
        <v>746</v>
      </c>
      <c r="F38" s="110" t="s">
        <v>90</v>
      </c>
      <c r="G38" s="199">
        <f>1130+263</f>
        <v>1393</v>
      </c>
    </row>
    <row r="39" spans="1:7" ht="12.75">
      <c r="A39" s="16" t="s">
        <v>178</v>
      </c>
      <c r="B39" s="20" t="s">
        <v>270</v>
      </c>
      <c r="C39" s="20" t="s">
        <v>63</v>
      </c>
      <c r="D39" s="20" t="s">
        <v>65</v>
      </c>
      <c r="E39" s="110" t="s">
        <v>183</v>
      </c>
      <c r="F39" s="110"/>
      <c r="G39" s="199">
        <f>G40+G42</f>
        <v>5563.4</v>
      </c>
    </row>
    <row r="40" spans="1:7" ht="25.5">
      <c r="A40" s="16" t="s">
        <v>333</v>
      </c>
      <c r="B40" s="20" t="s">
        <v>270</v>
      </c>
      <c r="C40" s="20" t="s">
        <v>63</v>
      </c>
      <c r="D40" s="20" t="s">
        <v>65</v>
      </c>
      <c r="E40" s="110" t="s">
        <v>183</v>
      </c>
      <c r="F40" s="110" t="s">
        <v>94</v>
      </c>
      <c r="G40" s="199">
        <f>G41</f>
        <v>3683.2</v>
      </c>
    </row>
    <row r="41" spans="1:7" ht="25.5">
      <c r="A41" s="16" t="s">
        <v>608</v>
      </c>
      <c r="B41" s="20" t="s">
        <v>270</v>
      </c>
      <c r="C41" s="20" t="s">
        <v>63</v>
      </c>
      <c r="D41" s="20" t="s">
        <v>65</v>
      </c>
      <c r="E41" s="110" t="s">
        <v>183</v>
      </c>
      <c r="F41" s="110" t="s">
        <v>91</v>
      </c>
      <c r="G41" s="199">
        <f>3642.6+40.6</f>
        <v>3683.2</v>
      </c>
    </row>
    <row r="42" spans="1:7" ht="12.75">
      <c r="A42" s="16" t="s">
        <v>110</v>
      </c>
      <c r="B42" s="20" t="s">
        <v>270</v>
      </c>
      <c r="C42" s="20" t="s">
        <v>63</v>
      </c>
      <c r="D42" s="20" t="s">
        <v>65</v>
      </c>
      <c r="E42" s="110" t="s">
        <v>183</v>
      </c>
      <c r="F42" s="110" t="s">
        <v>111</v>
      </c>
      <c r="G42" s="199">
        <f>G44+G43</f>
        <v>1880.1999999999998</v>
      </c>
    </row>
    <row r="43" spans="1:7" ht="12.75">
      <c r="A43" s="150" t="s">
        <v>651</v>
      </c>
      <c r="B43" s="20" t="s">
        <v>270</v>
      </c>
      <c r="C43" s="20" t="s">
        <v>63</v>
      </c>
      <c r="D43" s="20" t="s">
        <v>65</v>
      </c>
      <c r="E43" s="110" t="s">
        <v>183</v>
      </c>
      <c r="F43" s="142">
        <v>830</v>
      </c>
      <c r="G43" s="199">
        <f>981.6+289.7</f>
        <v>1271.3</v>
      </c>
    </row>
    <row r="44" spans="1:7" ht="12.75">
      <c r="A44" s="16" t="s">
        <v>113</v>
      </c>
      <c r="B44" s="20" t="s">
        <v>270</v>
      </c>
      <c r="C44" s="20" t="s">
        <v>63</v>
      </c>
      <c r="D44" s="20" t="s">
        <v>65</v>
      </c>
      <c r="E44" s="110" t="s">
        <v>183</v>
      </c>
      <c r="F44" s="110" t="s">
        <v>114</v>
      </c>
      <c r="G44" s="199">
        <f>588.9+20</f>
        <v>608.9</v>
      </c>
    </row>
    <row r="45" spans="1:7" ht="51">
      <c r="A45" s="16" t="s">
        <v>204</v>
      </c>
      <c r="B45" s="20" t="s">
        <v>270</v>
      </c>
      <c r="C45" s="20" t="s">
        <v>63</v>
      </c>
      <c r="D45" s="20" t="s">
        <v>65</v>
      </c>
      <c r="E45" s="110" t="s">
        <v>462</v>
      </c>
      <c r="F45" s="110"/>
      <c r="G45" s="199">
        <f>G46</f>
        <v>1850</v>
      </c>
    </row>
    <row r="46" spans="1:7" ht="38.25">
      <c r="A46" s="16" t="s">
        <v>92</v>
      </c>
      <c r="B46" s="20" t="s">
        <v>270</v>
      </c>
      <c r="C46" s="20" t="s">
        <v>63</v>
      </c>
      <c r="D46" s="20" t="s">
        <v>65</v>
      </c>
      <c r="E46" s="110" t="s">
        <v>462</v>
      </c>
      <c r="F46" s="110" t="s">
        <v>93</v>
      </c>
      <c r="G46" s="199">
        <f>G47</f>
        <v>1850</v>
      </c>
    </row>
    <row r="47" spans="1:7" ht="12.75">
      <c r="A47" s="16" t="s">
        <v>89</v>
      </c>
      <c r="B47" s="20" t="s">
        <v>270</v>
      </c>
      <c r="C47" s="20" t="s">
        <v>63</v>
      </c>
      <c r="D47" s="20" t="s">
        <v>65</v>
      </c>
      <c r="E47" s="110" t="s">
        <v>462</v>
      </c>
      <c r="F47" s="110" t="s">
        <v>90</v>
      </c>
      <c r="G47" s="199">
        <v>1850</v>
      </c>
    </row>
    <row r="48" spans="1:7" ht="12.75">
      <c r="A48" s="16" t="s">
        <v>176</v>
      </c>
      <c r="B48" s="20" t="s">
        <v>270</v>
      </c>
      <c r="C48" s="20" t="s">
        <v>63</v>
      </c>
      <c r="D48" s="20" t="s">
        <v>65</v>
      </c>
      <c r="E48" s="110" t="s">
        <v>463</v>
      </c>
      <c r="F48" s="110"/>
      <c r="G48" s="199">
        <f>G49</f>
        <v>115</v>
      </c>
    </row>
    <row r="49" spans="1:7" ht="38.25">
      <c r="A49" s="16" t="s">
        <v>92</v>
      </c>
      <c r="B49" s="20" t="s">
        <v>270</v>
      </c>
      <c r="C49" s="20" t="s">
        <v>63</v>
      </c>
      <c r="D49" s="20" t="s">
        <v>65</v>
      </c>
      <c r="E49" s="110" t="s">
        <v>463</v>
      </c>
      <c r="F49" s="110" t="s">
        <v>93</v>
      </c>
      <c r="G49" s="199">
        <f>G50</f>
        <v>115</v>
      </c>
    </row>
    <row r="50" spans="1:7" ht="12.75">
      <c r="A50" s="16" t="s">
        <v>89</v>
      </c>
      <c r="B50" s="20" t="s">
        <v>270</v>
      </c>
      <c r="C50" s="20" t="s">
        <v>63</v>
      </c>
      <c r="D50" s="20" t="s">
        <v>65</v>
      </c>
      <c r="E50" s="110" t="s">
        <v>463</v>
      </c>
      <c r="F50" s="110" t="s">
        <v>90</v>
      </c>
      <c r="G50" s="199">
        <v>115</v>
      </c>
    </row>
    <row r="51" spans="1:7" ht="12.75">
      <c r="A51" s="15" t="s">
        <v>60</v>
      </c>
      <c r="B51" s="32" t="s">
        <v>270</v>
      </c>
      <c r="C51" s="32" t="s">
        <v>63</v>
      </c>
      <c r="D51" s="32" t="s">
        <v>84</v>
      </c>
      <c r="E51" s="113"/>
      <c r="F51" s="113"/>
      <c r="G51" s="198">
        <f>G62+G52+G56</f>
        <v>1696.1</v>
      </c>
    </row>
    <row r="52" spans="1:7" ht="25.5">
      <c r="A52" s="185" t="s">
        <v>470</v>
      </c>
      <c r="B52" s="20" t="s">
        <v>270</v>
      </c>
      <c r="C52" s="20" t="s">
        <v>63</v>
      </c>
      <c r="D52" s="20" t="s">
        <v>84</v>
      </c>
      <c r="E52" s="110" t="s">
        <v>471</v>
      </c>
      <c r="F52" s="110"/>
      <c r="G52" s="199">
        <f>G53</f>
        <v>695.5999999999999</v>
      </c>
    </row>
    <row r="53" spans="1:7" ht="25.5">
      <c r="A53" s="16" t="s">
        <v>472</v>
      </c>
      <c r="B53" s="20" t="s">
        <v>270</v>
      </c>
      <c r="C53" s="20" t="s">
        <v>63</v>
      </c>
      <c r="D53" s="20" t="s">
        <v>84</v>
      </c>
      <c r="E53" s="110" t="s">
        <v>473</v>
      </c>
      <c r="F53" s="110"/>
      <c r="G53" s="199">
        <f>G54</f>
        <v>695.5999999999999</v>
      </c>
    </row>
    <row r="54" spans="1:7" ht="38.25">
      <c r="A54" s="16" t="s">
        <v>92</v>
      </c>
      <c r="B54" s="20" t="s">
        <v>270</v>
      </c>
      <c r="C54" s="20" t="s">
        <v>63</v>
      </c>
      <c r="D54" s="20" t="s">
        <v>84</v>
      </c>
      <c r="E54" s="110" t="s">
        <v>473</v>
      </c>
      <c r="F54" s="110" t="s">
        <v>93</v>
      </c>
      <c r="G54" s="199">
        <f>G55</f>
        <v>695.5999999999999</v>
      </c>
    </row>
    <row r="55" spans="1:7" ht="12.75">
      <c r="A55" s="16" t="s">
        <v>89</v>
      </c>
      <c r="B55" s="20" t="s">
        <v>270</v>
      </c>
      <c r="C55" s="20" t="s">
        <v>63</v>
      </c>
      <c r="D55" s="20" t="s">
        <v>84</v>
      </c>
      <c r="E55" s="110" t="s">
        <v>473</v>
      </c>
      <c r="F55" s="110" t="s">
        <v>90</v>
      </c>
      <c r="G55" s="199">
        <f>1027.3-331.7</f>
        <v>695.5999999999999</v>
      </c>
    </row>
    <row r="56" spans="1:7" ht="25.5">
      <c r="A56" s="232" t="s">
        <v>474</v>
      </c>
      <c r="B56" s="234" t="s">
        <v>270</v>
      </c>
      <c r="C56" s="234" t="s">
        <v>63</v>
      </c>
      <c r="D56" s="234" t="s">
        <v>84</v>
      </c>
      <c r="E56" s="236" t="s">
        <v>475</v>
      </c>
      <c r="F56" s="250"/>
      <c r="G56" s="237">
        <f>G57</f>
        <v>763.7</v>
      </c>
    </row>
    <row r="57" spans="1:7" ht="89.25">
      <c r="A57" s="232" t="s">
        <v>476</v>
      </c>
      <c r="B57" s="234" t="s">
        <v>270</v>
      </c>
      <c r="C57" s="234" t="s">
        <v>63</v>
      </c>
      <c r="D57" s="234" t="s">
        <v>84</v>
      </c>
      <c r="E57" s="236" t="s">
        <v>477</v>
      </c>
      <c r="F57" s="236"/>
      <c r="G57" s="237">
        <f>G58+G60</f>
        <v>763.7</v>
      </c>
    </row>
    <row r="58" spans="1:7" ht="38.25">
      <c r="A58" s="232" t="s">
        <v>92</v>
      </c>
      <c r="B58" s="234" t="s">
        <v>270</v>
      </c>
      <c r="C58" s="234" t="s">
        <v>63</v>
      </c>
      <c r="D58" s="234" t="s">
        <v>84</v>
      </c>
      <c r="E58" s="236" t="s">
        <v>477</v>
      </c>
      <c r="F58" s="236" t="s">
        <v>93</v>
      </c>
      <c r="G58" s="237">
        <f>G59</f>
        <v>734.7</v>
      </c>
    </row>
    <row r="59" spans="1:7" ht="12.75">
      <c r="A59" s="232" t="s">
        <v>89</v>
      </c>
      <c r="B59" s="234" t="s">
        <v>270</v>
      </c>
      <c r="C59" s="234" t="s">
        <v>63</v>
      </c>
      <c r="D59" s="234" t="s">
        <v>84</v>
      </c>
      <c r="E59" s="236" t="s">
        <v>477</v>
      </c>
      <c r="F59" s="236" t="s">
        <v>90</v>
      </c>
      <c r="G59" s="237">
        <f>1182.2+9.5-191.7-265.3</f>
        <v>734.7</v>
      </c>
    </row>
    <row r="60" spans="1:7" ht="25.5">
      <c r="A60" s="232" t="s">
        <v>333</v>
      </c>
      <c r="B60" s="234" t="s">
        <v>270</v>
      </c>
      <c r="C60" s="234" t="s">
        <v>63</v>
      </c>
      <c r="D60" s="234" t="s">
        <v>84</v>
      </c>
      <c r="E60" s="236" t="s">
        <v>477</v>
      </c>
      <c r="F60" s="236" t="s">
        <v>94</v>
      </c>
      <c r="G60" s="237">
        <f>G61</f>
        <v>28.999999999999993</v>
      </c>
    </row>
    <row r="61" spans="1:7" ht="25.5">
      <c r="A61" s="232" t="s">
        <v>608</v>
      </c>
      <c r="B61" s="234" t="s">
        <v>270</v>
      </c>
      <c r="C61" s="234" t="s">
        <v>63</v>
      </c>
      <c r="D61" s="234" t="s">
        <v>84</v>
      </c>
      <c r="E61" s="236" t="s">
        <v>477</v>
      </c>
      <c r="F61" s="236" t="s">
        <v>91</v>
      </c>
      <c r="G61" s="237">
        <f>67.1-9.5-28.6</f>
        <v>28.999999999999993</v>
      </c>
    </row>
    <row r="62" spans="1:7" ht="12.75">
      <c r="A62" s="16" t="s">
        <v>478</v>
      </c>
      <c r="B62" s="20" t="s">
        <v>270</v>
      </c>
      <c r="C62" s="20" t="s">
        <v>63</v>
      </c>
      <c r="D62" s="20" t="s">
        <v>84</v>
      </c>
      <c r="E62" s="115" t="s">
        <v>479</v>
      </c>
      <c r="F62" s="110"/>
      <c r="G62" s="199">
        <f>G63+G75+G86</f>
        <v>236.8</v>
      </c>
    </row>
    <row r="63" spans="1:7" ht="25.5">
      <c r="A63" s="29" t="str">
        <f>'МП пр.6'!A522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63" s="20" t="s">
        <v>270</v>
      </c>
      <c r="C63" s="20" t="s">
        <v>63</v>
      </c>
      <c r="D63" s="20" t="s">
        <v>84</v>
      </c>
      <c r="E63" s="115" t="str">
        <f>'МП пр.6'!B522</f>
        <v xml:space="preserve">7Т 0 00 00000 </v>
      </c>
      <c r="F63" s="111"/>
      <c r="G63" s="199">
        <f>G64+G71</f>
        <v>70</v>
      </c>
    </row>
    <row r="64" spans="1:7" ht="25.5">
      <c r="A64" s="29" t="str">
        <f>'МП пр.6'!A523</f>
        <v>Основное мероприятие "Усиление роли общественности в профилактике правонарушений и борьбе с преступностью"</v>
      </c>
      <c r="B64" s="20" t="s">
        <v>270</v>
      </c>
      <c r="C64" s="20" t="s">
        <v>63</v>
      </c>
      <c r="D64" s="20" t="s">
        <v>84</v>
      </c>
      <c r="E64" s="115" t="str">
        <f>'МП пр.6'!B523</f>
        <v xml:space="preserve">7Т 0 04 00000 </v>
      </c>
      <c r="F64" s="111"/>
      <c r="G64" s="199">
        <f>G65+G68</f>
        <v>46.7</v>
      </c>
    </row>
    <row r="65" spans="1:7" ht="38.25">
      <c r="A65" s="29" t="str">
        <f>'МП пр.6'!A524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65" s="20" t="s">
        <v>270</v>
      </c>
      <c r="C65" s="20" t="s">
        <v>63</v>
      </c>
      <c r="D65" s="20" t="s">
        <v>84</v>
      </c>
      <c r="E65" s="115" t="str">
        <f>'МП пр.6'!B524</f>
        <v xml:space="preserve">7Т 0 04 95000 </v>
      </c>
      <c r="F65" s="111"/>
      <c r="G65" s="199">
        <f>G66</f>
        <v>8</v>
      </c>
    </row>
    <row r="66" spans="1:7" ht="25.5">
      <c r="A66" s="16" t="s">
        <v>333</v>
      </c>
      <c r="B66" s="20" t="s">
        <v>270</v>
      </c>
      <c r="C66" s="20" t="s">
        <v>63</v>
      </c>
      <c r="D66" s="20" t="s">
        <v>84</v>
      </c>
      <c r="E66" s="115" t="str">
        <f>E65</f>
        <v xml:space="preserve">7Т 0 04 95000 </v>
      </c>
      <c r="F66" s="111" t="s">
        <v>94</v>
      </c>
      <c r="G66" s="199">
        <f>G67</f>
        <v>8</v>
      </c>
    </row>
    <row r="67" spans="1:7" ht="25.5">
      <c r="A67" s="16" t="s">
        <v>608</v>
      </c>
      <c r="B67" s="20" t="s">
        <v>270</v>
      </c>
      <c r="C67" s="20" t="s">
        <v>63</v>
      </c>
      <c r="D67" s="20" t="s">
        <v>84</v>
      </c>
      <c r="E67" s="115" t="str">
        <f>E66</f>
        <v xml:space="preserve">7Т 0 04 95000 </v>
      </c>
      <c r="F67" s="111" t="s">
        <v>91</v>
      </c>
      <c r="G67" s="199">
        <f>'МП пр.6'!G529</f>
        <v>8</v>
      </c>
    </row>
    <row r="68" spans="1:7" ht="25.5">
      <c r="A68" s="29" t="str">
        <f>'МП пр.6'!A530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68" s="20" t="s">
        <v>270</v>
      </c>
      <c r="C68" s="20" t="s">
        <v>63</v>
      </c>
      <c r="D68" s="20" t="s">
        <v>84</v>
      </c>
      <c r="E68" s="115" t="str">
        <f>'МП пр.6'!B530</f>
        <v xml:space="preserve">7Т 0 04 95140 </v>
      </c>
      <c r="F68" s="111"/>
      <c r="G68" s="199">
        <f>G69</f>
        <v>38.7</v>
      </c>
    </row>
    <row r="69" spans="1:7" ht="38.25">
      <c r="A69" s="16" t="s">
        <v>92</v>
      </c>
      <c r="B69" s="20" t="s">
        <v>270</v>
      </c>
      <c r="C69" s="20" t="s">
        <v>63</v>
      </c>
      <c r="D69" s="20" t="s">
        <v>84</v>
      </c>
      <c r="E69" s="115" t="str">
        <f>E68</f>
        <v xml:space="preserve">7Т 0 04 95140 </v>
      </c>
      <c r="F69" s="110" t="s">
        <v>93</v>
      </c>
      <c r="G69" s="199">
        <f>G70</f>
        <v>38.7</v>
      </c>
    </row>
    <row r="70" spans="1:7" ht="12.75">
      <c r="A70" s="16" t="s">
        <v>89</v>
      </c>
      <c r="B70" s="20" t="s">
        <v>270</v>
      </c>
      <c r="C70" s="20" t="s">
        <v>63</v>
      </c>
      <c r="D70" s="20" t="s">
        <v>84</v>
      </c>
      <c r="E70" s="115" t="str">
        <f>E69</f>
        <v xml:space="preserve">7Т 0 04 95140 </v>
      </c>
      <c r="F70" s="111" t="s">
        <v>90</v>
      </c>
      <c r="G70" s="199">
        <f>'МП пр.6'!G535</f>
        <v>38.7</v>
      </c>
    </row>
    <row r="71" spans="1:7" ht="28.9" customHeight="1">
      <c r="A71" s="16" t="str">
        <f>'МП пр.6'!A536</f>
        <v>Основное мероприятие "Формирование доступной среды в образовательных учреждениях Сусуманского городского округа"</v>
      </c>
      <c r="B71" s="20" t="s">
        <v>270</v>
      </c>
      <c r="C71" s="20" t="s">
        <v>63</v>
      </c>
      <c r="D71" s="20" t="s">
        <v>84</v>
      </c>
      <c r="E71" s="115" t="str">
        <f>'МП пр.6'!B536</f>
        <v xml:space="preserve">7Т 0 05 00000 </v>
      </c>
      <c r="F71" s="111"/>
      <c r="G71" s="199">
        <f>G72</f>
        <v>23.3</v>
      </c>
    </row>
    <row r="72" spans="1:7" ht="25.5">
      <c r="A72" s="16" t="str">
        <f>'МП пр.6'!A537</f>
        <v>Приобретение, изготовление баннеров и иной наглядной продукции антитеррористической направленности</v>
      </c>
      <c r="B72" s="20" t="s">
        <v>270</v>
      </c>
      <c r="C72" s="20" t="s">
        <v>63</v>
      </c>
      <c r="D72" s="20" t="s">
        <v>84</v>
      </c>
      <c r="E72" s="115" t="str">
        <f>'МП пр.6'!B537</f>
        <v xml:space="preserve">7Т 0 05 95160 </v>
      </c>
      <c r="F72" s="111"/>
      <c r="G72" s="199">
        <f>G73</f>
        <v>23.3</v>
      </c>
    </row>
    <row r="73" spans="1:7" ht="25.5">
      <c r="A73" s="16" t="str">
        <f>'МП пр.6'!A539</f>
        <v>Закупка товаров, работ и услуг для обеспечения государственных (муниципальных) нужд</v>
      </c>
      <c r="B73" s="20" t="s">
        <v>270</v>
      </c>
      <c r="C73" s="20" t="s">
        <v>63</v>
      </c>
      <c r="D73" s="20" t="s">
        <v>84</v>
      </c>
      <c r="E73" s="115" t="str">
        <f>'МП пр.6'!B539</f>
        <v xml:space="preserve">7Т 0 05 95160 </v>
      </c>
      <c r="F73" s="111" t="s">
        <v>94</v>
      </c>
      <c r="G73" s="199">
        <f>G74</f>
        <v>23.3</v>
      </c>
    </row>
    <row r="74" spans="1:7" ht="25.5">
      <c r="A74" s="16" t="str">
        <f>'МП пр.6'!A540</f>
        <v>Иные закупки товаров, работ и услуг для обеспечения государственных (муниципальных )нужд</v>
      </c>
      <c r="B74" s="20" t="s">
        <v>270</v>
      </c>
      <c r="C74" s="20" t="s">
        <v>63</v>
      </c>
      <c r="D74" s="20" t="s">
        <v>84</v>
      </c>
      <c r="E74" s="115" t="str">
        <f>'МП пр.6'!B540</f>
        <v xml:space="preserve">7Т 0 05 95160 </v>
      </c>
      <c r="F74" s="111" t="s">
        <v>91</v>
      </c>
      <c r="G74" s="199">
        <f>'МП пр.6'!G541</f>
        <v>23.3</v>
      </c>
    </row>
    <row r="75" spans="1:7" ht="25.5">
      <c r="A75" s="16" t="str">
        <f>'МП пр.6'!A706</f>
        <v>Муниципальная программа "Развитие муниципальной службы в муниципальном образовании  "Сусуманский городской округ" на 2018- 2022 годы"</v>
      </c>
      <c r="B75" s="20" t="s">
        <v>270</v>
      </c>
      <c r="C75" s="20" t="s">
        <v>63</v>
      </c>
      <c r="D75" s="20" t="s">
        <v>84</v>
      </c>
      <c r="E75" s="115" t="str">
        <f>'МП пр.6'!B706</f>
        <v>7R 0 00 00000</v>
      </c>
      <c r="F75" s="111"/>
      <c r="G75" s="199">
        <f>G76</f>
        <v>122.3</v>
      </c>
    </row>
    <row r="76" spans="1:7" ht="38.25">
      <c r="A76" s="16" t="str">
        <f>'МП пр.6'!A707</f>
        <v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76" s="20" t="s">
        <v>270</v>
      </c>
      <c r="C76" s="20" t="s">
        <v>63</v>
      </c>
      <c r="D76" s="20" t="s">
        <v>84</v>
      </c>
      <c r="E76" s="115" t="str">
        <f>'МП пр.6'!B707</f>
        <v>7R 0 01 00000</v>
      </c>
      <c r="F76" s="111"/>
      <c r="G76" s="199">
        <f>G77+G80+G83</f>
        <v>122.3</v>
      </c>
    </row>
    <row r="77" spans="1:7" ht="25.5">
      <c r="A77" s="16" t="str">
        <f>'МП пр.6'!A708</f>
        <v xml:space="preserve">Дополнительное профессиональное образование для лиц, замещающих муниципальные должности                         </v>
      </c>
      <c r="B77" s="20" t="s">
        <v>270</v>
      </c>
      <c r="C77" s="20" t="s">
        <v>63</v>
      </c>
      <c r="D77" s="20" t="s">
        <v>84</v>
      </c>
      <c r="E77" s="115" t="str">
        <f>'МП пр.6'!B708</f>
        <v>7R 0 01 73260</v>
      </c>
      <c r="F77" s="111"/>
      <c r="G77" s="199">
        <f>G78</f>
        <v>20</v>
      </c>
    </row>
    <row r="78" spans="1:7" ht="25.5">
      <c r="A78" s="16" t="s">
        <v>333</v>
      </c>
      <c r="B78" s="20" t="s">
        <v>270</v>
      </c>
      <c r="C78" s="20" t="s">
        <v>63</v>
      </c>
      <c r="D78" s="20" t="s">
        <v>84</v>
      </c>
      <c r="E78" s="115" t="str">
        <f>'МП пр.6'!B709</f>
        <v>7R 0 01 73260</v>
      </c>
      <c r="F78" s="111" t="s">
        <v>94</v>
      </c>
      <c r="G78" s="199">
        <f>G79</f>
        <v>20</v>
      </c>
    </row>
    <row r="79" spans="1:7" ht="25.5">
      <c r="A79" s="16" t="s">
        <v>608</v>
      </c>
      <c r="B79" s="20" t="s">
        <v>270</v>
      </c>
      <c r="C79" s="20" t="s">
        <v>63</v>
      </c>
      <c r="D79" s="20" t="s">
        <v>84</v>
      </c>
      <c r="E79" s="115" t="str">
        <f>'МП пр.6'!B710</f>
        <v>7R 0 01 73260</v>
      </c>
      <c r="F79" s="111" t="s">
        <v>91</v>
      </c>
      <c r="G79" s="199">
        <f>'МП пр.6'!G713</f>
        <v>20</v>
      </c>
    </row>
    <row r="80" spans="1:7" ht="25.5">
      <c r="A80" s="16" t="str">
        <f>'МП пр.6'!A714</f>
        <v xml:space="preserve"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80" s="20" t="s">
        <v>270</v>
      </c>
      <c r="C80" s="20" t="s">
        <v>63</v>
      </c>
      <c r="D80" s="20" t="s">
        <v>84</v>
      </c>
      <c r="E80" s="115" t="str">
        <f>'МП пр.6'!B714</f>
        <v>7R 0 01 S3260</v>
      </c>
      <c r="F80" s="111"/>
      <c r="G80" s="199">
        <f>G81</f>
        <v>7.3</v>
      </c>
    </row>
    <row r="81" spans="1:7" ht="25.5">
      <c r="A81" s="16" t="s">
        <v>333</v>
      </c>
      <c r="B81" s="20" t="s">
        <v>270</v>
      </c>
      <c r="C81" s="20" t="s">
        <v>63</v>
      </c>
      <c r="D81" s="20" t="s">
        <v>84</v>
      </c>
      <c r="E81" s="115" t="s">
        <v>283</v>
      </c>
      <c r="F81" s="111" t="s">
        <v>94</v>
      </c>
      <c r="G81" s="199">
        <f>G82</f>
        <v>7.3</v>
      </c>
    </row>
    <row r="82" spans="1:7" ht="25.5">
      <c r="A82" s="16" t="s">
        <v>608</v>
      </c>
      <c r="B82" s="20" t="s">
        <v>270</v>
      </c>
      <c r="C82" s="20" t="s">
        <v>63</v>
      </c>
      <c r="D82" s="20" t="s">
        <v>84</v>
      </c>
      <c r="E82" s="115" t="str">
        <f>E81</f>
        <v>7R 0 01 S3260</v>
      </c>
      <c r="F82" s="111" t="s">
        <v>91</v>
      </c>
      <c r="G82" s="199">
        <f>'МП пр.6'!G719</f>
        <v>7.3</v>
      </c>
    </row>
    <row r="83" spans="1:7" ht="12.75">
      <c r="A83" s="16" t="str">
        <f>'МП пр.6'!A720</f>
        <v>Повышение профессионального уровня муниципальных служащих</v>
      </c>
      <c r="B83" s="20" t="s">
        <v>270</v>
      </c>
      <c r="C83" s="20" t="s">
        <v>63</v>
      </c>
      <c r="D83" s="20" t="s">
        <v>84</v>
      </c>
      <c r="E83" s="115" t="str">
        <f>'МП пр.6'!B720</f>
        <v>7R 0 01 98600</v>
      </c>
      <c r="F83" s="111"/>
      <c r="G83" s="199">
        <f>G84</f>
        <v>95</v>
      </c>
    </row>
    <row r="84" spans="1:7" ht="25.5">
      <c r="A84" s="16" t="s">
        <v>333</v>
      </c>
      <c r="B84" s="20" t="s">
        <v>270</v>
      </c>
      <c r="C84" s="20" t="s">
        <v>63</v>
      </c>
      <c r="D84" s="20" t="s">
        <v>84</v>
      </c>
      <c r="E84" s="115" t="str">
        <f>E83</f>
        <v>7R 0 01 98600</v>
      </c>
      <c r="F84" s="111" t="s">
        <v>94</v>
      </c>
      <c r="G84" s="199">
        <f>G85</f>
        <v>95</v>
      </c>
    </row>
    <row r="85" spans="1:7" ht="25.5">
      <c r="A85" s="16" t="s">
        <v>608</v>
      </c>
      <c r="B85" s="20" t="s">
        <v>270</v>
      </c>
      <c r="C85" s="20" t="s">
        <v>63</v>
      </c>
      <c r="D85" s="20" t="s">
        <v>84</v>
      </c>
      <c r="E85" s="115" t="str">
        <f>E84</f>
        <v>7R 0 01 98600</v>
      </c>
      <c r="F85" s="111" t="s">
        <v>91</v>
      </c>
      <c r="G85" s="199">
        <f>'МП пр.6'!G725</f>
        <v>95</v>
      </c>
    </row>
    <row r="86" spans="1:7" s="60" customFormat="1" ht="38.25">
      <c r="A86" s="16" t="str">
        <f>'МП пр.6'!A653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86" s="19" t="s">
        <v>270</v>
      </c>
      <c r="C86" s="20" t="s">
        <v>63</v>
      </c>
      <c r="D86" s="20" t="s">
        <v>84</v>
      </c>
      <c r="E86" s="110" t="str">
        <f>'МП пр.6'!B653</f>
        <v>7L 0 00 00000</v>
      </c>
      <c r="F86" s="111"/>
      <c r="G86" s="199">
        <f>G87+G91</f>
        <v>44.5</v>
      </c>
    </row>
    <row r="87" spans="1:7" ht="12.75">
      <c r="A87" s="16" t="str">
        <f>'МП пр.6'!A667</f>
        <v>Основное мероприятие "Содействие развитию институтов гражданского общества"</v>
      </c>
      <c r="B87" s="20" t="s">
        <v>270</v>
      </c>
      <c r="C87" s="20" t="s">
        <v>63</v>
      </c>
      <c r="D87" s="20" t="s">
        <v>84</v>
      </c>
      <c r="E87" s="110" t="str">
        <f>'МП пр.6'!B667</f>
        <v>7L 0 02 00000</v>
      </c>
      <c r="F87" s="111"/>
      <c r="G87" s="199">
        <f>G88</f>
        <v>13.600000000000001</v>
      </c>
    </row>
    <row r="88" spans="1:7" ht="25.5">
      <c r="A88" s="16" t="str">
        <f>'МП пр.6'!A668</f>
        <v>Организация участия представителей общественности в мероприятиях областного уровня</v>
      </c>
      <c r="B88" s="20" t="s">
        <v>270</v>
      </c>
      <c r="C88" s="20" t="s">
        <v>63</v>
      </c>
      <c r="D88" s="20" t="s">
        <v>84</v>
      </c>
      <c r="E88" s="110" t="str">
        <f>'МП пр.6'!B668</f>
        <v>7L 0 02 91800</v>
      </c>
      <c r="F88" s="111"/>
      <c r="G88" s="199">
        <f>G89</f>
        <v>13.600000000000001</v>
      </c>
    </row>
    <row r="89" spans="1:7" ht="38.25">
      <c r="A89" s="16" t="s">
        <v>92</v>
      </c>
      <c r="B89" s="20" t="s">
        <v>270</v>
      </c>
      <c r="C89" s="20" t="s">
        <v>63</v>
      </c>
      <c r="D89" s="20" t="s">
        <v>84</v>
      </c>
      <c r="E89" s="110" t="str">
        <f>E88</f>
        <v>7L 0 02 91800</v>
      </c>
      <c r="F89" s="110" t="s">
        <v>93</v>
      </c>
      <c r="G89" s="199">
        <f>G90</f>
        <v>13.600000000000001</v>
      </c>
    </row>
    <row r="90" spans="1:7" ht="12.75">
      <c r="A90" s="16" t="s">
        <v>89</v>
      </c>
      <c r="B90" s="20" t="s">
        <v>270</v>
      </c>
      <c r="C90" s="20" t="s">
        <v>63</v>
      </c>
      <c r="D90" s="20" t="s">
        <v>84</v>
      </c>
      <c r="E90" s="110" t="str">
        <f>E89</f>
        <v>7L 0 02 91800</v>
      </c>
      <c r="F90" s="111" t="s">
        <v>90</v>
      </c>
      <c r="G90" s="199">
        <f>'МП пр.6'!G673</f>
        <v>13.600000000000001</v>
      </c>
    </row>
    <row r="91" spans="1:7" ht="12.75">
      <c r="A91" s="16" t="str">
        <f>'МП пр.6'!A674</f>
        <v>Основное мероприятие "Гармонизация межнациональных отношений"</v>
      </c>
      <c r="B91" s="20" t="s">
        <v>270</v>
      </c>
      <c r="C91" s="20" t="s">
        <v>63</v>
      </c>
      <c r="D91" s="20" t="s">
        <v>84</v>
      </c>
      <c r="E91" s="110" t="str">
        <f>'МП пр.6'!B674</f>
        <v>7L 0 03 00000</v>
      </c>
      <c r="F91" s="111"/>
      <c r="G91" s="199">
        <f>G92+G95</f>
        <v>30.9</v>
      </c>
    </row>
    <row r="92" spans="1:7" ht="25.5">
      <c r="A92" s="16" t="str">
        <f>'МП пр.6'!A675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92" s="20" t="s">
        <v>270</v>
      </c>
      <c r="C92" s="20" t="s">
        <v>63</v>
      </c>
      <c r="D92" s="20" t="s">
        <v>84</v>
      </c>
      <c r="E92" s="110" t="str">
        <f>'МП пр.6'!B675</f>
        <v>7L 0 03 97100</v>
      </c>
      <c r="F92" s="111"/>
      <c r="G92" s="199">
        <f>G93</f>
        <v>20.9</v>
      </c>
    </row>
    <row r="93" spans="1:7" ht="38.25">
      <c r="A93" s="16" t="s">
        <v>92</v>
      </c>
      <c r="B93" s="20" t="s">
        <v>270</v>
      </c>
      <c r="C93" s="20" t="s">
        <v>63</v>
      </c>
      <c r="D93" s="20" t="s">
        <v>84</v>
      </c>
      <c r="E93" s="110" t="str">
        <f>E92</f>
        <v>7L 0 03 97100</v>
      </c>
      <c r="F93" s="110" t="s">
        <v>93</v>
      </c>
      <c r="G93" s="199">
        <f>G94</f>
        <v>20.9</v>
      </c>
    </row>
    <row r="94" spans="1:7" ht="12.75">
      <c r="A94" s="16" t="s">
        <v>89</v>
      </c>
      <c r="B94" s="20" t="s">
        <v>270</v>
      </c>
      <c r="C94" s="20" t="s">
        <v>63</v>
      </c>
      <c r="D94" s="20" t="s">
        <v>84</v>
      </c>
      <c r="E94" s="110" t="str">
        <f>E93</f>
        <v>7L 0 03 97100</v>
      </c>
      <c r="F94" s="111" t="s">
        <v>90</v>
      </c>
      <c r="G94" s="199">
        <f>'МП пр.6'!G680</f>
        <v>20.9</v>
      </c>
    </row>
    <row r="95" spans="1:7" ht="25.5">
      <c r="A95" s="16" t="str">
        <f>'МП пр.6'!A681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95" s="20" t="s">
        <v>270</v>
      </c>
      <c r="C95" s="20" t="s">
        <v>63</v>
      </c>
      <c r="D95" s="20" t="s">
        <v>84</v>
      </c>
      <c r="E95" s="110" t="str">
        <f>'МП пр.6'!B681</f>
        <v>7L 0 03 97200</v>
      </c>
      <c r="F95" s="111"/>
      <c r="G95" s="199">
        <f>G96</f>
        <v>10</v>
      </c>
    </row>
    <row r="96" spans="1:7" ht="25.5">
      <c r="A96" s="16" t="s">
        <v>333</v>
      </c>
      <c r="B96" s="20" t="s">
        <v>270</v>
      </c>
      <c r="C96" s="20" t="s">
        <v>63</v>
      </c>
      <c r="D96" s="20" t="s">
        <v>84</v>
      </c>
      <c r="E96" s="110" t="str">
        <f>'МП пр.6'!B682</f>
        <v>7L 0 03 97200</v>
      </c>
      <c r="F96" s="110" t="s">
        <v>94</v>
      </c>
      <c r="G96" s="199">
        <f>G97</f>
        <v>10</v>
      </c>
    </row>
    <row r="97" spans="1:7" ht="25.5">
      <c r="A97" s="16" t="s">
        <v>608</v>
      </c>
      <c r="B97" s="20" t="s">
        <v>270</v>
      </c>
      <c r="C97" s="20" t="s">
        <v>63</v>
      </c>
      <c r="D97" s="20" t="s">
        <v>84</v>
      </c>
      <c r="E97" s="110" t="str">
        <f>'МП пр.6'!B683</f>
        <v>7L 0 03 97200</v>
      </c>
      <c r="F97" s="110" t="s">
        <v>91</v>
      </c>
      <c r="G97" s="199">
        <f>'МП пр.6'!G686</f>
        <v>10</v>
      </c>
    </row>
    <row r="98" spans="1:7" ht="12.75">
      <c r="A98" s="15" t="s">
        <v>197</v>
      </c>
      <c r="B98" s="32" t="s">
        <v>270</v>
      </c>
      <c r="C98" s="32" t="s">
        <v>64</v>
      </c>
      <c r="D98" s="32" t="s">
        <v>34</v>
      </c>
      <c r="E98" s="116"/>
      <c r="F98" s="114"/>
      <c r="G98" s="198">
        <f>G99</f>
        <v>443.9</v>
      </c>
    </row>
    <row r="99" spans="1:7" ht="12.75">
      <c r="A99" s="15" t="s">
        <v>196</v>
      </c>
      <c r="B99" s="32" t="s">
        <v>270</v>
      </c>
      <c r="C99" s="32" t="s">
        <v>64</v>
      </c>
      <c r="D99" s="32" t="s">
        <v>67</v>
      </c>
      <c r="E99" s="116"/>
      <c r="F99" s="114"/>
      <c r="G99" s="199">
        <f>G100</f>
        <v>443.9</v>
      </c>
    </row>
    <row r="100" spans="1:7" ht="38.25">
      <c r="A100" s="117" t="s">
        <v>575</v>
      </c>
      <c r="B100" s="20" t="s">
        <v>270</v>
      </c>
      <c r="C100" s="20" t="s">
        <v>64</v>
      </c>
      <c r="D100" s="20" t="s">
        <v>67</v>
      </c>
      <c r="E100" s="110" t="s">
        <v>464</v>
      </c>
      <c r="F100" s="114"/>
      <c r="G100" s="199">
        <f>G101</f>
        <v>443.9</v>
      </c>
    </row>
    <row r="101" spans="1:7" ht="25.5">
      <c r="A101" s="16" t="s">
        <v>480</v>
      </c>
      <c r="B101" s="20" t="s">
        <v>270</v>
      </c>
      <c r="C101" s="20" t="s">
        <v>64</v>
      </c>
      <c r="D101" s="20" t="s">
        <v>67</v>
      </c>
      <c r="E101" s="110" t="s">
        <v>487</v>
      </c>
      <c r="F101" s="114"/>
      <c r="G101" s="199">
        <f>G102</f>
        <v>443.9</v>
      </c>
    </row>
    <row r="102" spans="1:7" ht="25.5">
      <c r="A102" s="16" t="s">
        <v>195</v>
      </c>
      <c r="B102" s="20" t="s">
        <v>270</v>
      </c>
      <c r="C102" s="20" t="s">
        <v>64</v>
      </c>
      <c r="D102" s="20" t="s">
        <v>67</v>
      </c>
      <c r="E102" s="110" t="s">
        <v>576</v>
      </c>
      <c r="F102" s="111"/>
      <c r="G102" s="199">
        <f>G104</f>
        <v>443.9</v>
      </c>
    </row>
    <row r="103" spans="1:7" ht="38.25">
      <c r="A103" s="16" t="s">
        <v>92</v>
      </c>
      <c r="B103" s="20" t="s">
        <v>270</v>
      </c>
      <c r="C103" s="20" t="s">
        <v>64</v>
      </c>
      <c r="D103" s="20" t="s">
        <v>67</v>
      </c>
      <c r="E103" s="110" t="s">
        <v>576</v>
      </c>
      <c r="F103" s="110" t="s">
        <v>93</v>
      </c>
      <c r="G103" s="199">
        <f>G104</f>
        <v>443.9</v>
      </c>
    </row>
    <row r="104" spans="1:7" ht="12.75">
      <c r="A104" s="16" t="s">
        <v>89</v>
      </c>
      <c r="B104" s="20" t="s">
        <v>270</v>
      </c>
      <c r="C104" s="20" t="s">
        <v>64</v>
      </c>
      <c r="D104" s="20" t="s">
        <v>67</v>
      </c>
      <c r="E104" s="110" t="s">
        <v>576</v>
      </c>
      <c r="F104" s="110" t="s">
        <v>90</v>
      </c>
      <c r="G104" s="199">
        <v>443.9</v>
      </c>
    </row>
    <row r="105" spans="1:7" ht="25.5">
      <c r="A105" s="15" t="s">
        <v>4</v>
      </c>
      <c r="B105" s="32" t="s">
        <v>270</v>
      </c>
      <c r="C105" s="32" t="s">
        <v>67</v>
      </c>
      <c r="D105" s="32" t="s">
        <v>34</v>
      </c>
      <c r="E105" s="110"/>
      <c r="F105" s="110"/>
      <c r="G105" s="198">
        <f>G106</f>
        <v>13737</v>
      </c>
    </row>
    <row r="106" spans="1:7" ht="25.5">
      <c r="A106" s="15" t="s">
        <v>77</v>
      </c>
      <c r="B106" s="32" t="s">
        <v>270</v>
      </c>
      <c r="C106" s="32" t="s">
        <v>67</v>
      </c>
      <c r="D106" s="32" t="s">
        <v>72</v>
      </c>
      <c r="E106" s="110"/>
      <c r="F106" s="110"/>
      <c r="G106" s="198">
        <f>G108+G113+G122</f>
        <v>13737</v>
      </c>
    </row>
    <row r="107" spans="1:7" ht="12.75">
      <c r="A107" s="16" t="s">
        <v>478</v>
      </c>
      <c r="B107" s="20" t="s">
        <v>270</v>
      </c>
      <c r="C107" s="40" t="s">
        <v>67</v>
      </c>
      <c r="D107" s="40" t="s">
        <v>72</v>
      </c>
      <c r="E107" s="115" t="s">
        <v>479</v>
      </c>
      <c r="F107" s="110"/>
      <c r="G107" s="199">
        <f>G108</f>
        <v>350</v>
      </c>
    </row>
    <row r="108" spans="1:7" ht="38.25">
      <c r="A108" s="16" t="str">
        <f>'МП пр.6'!A575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2018- 2022 годы"</v>
      </c>
      <c r="B108" s="20" t="s">
        <v>270</v>
      </c>
      <c r="C108" s="20" t="s">
        <v>67</v>
      </c>
      <c r="D108" s="20" t="s">
        <v>72</v>
      </c>
      <c r="E108" s="115" t="str">
        <f>'МП пр.6'!B575</f>
        <v xml:space="preserve">7Ч 0 00 00000 </v>
      </c>
      <c r="F108" s="111"/>
      <c r="G108" s="199">
        <f>G109</f>
        <v>350</v>
      </c>
    </row>
    <row r="109" spans="1:7" ht="38.25">
      <c r="A109" s="16" t="str">
        <f>'МП пр.6'!A576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09" s="20" t="s">
        <v>270</v>
      </c>
      <c r="C109" s="40" t="s">
        <v>67</v>
      </c>
      <c r="D109" s="40" t="s">
        <v>72</v>
      </c>
      <c r="E109" s="115" t="str">
        <f>'МП пр.6'!B576</f>
        <v xml:space="preserve">7Ч 0 01 00000 </v>
      </c>
      <c r="F109" s="111"/>
      <c r="G109" s="199">
        <f>G110</f>
        <v>350</v>
      </c>
    </row>
    <row r="110" spans="1:7" ht="25.5">
      <c r="A110" s="16" t="str">
        <f>'МП пр.6'!A577</f>
        <v xml:space="preserve">Приобретение технических средств и создание материального резерва в целях ликвидации чрезвычайных ситуаций </v>
      </c>
      <c r="B110" s="20" t="s">
        <v>270</v>
      </c>
      <c r="C110" s="40" t="s">
        <v>67</v>
      </c>
      <c r="D110" s="40" t="s">
        <v>72</v>
      </c>
      <c r="E110" s="115" t="str">
        <f>'МП пр.6'!B577</f>
        <v xml:space="preserve">7Ч 0 01 96400 </v>
      </c>
      <c r="F110" s="111"/>
      <c r="G110" s="199">
        <f>G111</f>
        <v>350</v>
      </c>
    </row>
    <row r="111" spans="1:7" ht="25.5">
      <c r="A111" s="16" t="s">
        <v>333</v>
      </c>
      <c r="B111" s="20" t="s">
        <v>270</v>
      </c>
      <c r="C111" s="40" t="s">
        <v>67</v>
      </c>
      <c r="D111" s="40" t="s">
        <v>72</v>
      </c>
      <c r="E111" s="115" t="str">
        <f>E110</f>
        <v xml:space="preserve">7Ч 0 01 96400 </v>
      </c>
      <c r="F111" s="111" t="s">
        <v>94</v>
      </c>
      <c r="G111" s="199">
        <f>G112</f>
        <v>350</v>
      </c>
    </row>
    <row r="112" spans="1:7" ht="25.5">
      <c r="A112" s="16" t="s">
        <v>608</v>
      </c>
      <c r="B112" s="20" t="s">
        <v>270</v>
      </c>
      <c r="C112" s="40" t="s">
        <v>67</v>
      </c>
      <c r="D112" s="40" t="s">
        <v>72</v>
      </c>
      <c r="E112" s="115" t="str">
        <f>E111</f>
        <v xml:space="preserve">7Ч 0 01 96400 </v>
      </c>
      <c r="F112" s="111" t="s">
        <v>91</v>
      </c>
      <c r="G112" s="199">
        <f>'МП пр.6'!G582</f>
        <v>350</v>
      </c>
    </row>
    <row r="113" spans="1:7" ht="25.5">
      <c r="A113" s="16" t="s">
        <v>288</v>
      </c>
      <c r="B113" s="20" t="s">
        <v>270</v>
      </c>
      <c r="C113" s="20" t="s">
        <v>67</v>
      </c>
      <c r="D113" s="20" t="s">
        <v>72</v>
      </c>
      <c r="E113" s="115" t="s">
        <v>481</v>
      </c>
      <c r="F113" s="110"/>
      <c r="G113" s="199">
        <f>G114+G119</f>
        <v>8924.4</v>
      </c>
    </row>
    <row r="114" spans="1:7" ht="12.75">
      <c r="A114" s="16" t="s">
        <v>267</v>
      </c>
      <c r="B114" s="20" t="s">
        <v>270</v>
      </c>
      <c r="C114" s="20" t="s">
        <v>67</v>
      </c>
      <c r="D114" s="20" t="s">
        <v>72</v>
      </c>
      <c r="E114" s="115" t="s">
        <v>482</v>
      </c>
      <c r="F114" s="110"/>
      <c r="G114" s="199">
        <f>G115+G117</f>
        <v>8794.4</v>
      </c>
    </row>
    <row r="115" spans="1:7" ht="38.25">
      <c r="A115" s="16" t="s">
        <v>92</v>
      </c>
      <c r="B115" s="20" t="s">
        <v>270</v>
      </c>
      <c r="C115" s="20" t="s">
        <v>67</v>
      </c>
      <c r="D115" s="20" t="s">
        <v>72</v>
      </c>
      <c r="E115" s="115" t="s">
        <v>482</v>
      </c>
      <c r="F115" s="110" t="s">
        <v>93</v>
      </c>
      <c r="G115" s="199">
        <f>G116</f>
        <v>8547.4</v>
      </c>
    </row>
    <row r="116" spans="1:7" ht="12.75">
      <c r="A116" s="16" t="s">
        <v>208</v>
      </c>
      <c r="B116" s="20" t="s">
        <v>270</v>
      </c>
      <c r="C116" s="20" t="s">
        <v>67</v>
      </c>
      <c r="D116" s="20" t="s">
        <v>72</v>
      </c>
      <c r="E116" s="115" t="s">
        <v>482</v>
      </c>
      <c r="F116" s="110" t="s">
        <v>209</v>
      </c>
      <c r="G116" s="199">
        <f>7447.4+1100</f>
        <v>8547.4</v>
      </c>
    </row>
    <row r="117" spans="1:7" ht="25.5">
      <c r="A117" s="16" t="s">
        <v>333</v>
      </c>
      <c r="B117" s="20" t="s">
        <v>270</v>
      </c>
      <c r="C117" s="20" t="s">
        <v>67</v>
      </c>
      <c r="D117" s="20" t="s">
        <v>72</v>
      </c>
      <c r="E117" s="115" t="s">
        <v>482</v>
      </c>
      <c r="F117" s="110" t="s">
        <v>94</v>
      </c>
      <c r="G117" s="199">
        <f>G118</f>
        <v>247</v>
      </c>
    </row>
    <row r="118" spans="1:7" ht="25.5">
      <c r="A118" s="16" t="s">
        <v>608</v>
      </c>
      <c r="B118" s="20" t="s">
        <v>270</v>
      </c>
      <c r="C118" s="20" t="s">
        <v>67</v>
      </c>
      <c r="D118" s="20" t="s">
        <v>72</v>
      </c>
      <c r="E118" s="115" t="s">
        <v>482</v>
      </c>
      <c r="F118" s="110" t="s">
        <v>91</v>
      </c>
      <c r="G118" s="199">
        <f>177+70</f>
        <v>247</v>
      </c>
    </row>
    <row r="119" spans="1:7" ht="51">
      <c r="A119" s="16" t="s">
        <v>287</v>
      </c>
      <c r="B119" s="19" t="s">
        <v>270</v>
      </c>
      <c r="C119" s="20" t="s">
        <v>67</v>
      </c>
      <c r="D119" s="20" t="s">
        <v>72</v>
      </c>
      <c r="E119" s="115" t="s">
        <v>483</v>
      </c>
      <c r="F119" s="110"/>
      <c r="G119" s="199">
        <f>G120</f>
        <v>130</v>
      </c>
    </row>
    <row r="120" spans="1:7" ht="38.25">
      <c r="A120" s="16" t="s">
        <v>92</v>
      </c>
      <c r="B120" s="19" t="s">
        <v>270</v>
      </c>
      <c r="C120" s="20" t="s">
        <v>67</v>
      </c>
      <c r="D120" s="20" t="s">
        <v>72</v>
      </c>
      <c r="E120" s="115" t="s">
        <v>483</v>
      </c>
      <c r="F120" s="110" t="s">
        <v>93</v>
      </c>
      <c r="G120" s="199">
        <f>G121</f>
        <v>130</v>
      </c>
    </row>
    <row r="121" spans="1:7" ht="12.75">
      <c r="A121" s="16" t="s">
        <v>208</v>
      </c>
      <c r="B121" s="19" t="s">
        <v>270</v>
      </c>
      <c r="C121" s="20" t="s">
        <v>67</v>
      </c>
      <c r="D121" s="20" t="s">
        <v>72</v>
      </c>
      <c r="E121" s="115" t="s">
        <v>483</v>
      </c>
      <c r="F121" s="110" t="s">
        <v>209</v>
      </c>
      <c r="G121" s="199">
        <f>200-70</f>
        <v>130</v>
      </c>
    </row>
    <row r="122" spans="1:7" ht="25.5">
      <c r="A122" s="150" t="s">
        <v>687</v>
      </c>
      <c r="B122" s="19" t="s">
        <v>270</v>
      </c>
      <c r="C122" s="19" t="s">
        <v>67</v>
      </c>
      <c r="D122" s="19" t="s">
        <v>72</v>
      </c>
      <c r="E122" s="20" t="s">
        <v>688</v>
      </c>
      <c r="F122" s="20"/>
      <c r="G122" s="199">
        <f>G123+G126</f>
        <v>4462.6</v>
      </c>
    </row>
    <row r="123" spans="1:7" ht="38.25">
      <c r="A123" s="150" t="s">
        <v>689</v>
      </c>
      <c r="B123" s="19" t="s">
        <v>270</v>
      </c>
      <c r="C123" s="19" t="s">
        <v>67</v>
      </c>
      <c r="D123" s="19" t="s">
        <v>72</v>
      </c>
      <c r="E123" s="20" t="s">
        <v>690</v>
      </c>
      <c r="F123" s="32"/>
      <c r="G123" s="199">
        <f>G124</f>
        <v>4399</v>
      </c>
    </row>
    <row r="124" spans="1:7" ht="25.5">
      <c r="A124" s="150" t="s">
        <v>333</v>
      </c>
      <c r="B124" s="19" t="s">
        <v>270</v>
      </c>
      <c r="C124" s="19" t="s">
        <v>67</v>
      </c>
      <c r="D124" s="19" t="s">
        <v>72</v>
      </c>
      <c r="E124" s="20" t="s">
        <v>690</v>
      </c>
      <c r="F124" s="20" t="s">
        <v>94</v>
      </c>
      <c r="G124" s="199">
        <f>G125</f>
        <v>4399</v>
      </c>
    </row>
    <row r="125" spans="1:7" ht="25.5">
      <c r="A125" s="29" t="s">
        <v>614</v>
      </c>
      <c r="B125" s="19" t="s">
        <v>270</v>
      </c>
      <c r="C125" s="19" t="s">
        <v>67</v>
      </c>
      <c r="D125" s="19" t="s">
        <v>72</v>
      </c>
      <c r="E125" s="20" t="s">
        <v>690</v>
      </c>
      <c r="F125" s="20" t="s">
        <v>91</v>
      </c>
      <c r="G125" s="199">
        <v>4399</v>
      </c>
    </row>
    <row r="126" spans="1:7" ht="25.5">
      <c r="A126" s="150" t="s">
        <v>691</v>
      </c>
      <c r="B126" s="19" t="s">
        <v>270</v>
      </c>
      <c r="C126" s="19" t="s">
        <v>67</v>
      </c>
      <c r="D126" s="19" t="s">
        <v>72</v>
      </c>
      <c r="E126" s="20" t="s">
        <v>692</v>
      </c>
      <c r="F126" s="32"/>
      <c r="G126" s="199">
        <f>G127</f>
        <v>63.6</v>
      </c>
    </row>
    <row r="127" spans="1:7" ht="25.5">
      <c r="A127" s="150" t="s">
        <v>333</v>
      </c>
      <c r="B127" s="19" t="s">
        <v>270</v>
      </c>
      <c r="C127" s="19" t="s">
        <v>67</v>
      </c>
      <c r="D127" s="19" t="s">
        <v>72</v>
      </c>
      <c r="E127" s="20" t="s">
        <v>692</v>
      </c>
      <c r="F127" s="20" t="s">
        <v>94</v>
      </c>
      <c r="G127" s="199">
        <f>G128</f>
        <v>63.6</v>
      </c>
    </row>
    <row r="128" spans="1:7" ht="25.5">
      <c r="A128" s="29" t="s">
        <v>614</v>
      </c>
      <c r="B128" s="19" t="s">
        <v>270</v>
      </c>
      <c r="C128" s="19" t="s">
        <v>67</v>
      </c>
      <c r="D128" s="19" t="s">
        <v>72</v>
      </c>
      <c r="E128" s="20" t="s">
        <v>692</v>
      </c>
      <c r="F128" s="20" t="s">
        <v>91</v>
      </c>
      <c r="G128" s="199">
        <v>63.6</v>
      </c>
    </row>
    <row r="129" spans="1:7" ht="12.75">
      <c r="A129" s="15" t="s">
        <v>5</v>
      </c>
      <c r="B129" s="37" t="s">
        <v>270</v>
      </c>
      <c r="C129" s="37" t="s">
        <v>65</v>
      </c>
      <c r="D129" s="37" t="s">
        <v>34</v>
      </c>
      <c r="E129" s="113"/>
      <c r="F129" s="113"/>
      <c r="G129" s="198">
        <f>G130</f>
        <v>473.6</v>
      </c>
    </row>
    <row r="130" spans="1:7" ht="12.75">
      <c r="A130" s="15" t="s">
        <v>7</v>
      </c>
      <c r="B130" s="37" t="s">
        <v>270</v>
      </c>
      <c r="C130" s="32" t="s">
        <v>65</v>
      </c>
      <c r="D130" s="32" t="s">
        <v>75</v>
      </c>
      <c r="E130" s="116"/>
      <c r="F130" s="113"/>
      <c r="G130" s="198">
        <f>G132+G137</f>
        <v>473.6</v>
      </c>
    </row>
    <row r="131" spans="1:7" ht="12.75">
      <c r="A131" s="16" t="s">
        <v>478</v>
      </c>
      <c r="B131" s="20" t="s">
        <v>270</v>
      </c>
      <c r="C131" s="20" t="s">
        <v>65</v>
      </c>
      <c r="D131" s="20" t="s">
        <v>75</v>
      </c>
      <c r="E131" s="115" t="s">
        <v>479</v>
      </c>
      <c r="F131" s="113"/>
      <c r="G131" s="199">
        <f>G132+G137</f>
        <v>473.6</v>
      </c>
    </row>
    <row r="132" spans="1:7" ht="25.5">
      <c r="A132" s="29" t="str">
        <f>'МП пр.6'!A170</f>
        <v>Муниципальная программа  "Развитие малого и среднего предпринимательства в Сусуманском городском округе  на 2018- 2022 годы"</v>
      </c>
      <c r="B132" s="19" t="s">
        <v>270</v>
      </c>
      <c r="C132" s="20" t="s">
        <v>65</v>
      </c>
      <c r="D132" s="20" t="s">
        <v>75</v>
      </c>
      <c r="E132" s="115" t="str">
        <f>'МП пр.6'!B170</f>
        <v xml:space="preserve">7И 0 00 00000 </v>
      </c>
      <c r="F132" s="110"/>
      <c r="G132" s="199">
        <f>G133</f>
        <v>100</v>
      </c>
    </row>
    <row r="133" spans="1:7" ht="25.5">
      <c r="A133" s="29" t="str">
        <f>'МП пр.6'!A171</f>
        <v>Основное мероприятие "Обеспечение устойчивого развития малого и среднего предпринимательства, создание новых рабочих мест"</v>
      </c>
      <c r="B133" s="19" t="s">
        <v>270</v>
      </c>
      <c r="C133" s="20" t="s">
        <v>65</v>
      </c>
      <c r="D133" s="20" t="s">
        <v>75</v>
      </c>
      <c r="E133" s="115" t="str">
        <f>'МП пр.6'!B171</f>
        <v xml:space="preserve">7И 0 01 00000 </v>
      </c>
      <c r="F133" s="110"/>
      <c r="G133" s="199">
        <f>G134</f>
        <v>100</v>
      </c>
    </row>
    <row r="134" spans="1:7" ht="12.75">
      <c r="A134" s="29" t="str">
        <f>'МП пр.6'!A172</f>
        <v xml:space="preserve">Финансовая поддержка субъектов малого и среднего предпринимательства </v>
      </c>
      <c r="B134" s="19" t="s">
        <v>270</v>
      </c>
      <c r="C134" s="20" t="s">
        <v>65</v>
      </c>
      <c r="D134" s="20" t="s">
        <v>75</v>
      </c>
      <c r="E134" s="115" t="str">
        <f>'МП пр.6'!B172</f>
        <v xml:space="preserve">7И 0 01 93360 </v>
      </c>
      <c r="F134" s="110"/>
      <c r="G134" s="199">
        <f>G135</f>
        <v>100</v>
      </c>
    </row>
    <row r="135" spans="1:7" ht="12.75">
      <c r="A135" s="16" t="s">
        <v>110</v>
      </c>
      <c r="B135" s="19" t="s">
        <v>270</v>
      </c>
      <c r="C135" s="20" t="s">
        <v>65</v>
      </c>
      <c r="D135" s="20" t="s">
        <v>75</v>
      </c>
      <c r="E135" s="115" t="str">
        <f>'МП пр.6'!B173</f>
        <v xml:space="preserve">7И 0 01 93360 </v>
      </c>
      <c r="F135" s="110" t="s">
        <v>111</v>
      </c>
      <c r="G135" s="199">
        <f>G136</f>
        <v>100</v>
      </c>
    </row>
    <row r="136" spans="1:7" ht="25.5">
      <c r="A136" s="16" t="s">
        <v>135</v>
      </c>
      <c r="B136" s="19" t="s">
        <v>270</v>
      </c>
      <c r="C136" s="20" t="s">
        <v>65</v>
      </c>
      <c r="D136" s="20" t="s">
        <v>75</v>
      </c>
      <c r="E136" s="115" t="str">
        <f>'МП пр.6'!B174</f>
        <v xml:space="preserve">7И 0 01 93360 </v>
      </c>
      <c r="F136" s="110" t="s">
        <v>112</v>
      </c>
      <c r="G136" s="199">
        <f>'МП пр.6'!G177</f>
        <v>100</v>
      </c>
    </row>
    <row r="137" spans="1:7" ht="25.5">
      <c r="A137" s="16" t="str">
        <f>'МП пр.6'!A240</f>
        <v>Муниципальная программа "Развитие торговли  на территории Сусуманского городского округа на 2018- 2022 годы"</v>
      </c>
      <c r="B137" s="19" t="s">
        <v>270</v>
      </c>
      <c r="C137" s="20" t="s">
        <v>65</v>
      </c>
      <c r="D137" s="20" t="s">
        <v>75</v>
      </c>
      <c r="E137" s="115" t="str">
        <f>'МП пр.6'!B240</f>
        <v xml:space="preserve">7Н 0 00 00000 </v>
      </c>
      <c r="F137" s="110"/>
      <c r="G137" s="199">
        <f>G138</f>
        <v>373.6</v>
      </c>
    </row>
    <row r="138" spans="1:7" ht="26.45" customHeight="1">
      <c r="A138" s="16" t="str">
        <f>'МП пр.6'!A241</f>
        <v>Основное мероприятие "Организация проведения областных универсальных совместных ярмарок товаров"</v>
      </c>
      <c r="B138" s="19" t="s">
        <v>270</v>
      </c>
      <c r="C138" s="20" t="s">
        <v>65</v>
      </c>
      <c r="D138" s="20" t="s">
        <v>75</v>
      </c>
      <c r="E138" s="115" t="str">
        <f>'МП пр.6'!B241</f>
        <v xml:space="preserve">7Н 0 01 00000 </v>
      </c>
      <c r="F138" s="110"/>
      <c r="G138" s="199">
        <f>G139+G142</f>
        <v>373.6</v>
      </c>
    </row>
    <row r="139" spans="1:7" s="211" customFormat="1" ht="25.5">
      <c r="A139" s="16" t="str">
        <f>'МП пр.6'!A242</f>
        <v>Мероприятия по организации и проведению областных универсальных совместных ярмарок</v>
      </c>
      <c r="B139" s="209" t="s">
        <v>270</v>
      </c>
      <c r="C139" s="40" t="s">
        <v>65</v>
      </c>
      <c r="D139" s="40" t="s">
        <v>75</v>
      </c>
      <c r="E139" s="210" t="str">
        <f>'МП пр.6'!B242</f>
        <v>7Н 0 01 73900</v>
      </c>
      <c r="F139" s="111"/>
      <c r="G139" s="202">
        <f>G140</f>
        <v>306</v>
      </c>
    </row>
    <row r="140" spans="1:7" ht="25.5">
      <c r="A140" s="16" t="str">
        <f>'МП пр.6'!A245</f>
        <v>Закупка товаров, работ и услуг для обеспечения государственных (муниципальных) нужд</v>
      </c>
      <c r="B140" s="19" t="s">
        <v>270</v>
      </c>
      <c r="C140" s="20" t="s">
        <v>65</v>
      </c>
      <c r="D140" s="20" t="s">
        <v>75</v>
      </c>
      <c r="E140" s="115" t="str">
        <f>'МП пр.6'!B244</f>
        <v>7Н 0 01 73900</v>
      </c>
      <c r="F140" s="20" t="s">
        <v>94</v>
      </c>
      <c r="G140" s="199">
        <f>G141</f>
        <v>306</v>
      </c>
    </row>
    <row r="141" spans="1:7" ht="25.5">
      <c r="A141" s="16" t="str">
        <f>'МП пр.6'!A246</f>
        <v>Иные закупки товаров, работ и услуг для обеспечения государственных (муниципальных) нужд</v>
      </c>
      <c r="B141" s="19" t="s">
        <v>270</v>
      </c>
      <c r="C141" s="20" t="s">
        <v>65</v>
      </c>
      <c r="D141" s="20" t="s">
        <v>75</v>
      </c>
      <c r="E141" s="115" t="str">
        <f>'МП пр.6'!B245</f>
        <v>7Н 0 01 73900</v>
      </c>
      <c r="F141" s="20" t="s">
        <v>91</v>
      </c>
      <c r="G141" s="199">
        <f>'МП пр.6'!G247</f>
        <v>306</v>
      </c>
    </row>
    <row r="142" spans="1:7" ht="25.5">
      <c r="A142" s="29" t="str">
        <f>'МП пр.6'!A248</f>
        <v>Мероприятия по организации и проведению областных универсальных совместных ярмарок за счет средств местного бюджета</v>
      </c>
      <c r="B142" s="19" t="s">
        <v>270</v>
      </c>
      <c r="C142" s="20" t="s">
        <v>65</v>
      </c>
      <c r="D142" s="20" t="s">
        <v>75</v>
      </c>
      <c r="E142" s="115" t="str">
        <f>'МП пр.6'!B248</f>
        <v xml:space="preserve">7Н 0 01 S3900 </v>
      </c>
      <c r="F142" s="110"/>
      <c r="G142" s="199">
        <f>G145+G143</f>
        <v>67.6</v>
      </c>
    </row>
    <row r="143" spans="1:7" ht="38.25">
      <c r="A143" s="16" t="s">
        <v>92</v>
      </c>
      <c r="B143" s="19" t="s">
        <v>270</v>
      </c>
      <c r="C143" s="20" t="s">
        <v>65</v>
      </c>
      <c r="D143" s="20" t="s">
        <v>75</v>
      </c>
      <c r="E143" s="115" t="s">
        <v>289</v>
      </c>
      <c r="F143" s="110" t="s">
        <v>93</v>
      </c>
      <c r="G143" s="199">
        <f>G144</f>
        <v>15</v>
      </c>
    </row>
    <row r="144" spans="1:7" ht="12.75">
      <c r="A144" s="16" t="s">
        <v>89</v>
      </c>
      <c r="B144" s="19" t="s">
        <v>270</v>
      </c>
      <c r="C144" s="20" t="s">
        <v>65</v>
      </c>
      <c r="D144" s="20" t="s">
        <v>75</v>
      </c>
      <c r="E144" s="115" t="s">
        <v>289</v>
      </c>
      <c r="F144" s="110" t="s">
        <v>90</v>
      </c>
      <c r="G144" s="199">
        <f>'МП пр.6'!G253</f>
        <v>15</v>
      </c>
    </row>
    <row r="145" spans="1:7" ht="25.5">
      <c r="A145" s="16" t="s">
        <v>333</v>
      </c>
      <c r="B145" s="19" t="s">
        <v>270</v>
      </c>
      <c r="C145" s="20" t="s">
        <v>65</v>
      </c>
      <c r="D145" s="20" t="s">
        <v>75</v>
      </c>
      <c r="E145" s="115" t="s">
        <v>289</v>
      </c>
      <c r="F145" s="110" t="s">
        <v>94</v>
      </c>
      <c r="G145" s="199">
        <f>G146</f>
        <v>52.6</v>
      </c>
    </row>
    <row r="146" spans="1:7" ht="25.5">
      <c r="A146" s="16" t="s">
        <v>608</v>
      </c>
      <c r="B146" s="19" t="s">
        <v>270</v>
      </c>
      <c r="C146" s="20" t="s">
        <v>65</v>
      </c>
      <c r="D146" s="20" t="s">
        <v>75</v>
      </c>
      <c r="E146" s="115" t="s">
        <v>289</v>
      </c>
      <c r="F146" s="110" t="s">
        <v>91</v>
      </c>
      <c r="G146" s="199">
        <f>'МП пр.6'!G256</f>
        <v>52.6</v>
      </c>
    </row>
    <row r="147" spans="1:7" ht="12.75">
      <c r="A147" s="14" t="s">
        <v>128</v>
      </c>
      <c r="B147" s="37" t="s">
        <v>270</v>
      </c>
      <c r="C147" s="37" t="s">
        <v>69</v>
      </c>
      <c r="D147" s="37" t="s">
        <v>34</v>
      </c>
      <c r="E147" s="116"/>
      <c r="F147" s="113"/>
      <c r="G147" s="198">
        <f>G148</f>
        <v>11.2</v>
      </c>
    </row>
    <row r="148" spans="1:7" ht="12.75">
      <c r="A148" s="14" t="s">
        <v>127</v>
      </c>
      <c r="B148" s="37" t="s">
        <v>270</v>
      </c>
      <c r="C148" s="37" t="s">
        <v>69</v>
      </c>
      <c r="D148" s="37" t="s">
        <v>63</v>
      </c>
      <c r="E148" s="115"/>
      <c r="F148" s="110"/>
      <c r="G148" s="198">
        <f>G149</f>
        <v>11.2</v>
      </c>
    </row>
    <row r="149" spans="1:7" ht="12.75">
      <c r="A149" s="30" t="s">
        <v>170</v>
      </c>
      <c r="B149" s="19" t="s">
        <v>270</v>
      </c>
      <c r="C149" s="19" t="s">
        <v>69</v>
      </c>
      <c r="D149" s="19" t="s">
        <v>63</v>
      </c>
      <c r="E149" s="110" t="s">
        <v>484</v>
      </c>
      <c r="F149" s="110"/>
      <c r="G149" s="199">
        <f>G150</f>
        <v>11.2</v>
      </c>
    </row>
    <row r="150" spans="1:7" ht="12.75">
      <c r="A150" s="16" t="s">
        <v>201</v>
      </c>
      <c r="B150" s="19" t="s">
        <v>270</v>
      </c>
      <c r="C150" s="19" t="s">
        <v>69</v>
      </c>
      <c r="D150" s="19" t="s">
        <v>63</v>
      </c>
      <c r="E150" s="110" t="s">
        <v>485</v>
      </c>
      <c r="F150" s="110"/>
      <c r="G150" s="199">
        <f>G151</f>
        <v>11.2</v>
      </c>
    </row>
    <row r="151" spans="1:7" ht="25.5">
      <c r="A151" s="16" t="s">
        <v>333</v>
      </c>
      <c r="B151" s="19" t="s">
        <v>270</v>
      </c>
      <c r="C151" s="19" t="s">
        <v>69</v>
      </c>
      <c r="D151" s="19" t="s">
        <v>63</v>
      </c>
      <c r="E151" s="110" t="s">
        <v>485</v>
      </c>
      <c r="F151" s="110" t="s">
        <v>94</v>
      </c>
      <c r="G151" s="199">
        <f>G152</f>
        <v>11.2</v>
      </c>
    </row>
    <row r="152" spans="1:7" ht="25.5">
      <c r="A152" s="16" t="s">
        <v>608</v>
      </c>
      <c r="B152" s="19" t="s">
        <v>270</v>
      </c>
      <c r="C152" s="19" t="s">
        <v>69</v>
      </c>
      <c r="D152" s="19" t="s">
        <v>63</v>
      </c>
      <c r="E152" s="110" t="s">
        <v>485</v>
      </c>
      <c r="F152" s="110" t="s">
        <v>91</v>
      </c>
      <c r="G152" s="199">
        <f>10+1.2</f>
        <v>11.2</v>
      </c>
    </row>
    <row r="153" spans="1:7" ht="12.75">
      <c r="A153" s="243" t="s">
        <v>8</v>
      </c>
      <c r="B153" s="244" t="s">
        <v>270</v>
      </c>
      <c r="C153" s="245" t="s">
        <v>66</v>
      </c>
      <c r="D153" s="245" t="s">
        <v>34</v>
      </c>
      <c r="E153" s="246"/>
      <c r="F153" s="247"/>
      <c r="G153" s="248">
        <f aca="true" t="shared" si="0" ref="G153:G159">G154</f>
        <v>2133.4</v>
      </c>
    </row>
    <row r="154" spans="1:7" ht="12.75">
      <c r="A154" s="243" t="s">
        <v>11</v>
      </c>
      <c r="B154" s="244" t="s">
        <v>270</v>
      </c>
      <c r="C154" s="245" t="s">
        <v>66</v>
      </c>
      <c r="D154" s="245" t="s">
        <v>72</v>
      </c>
      <c r="E154" s="246"/>
      <c r="F154" s="247"/>
      <c r="G154" s="237">
        <f>G156</f>
        <v>2133.4</v>
      </c>
    </row>
    <row r="155" spans="1:7" ht="12.75">
      <c r="A155" s="232" t="s">
        <v>478</v>
      </c>
      <c r="B155" s="234" t="s">
        <v>270</v>
      </c>
      <c r="C155" s="234" t="s">
        <v>66</v>
      </c>
      <c r="D155" s="234" t="s">
        <v>72</v>
      </c>
      <c r="E155" s="235" t="s">
        <v>479</v>
      </c>
      <c r="F155" s="249"/>
      <c r="G155" s="237">
        <f>G156</f>
        <v>2133.4</v>
      </c>
    </row>
    <row r="156" spans="1:7" ht="25.5">
      <c r="A156" s="242" t="str">
        <f>'МП пр.6'!A384</f>
        <v>Муниципальная  программа  "Развитие образования в Сусуманском городском округе  на 2018- 2022 годы"</v>
      </c>
      <c r="B156" s="234" t="s">
        <v>270</v>
      </c>
      <c r="C156" s="234" t="s">
        <v>66</v>
      </c>
      <c r="D156" s="234" t="s">
        <v>72</v>
      </c>
      <c r="E156" s="236" t="str">
        <f>'МП пр.6'!B384</f>
        <v xml:space="preserve">7Р 0 00 00000 </v>
      </c>
      <c r="F156" s="236"/>
      <c r="G156" s="237">
        <f t="shared" si="0"/>
        <v>2133.4</v>
      </c>
    </row>
    <row r="157" spans="1:7" ht="25.5">
      <c r="A157" s="232" t="str">
        <f>'МП пр.6'!A476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157" s="234" t="s">
        <v>270</v>
      </c>
      <c r="C157" s="234" t="s">
        <v>66</v>
      </c>
      <c r="D157" s="234" t="s">
        <v>72</v>
      </c>
      <c r="E157" s="236" t="str">
        <f>'МП пр.6'!B476</f>
        <v>7Р 0 03 00000</v>
      </c>
      <c r="F157" s="236"/>
      <c r="G157" s="237">
        <f t="shared" si="0"/>
        <v>2133.4</v>
      </c>
    </row>
    <row r="158" spans="1:7" ht="25.5">
      <c r="A158" s="232" t="str">
        <f>'МП пр.6'!A477</f>
        <v xml:space="preserve"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158" s="234" t="s">
        <v>270</v>
      </c>
      <c r="C158" s="234" t="s">
        <v>66</v>
      </c>
      <c r="D158" s="234" t="s">
        <v>72</v>
      </c>
      <c r="E158" s="236" t="str">
        <f>'МП пр.6'!B477</f>
        <v>7Р 0 03 74020</v>
      </c>
      <c r="F158" s="236"/>
      <c r="G158" s="237">
        <f>G159+G161</f>
        <v>2133.4</v>
      </c>
    </row>
    <row r="159" spans="1:7" ht="38.25">
      <c r="A159" s="232" t="s">
        <v>92</v>
      </c>
      <c r="B159" s="234" t="s">
        <v>270</v>
      </c>
      <c r="C159" s="234" t="s">
        <v>66</v>
      </c>
      <c r="D159" s="234" t="s">
        <v>72</v>
      </c>
      <c r="E159" s="236" t="s">
        <v>337</v>
      </c>
      <c r="F159" s="236" t="s">
        <v>93</v>
      </c>
      <c r="G159" s="237">
        <f t="shared" si="0"/>
        <v>1825</v>
      </c>
    </row>
    <row r="160" spans="1:7" ht="12.75">
      <c r="A160" s="232" t="s">
        <v>89</v>
      </c>
      <c r="B160" s="234" t="s">
        <v>270</v>
      </c>
      <c r="C160" s="234" t="s">
        <v>66</v>
      </c>
      <c r="D160" s="234" t="s">
        <v>72</v>
      </c>
      <c r="E160" s="236" t="s">
        <v>337</v>
      </c>
      <c r="F160" s="236" t="s">
        <v>90</v>
      </c>
      <c r="G160" s="237">
        <f>'МП пр.6'!G482</f>
        <v>1825</v>
      </c>
    </row>
    <row r="161" spans="1:7" ht="25.5">
      <c r="A161" s="232" t="s">
        <v>333</v>
      </c>
      <c r="B161" s="234" t="s">
        <v>270</v>
      </c>
      <c r="C161" s="234" t="s">
        <v>66</v>
      </c>
      <c r="D161" s="234" t="s">
        <v>72</v>
      </c>
      <c r="E161" s="236" t="s">
        <v>337</v>
      </c>
      <c r="F161" s="236" t="s">
        <v>94</v>
      </c>
      <c r="G161" s="237">
        <f>G162</f>
        <v>308.4</v>
      </c>
    </row>
    <row r="162" spans="1:7" ht="25.5">
      <c r="A162" s="232" t="s">
        <v>608</v>
      </c>
      <c r="B162" s="234" t="s">
        <v>270</v>
      </c>
      <c r="C162" s="234" t="s">
        <v>66</v>
      </c>
      <c r="D162" s="234" t="s">
        <v>72</v>
      </c>
      <c r="E162" s="236" t="s">
        <v>337</v>
      </c>
      <c r="F162" s="250">
        <v>240</v>
      </c>
      <c r="G162" s="237">
        <f>'МП пр.6'!G485</f>
        <v>308.4</v>
      </c>
    </row>
    <row r="163" spans="1:7" ht="12.75">
      <c r="A163" s="15" t="s">
        <v>59</v>
      </c>
      <c r="B163" s="32" t="s">
        <v>270</v>
      </c>
      <c r="C163" s="32" t="s">
        <v>68</v>
      </c>
      <c r="D163" s="32" t="s">
        <v>34</v>
      </c>
      <c r="E163" s="110"/>
      <c r="F163" s="110"/>
      <c r="G163" s="198">
        <f>G164+G169+G199</f>
        <v>47528.600000000006</v>
      </c>
    </row>
    <row r="164" spans="1:7" ht="12.75">
      <c r="A164" s="15" t="s">
        <v>55</v>
      </c>
      <c r="B164" s="32" t="s">
        <v>270</v>
      </c>
      <c r="C164" s="32" t="s">
        <v>68</v>
      </c>
      <c r="D164" s="32" t="s">
        <v>63</v>
      </c>
      <c r="E164" s="110"/>
      <c r="F164" s="110"/>
      <c r="G164" s="198">
        <f>G165</f>
        <v>7952.5</v>
      </c>
    </row>
    <row r="165" spans="1:7" ht="12.75">
      <c r="A165" s="16" t="s">
        <v>18</v>
      </c>
      <c r="B165" s="20" t="s">
        <v>270</v>
      </c>
      <c r="C165" s="20" t="s">
        <v>68</v>
      </c>
      <c r="D165" s="20" t="s">
        <v>63</v>
      </c>
      <c r="E165" s="110" t="s">
        <v>349</v>
      </c>
      <c r="F165" s="110"/>
      <c r="G165" s="199">
        <f>G166</f>
        <v>7952.5</v>
      </c>
    </row>
    <row r="166" spans="1:7" ht="12.75">
      <c r="A166" s="16" t="s">
        <v>622</v>
      </c>
      <c r="B166" s="20" t="s">
        <v>270</v>
      </c>
      <c r="C166" s="20" t="s">
        <v>68</v>
      </c>
      <c r="D166" s="20" t="s">
        <v>63</v>
      </c>
      <c r="E166" s="110" t="s">
        <v>623</v>
      </c>
      <c r="F166" s="110"/>
      <c r="G166" s="199">
        <f>G167</f>
        <v>7952.5</v>
      </c>
    </row>
    <row r="167" spans="1:7" ht="12.75">
      <c r="A167" s="16" t="s">
        <v>101</v>
      </c>
      <c r="B167" s="20" t="s">
        <v>270</v>
      </c>
      <c r="C167" s="20" t="s">
        <v>68</v>
      </c>
      <c r="D167" s="20" t="s">
        <v>63</v>
      </c>
      <c r="E167" s="110" t="s">
        <v>623</v>
      </c>
      <c r="F167" s="110" t="s">
        <v>102</v>
      </c>
      <c r="G167" s="199">
        <f>G168</f>
        <v>7952.5</v>
      </c>
    </row>
    <row r="168" spans="1:7" ht="12.75">
      <c r="A168" s="16" t="s">
        <v>103</v>
      </c>
      <c r="B168" s="20" t="s">
        <v>270</v>
      </c>
      <c r="C168" s="20" t="s">
        <v>68</v>
      </c>
      <c r="D168" s="20" t="s">
        <v>63</v>
      </c>
      <c r="E168" s="110" t="s">
        <v>623</v>
      </c>
      <c r="F168" s="110" t="s">
        <v>104</v>
      </c>
      <c r="G168" s="199">
        <f>5461.5+2414+77</f>
        <v>7952.5</v>
      </c>
    </row>
    <row r="169" spans="1:7" ht="12.75">
      <c r="A169" s="23" t="s">
        <v>58</v>
      </c>
      <c r="B169" s="32" t="s">
        <v>270</v>
      </c>
      <c r="C169" s="37" t="s">
        <v>68</v>
      </c>
      <c r="D169" s="37" t="s">
        <v>67</v>
      </c>
      <c r="E169" s="115"/>
      <c r="F169" s="115"/>
      <c r="G169" s="200">
        <f>G170+G195</f>
        <v>36134.3</v>
      </c>
    </row>
    <row r="170" spans="1:7" ht="12.75">
      <c r="A170" s="16" t="s">
        <v>478</v>
      </c>
      <c r="B170" s="20" t="s">
        <v>270</v>
      </c>
      <c r="C170" s="20" t="s">
        <v>68</v>
      </c>
      <c r="D170" s="20" t="s">
        <v>67</v>
      </c>
      <c r="E170" s="115" t="s">
        <v>479</v>
      </c>
      <c r="F170" s="115"/>
      <c r="G170" s="201">
        <f>G171+G179</f>
        <v>29940</v>
      </c>
    </row>
    <row r="171" spans="1:7" ht="25.5">
      <c r="A171" s="16" t="str">
        <f>'МП пр.6'!A45</f>
        <v>Муниципальная программа "Патриотическое воспитание  жителей Сусуманского городского округа  на 2018- 2022 годы"</v>
      </c>
      <c r="B171" s="20" t="s">
        <v>270</v>
      </c>
      <c r="C171" s="20" t="s">
        <v>68</v>
      </c>
      <c r="D171" s="20" t="s">
        <v>67</v>
      </c>
      <c r="E171" s="115" t="str">
        <f>'МП пр.6'!B45</f>
        <v xml:space="preserve">7В 0 00 00000 </v>
      </c>
      <c r="F171" s="111"/>
      <c r="G171" s="199">
        <f>G172</f>
        <v>117.19999999999999</v>
      </c>
    </row>
    <row r="172" spans="1:7" ht="25.5">
      <c r="A172" s="16" t="str">
        <f>'МП пр.6'!A56</f>
        <v>Основное мероприятие "Реализация мероприятий по оказанию адресной помощи ветеранам Великой Отечественной войны 1941- 1945 годов"</v>
      </c>
      <c r="B172" s="20" t="s">
        <v>270</v>
      </c>
      <c r="C172" s="20" t="s">
        <v>68</v>
      </c>
      <c r="D172" s="20" t="s">
        <v>67</v>
      </c>
      <c r="E172" s="115" t="str">
        <f>'МП пр.6'!B56</f>
        <v>7В 0 02 00000</v>
      </c>
      <c r="F172" s="111"/>
      <c r="G172" s="199">
        <f>G173+G176</f>
        <v>117.19999999999999</v>
      </c>
    </row>
    <row r="173" spans="1:7" ht="12.75">
      <c r="A173" s="16" t="str">
        <f>'МП пр.6'!A57</f>
        <v>Оказание материальной помощи, единовременной выплаты</v>
      </c>
      <c r="B173" s="20" t="s">
        <v>270</v>
      </c>
      <c r="C173" s="20" t="s">
        <v>68</v>
      </c>
      <c r="D173" s="20" t="s">
        <v>67</v>
      </c>
      <c r="E173" s="115" t="str">
        <f>'МП пр.6'!B57</f>
        <v>7В 0 02 91200</v>
      </c>
      <c r="F173" s="111"/>
      <c r="G173" s="199">
        <f>G174</f>
        <v>27.6</v>
      </c>
    </row>
    <row r="174" spans="1:7" ht="12.75">
      <c r="A174" s="16" t="s">
        <v>101</v>
      </c>
      <c r="B174" s="20" t="s">
        <v>270</v>
      </c>
      <c r="C174" s="20" t="s">
        <v>68</v>
      </c>
      <c r="D174" s="20" t="s">
        <v>67</v>
      </c>
      <c r="E174" s="115" t="str">
        <f>'МП пр.6'!B58</f>
        <v>7В 0 02 91200</v>
      </c>
      <c r="F174" s="40" t="s">
        <v>102</v>
      </c>
      <c r="G174" s="199">
        <f>G175</f>
        <v>27.6</v>
      </c>
    </row>
    <row r="175" spans="1:7" ht="12.75">
      <c r="A175" s="16" t="str">
        <f>'МП пр.6'!A67</f>
        <v>Иные выплаты населению</v>
      </c>
      <c r="B175" s="20" t="s">
        <v>270</v>
      </c>
      <c r="C175" s="20" t="s">
        <v>68</v>
      </c>
      <c r="D175" s="20" t="s">
        <v>67</v>
      </c>
      <c r="E175" s="115" t="str">
        <f>'МП пр.6'!B59</f>
        <v>7В 0 02 91200</v>
      </c>
      <c r="F175" s="40" t="s">
        <v>106</v>
      </c>
      <c r="G175" s="199">
        <f>'МП пр.6'!G62</f>
        <v>27.6</v>
      </c>
    </row>
    <row r="176" spans="1:7" ht="12.75">
      <c r="A176" s="16" t="str">
        <f>'МП пр.6'!A63</f>
        <v>Предоставление льготы по оплате жилищно- коммунальных услуг</v>
      </c>
      <c r="B176" s="20" t="s">
        <v>270</v>
      </c>
      <c r="C176" s="20" t="s">
        <v>68</v>
      </c>
      <c r="D176" s="20" t="s">
        <v>67</v>
      </c>
      <c r="E176" s="115" t="str">
        <f>'МП пр.6'!B64</f>
        <v>7В 0 02 91410</v>
      </c>
      <c r="F176" s="19"/>
      <c r="G176" s="201">
        <f>G177</f>
        <v>89.6</v>
      </c>
    </row>
    <row r="177" spans="1:7" ht="12.75">
      <c r="A177" s="16" t="s">
        <v>101</v>
      </c>
      <c r="B177" s="20" t="s">
        <v>270</v>
      </c>
      <c r="C177" s="20" t="s">
        <v>68</v>
      </c>
      <c r="D177" s="20" t="s">
        <v>67</v>
      </c>
      <c r="E177" s="115" t="str">
        <f>'МП пр.6'!B65</f>
        <v>7В 0 02 91410</v>
      </c>
      <c r="F177" s="40">
        <v>300</v>
      </c>
      <c r="G177" s="201">
        <f>G178</f>
        <v>89.6</v>
      </c>
    </row>
    <row r="178" spans="1:7" ht="12.75">
      <c r="A178" s="16" t="str">
        <f>'МП пр.6'!A67</f>
        <v>Иные выплаты населению</v>
      </c>
      <c r="B178" s="20" t="s">
        <v>270</v>
      </c>
      <c r="C178" s="20" t="s">
        <v>68</v>
      </c>
      <c r="D178" s="20" t="s">
        <v>67</v>
      </c>
      <c r="E178" s="115" t="str">
        <f>'МП пр.6'!B66</f>
        <v>7В 0 02 91410</v>
      </c>
      <c r="F178" s="40" t="str">
        <f>'[2]МП пр.5'!E64</f>
        <v>360</v>
      </c>
      <c r="G178" s="201">
        <f>'МП пр.6'!G68</f>
        <v>89.6</v>
      </c>
    </row>
    <row r="179" spans="1:7" ht="38.25">
      <c r="A179" s="16" t="str">
        <f>'МП пр.6'!A69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179" s="19" t="s">
        <v>270</v>
      </c>
      <c r="C179" s="19" t="s">
        <v>68</v>
      </c>
      <c r="D179" s="19" t="s">
        <v>67</v>
      </c>
      <c r="E179" s="110" t="str">
        <f>'МП пр.6'!B69</f>
        <v xml:space="preserve">7Г 0 00 00000 </v>
      </c>
      <c r="F179" s="110"/>
      <c r="G179" s="199">
        <f>G184+G180</f>
        <v>29822.8</v>
      </c>
    </row>
    <row r="180" spans="1:7" ht="25.5">
      <c r="A180" s="29" t="str">
        <f>'МП пр.6'!A70</f>
        <v>Основное мероприятие "Оптимизация системы расселения в Сусуманском городском округе"</v>
      </c>
      <c r="B180" s="19" t="s">
        <v>270</v>
      </c>
      <c r="C180" s="19" t="s">
        <v>68</v>
      </c>
      <c r="D180" s="19" t="s">
        <v>67</v>
      </c>
      <c r="E180" s="115" t="str">
        <f>'МП пр.6'!B70</f>
        <v xml:space="preserve">7Г 0 01 00000 </v>
      </c>
      <c r="F180" s="110"/>
      <c r="G180" s="199">
        <f>G181</f>
        <v>857.9</v>
      </c>
    </row>
    <row r="181" spans="1:7" ht="12.75">
      <c r="A181" s="16" t="str">
        <f>'МП пр.6'!A71</f>
        <v xml:space="preserve">Оптимизация жилищного фонда в виде расселения </v>
      </c>
      <c r="B181" s="19" t="s">
        <v>270</v>
      </c>
      <c r="C181" s="19" t="s">
        <v>68</v>
      </c>
      <c r="D181" s="19" t="s">
        <v>67</v>
      </c>
      <c r="E181" s="115" t="str">
        <f>'МП пр.6'!B78</f>
        <v xml:space="preserve">7Г 0 01 96610 </v>
      </c>
      <c r="F181" s="110"/>
      <c r="G181" s="202">
        <f>G182</f>
        <v>857.9</v>
      </c>
    </row>
    <row r="182" spans="1:7" ht="12.75">
      <c r="A182" s="16" t="s">
        <v>110</v>
      </c>
      <c r="B182" s="19" t="s">
        <v>270</v>
      </c>
      <c r="C182" s="19" t="s">
        <v>68</v>
      </c>
      <c r="D182" s="19" t="s">
        <v>67</v>
      </c>
      <c r="E182" s="115" t="str">
        <f>'МП пр.6'!B79</f>
        <v xml:space="preserve">7Г 0 01 96610 </v>
      </c>
      <c r="F182" s="20" t="s">
        <v>111</v>
      </c>
      <c r="G182" s="202">
        <f>G183</f>
        <v>857.9</v>
      </c>
    </row>
    <row r="183" spans="1:7" ht="12.75">
      <c r="A183" s="16" t="s">
        <v>113</v>
      </c>
      <c r="B183" s="19" t="s">
        <v>270</v>
      </c>
      <c r="C183" s="19" t="s">
        <v>68</v>
      </c>
      <c r="D183" s="19" t="s">
        <v>67</v>
      </c>
      <c r="E183" s="115" t="s">
        <v>328</v>
      </c>
      <c r="F183" s="20" t="s">
        <v>114</v>
      </c>
      <c r="G183" s="202">
        <f>'МП пр.6'!G81</f>
        <v>857.9</v>
      </c>
    </row>
    <row r="184" spans="1:7" ht="38.25">
      <c r="A184" s="29" t="str">
        <f>'МП пр.6'!A82</f>
        <v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v>
      </c>
      <c r="B184" s="19" t="s">
        <v>270</v>
      </c>
      <c r="C184" s="19" t="s">
        <v>68</v>
      </c>
      <c r="D184" s="19" t="s">
        <v>67</v>
      </c>
      <c r="E184" s="110" t="str">
        <f>'МП пр.6'!B82</f>
        <v xml:space="preserve">7Г 0 F3 00000 </v>
      </c>
      <c r="F184" s="110"/>
      <c r="G184" s="199">
        <f>G185+G190</f>
        <v>28964.899999999998</v>
      </c>
    </row>
    <row r="185" spans="1:7" ht="38.25">
      <c r="A185" s="29" t="str">
        <f>'МП пр.6'!A83</f>
        <v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</v>
      </c>
      <c r="B185" s="19" t="s">
        <v>270</v>
      </c>
      <c r="C185" s="19" t="s">
        <v>68</v>
      </c>
      <c r="D185" s="19" t="s">
        <v>67</v>
      </c>
      <c r="E185" s="110" t="str">
        <f>'МП пр.6'!B83</f>
        <v>7Г 0 F3 67483</v>
      </c>
      <c r="F185" s="110"/>
      <c r="G185" s="199">
        <f>G186+G188</f>
        <v>28385.6</v>
      </c>
    </row>
    <row r="186" spans="1:7" ht="25.5">
      <c r="A186" s="16" t="s">
        <v>333</v>
      </c>
      <c r="B186" s="19" t="s">
        <v>270</v>
      </c>
      <c r="C186" s="19" t="s">
        <v>68</v>
      </c>
      <c r="D186" s="19" t="s">
        <v>67</v>
      </c>
      <c r="E186" s="110" t="str">
        <f>'МП пр.6'!B84</f>
        <v>7Г 0 F3 67483</v>
      </c>
      <c r="F186" s="142">
        <v>200</v>
      </c>
      <c r="G186" s="199">
        <f>G187</f>
        <v>14653.3</v>
      </c>
    </row>
    <row r="187" spans="1:7" ht="25.5">
      <c r="A187" s="16" t="s">
        <v>608</v>
      </c>
      <c r="B187" s="19" t="s">
        <v>270</v>
      </c>
      <c r="C187" s="19" t="s">
        <v>68</v>
      </c>
      <c r="D187" s="19" t="s">
        <v>67</v>
      </c>
      <c r="E187" s="110" t="str">
        <f>'МП пр.6'!B85</f>
        <v>7Г 0 F3 67483</v>
      </c>
      <c r="F187" s="142">
        <v>240</v>
      </c>
      <c r="G187" s="199">
        <f>'МП пр.6'!G88</f>
        <v>14653.3</v>
      </c>
    </row>
    <row r="188" spans="1:7" ht="12.75">
      <c r="A188" s="16" t="s">
        <v>110</v>
      </c>
      <c r="B188" s="19" t="s">
        <v>270</v>
      </c>
      <c r="C188" s="19" t="s">
        <v>68</v>
      </c>
      <c r="D188" s="19" t="s">
        <v>67</v>
      </c>
      <c r="E188" s="110" t="str">
        <f>'МП пр.6'!B89</f>
        <v>7Г 0 F3 67483</v>
      </c>
      <c r="F188" s="20" t="s">
        <v>111</v>
      </c>
      <c r="G188" s="199">
        <f>G189</f>
        <v>13732.3</v>
      </c>
    </row>
    <row r="189" spans="1:7" ht="12.75">
      <c r="A189" s="16" t="s">
        <v>113</v>
      </c>
      <c r="B189" s="19" t="s">
        <v>270</v>
      </c>
      <c r="C189" s="19" t="s">
        <v>68</v>
      </c>
      <c r="D189" s="19" t="s">
        <v>67</v>
      </c>
      <c r="E189" s="110" t="str">
        <f>'МП пр.6'!B90</f>
        <v>7Г 0 F3 67483</v>
      </c>
      <c r="F189" s="20" t="s">
        <v>114</v>
      </c>
      <c r="G189" s="199">
        <f>'МП пр.6'!G91</f>
        <v>13732.3</v>
      </c>
    </row>
    <row r="190" spans="1:7" ht="24.6" customHeight="1">
      <c r="A190" s="29" t="str">
        <f>'МП пр.6'!A92</f>
        <v>Обеспечение мероприятий по переселению граждан из аварийного жилищного фонда за счет средств субъекта Российской Федерации</v>
      </c>
      <c r="B190" s="19" t="s">
        <v>270</v>
      </c>
      <c r="C190" s="19" t="s">
        <v>68</v>
      </c>
      <c r="D190" s="19" t="s">
        <v>67</v>
      </c>
      <c r="E190" s="110" t="str">
        <f>'МП пр.6'!B92</f>
        <v>7Г 0 F3 67484</v>
      </c>
      <c r="F190" s="110"/>
      <c r="G190" s="199">
        <f>G191+G193</f>
        <v>579.3</v>
      </c>
    </row>
    <row r="191" spans="1:7" ht="25.5">
      <c r="A191" s="16" t="s">
        <v>333</v>
      </c>
      <c r="B191" s="19" t="s">
        <v>270</v>
      </c>
      <c r="C191" s="19" t="s">
        <v>68</v>
      </c>
      <c r="D191" s="19" t="s">
        <v>67</v>
      </c>
      <c r="E191" s="110" t="str">
        <f>'МП пр.6'!B91</f>
        <v>7Г 0 F3 67483</v>
      </c>
      <c r="F191" s="142">
        <v>200</v>
      </c>
      <c r="G191" s="199">
        <f>G192</f>
        <v>299</v>
      </c>
    </row>
    <row r="192" spans="1:7" ht="24.6" customHeight="1">
      <c r="A192" s="16" t="s">
        <v>608</v>
      </c>
      <c r="B192" s="19" t="s">
        <v>270</v>
      </c>
      <c r="C192" s="19" t="s">
        <v>68</v>
      </c>
      <c r="D192" s="19" t="s">
        <v>67</v>
      </c>
      <c r="E192" s="110" t="str">
        <f>'МП пр.6'!B92</f>
        <v>7Г 0 F3 67484</v>
      </c>
      <c r="F192" s="142">
        <v>240</v>
      </c>
      <c r="G192" s="199">
        <f>'МП пр.6'!G97</f>
        <v>299</v>
      </c>
    </row>
    <row r="193" spans="1:7" ht="12.75">
      <c r="A193" s="16" t="s">
        <v>110</v>
      </c>
      <c r="B193" s="19" t="s">
        <v>270</v>
      </c>
      <c r="C193" s="19" t="s">
        <v>68</v>
      </c>
      <c r="D193" s="19" t="s">
        <v>67</v>
      </c>
      <c r="E193" s="110" t="str">
        <f>'МП пр.6'!B93</f>
        <v>7Г 0 F3 67484</v>
      </c>
      <c r="F193" s="20" t="s">
        <v>111</v>
      </c>
      <c r="G193" s="199">
        <f>G194</f>
        <v>280.3</v>
      </c>
    </row>
    <row r="194" spans="1:7" ht="12.75">
      <c r="A194" s="16" t="s">
        <v>113</v>
      </c>
      <c r="B194" s="19" t="s">
        <v>270</v>
      </c>
      <c r="C194" s="19" t="s">
        <v>68</v>
      </c>
      <c r="D194" s="19" t="s">
        <v>67</v>
      </c>
      <c r="E194" s="110" t="str">
        <f>'МП пр.6'!B94</f>
        <v>7Г 0 F3 67484</v>
      </c>
      <c r="F194" s="20" t="s">
        <v>114</v>
      </c>
      <c r="G194" s="199">
        <f>'МП пр.6'!G100</f>
        <v>280.3</v>
      </c>
    </row>
    <row r="195" spans="1:7" ht="12.75">
      <c r="A195" s="150" t="s">
        <v>564</v>
      </c>
      <c r="B195" s="19" t="s">
        <v>270</v>
      </c>
      <c r="C195" s="19" t="s">
        <v>68</v>
      </c>
      <c r="D195" s="19" t="s">
        <v>67</v>
      </c>
      <c r="E195" s="43" t="s">
        <v>565</v>
      </c>
      <c r="F195" s="110"/>
      <c r="G195" s="199">
        <f>G196</f>
        <v>6194.3</v>
      </c>
    </row>
    <row r="196" spans="1:7" ht="25.5">
      <c r="A196" s="185" t="s">
        <v>684</v>
      </c>
      <c r="B196" s="19" t="s">
        <v>270</v>
      </c>
      <c r="C196" s="19" t="s">
        <v>68</v>
      </c>
      <c r="D196" s="19" t="s">
        <v>67</v>
      </c>
      <c r="E196" s="43" t="s">
        <v>685</v>
      </c>
      <c r="F196" s="110"/>
      <c r="G196" s="199">
        <f>G197</f>
        <v>6194.3</v>
      </c>
    </row>
    <row r="197" spans="1:7" ht="12.75">
      <c r="A197" s="16" t="s">
        <v>110</v>
      </c>
      <c r="B197" s="19" t="s">
        <v>270</v>
      </c>
      <c r="C197" s="19" t="s">
        <v>68</v>
      </c>
      <c r="D197" s="19" t="s">
        <v>67</v>
      </c>
      <c r="E197" s="43" t="s">
        <v>685</v>
      </c>
      <c r="F197" s="20" t="s">
        <v>111</v>
      </c>
      <c r="G197" s="199">
        <f>G198</f>
        <v>6194.3</v>
      </c>
    </row>
    <row r="198" spans="1:7" ht="12.75">
      <c r="A198" s="16" t="s">
        <v>113</v>
      </c>
      <c r="B198" s="19" t="s">
        <v>270</v>
      </c>
      <c r="C198" s="19" t="s">
        <v>68</v>
      </c>
      <c r="D198" s="19" t="s">
        <v>67</v>
      </c>
      <c r="E198" s="43" t="s">
        <v>685</v>
      </c>
      <c r="F198" s="20" t="s">
        <v>114</v>
      </c>
      <c r="G198" s="199">
        <v>6194.3</v>
      </c>
    </row>
    <row r="199" spans="1:7" ht="12.75">
      <c r="A199" s="15" t="s">
        <v>129</v>
      </c>
      <c r="B199" s="32" t="s">
        <v>270</v>
      </c>
      <c r="C199" s="32" t="s">
        <v>68</v>
      </c>
      <c r="D199" s="32" t="s">
        <v>73</v>
      </c>
      <c r="E199" s="113"/>
      <c r="F199" s="113"/>
      <c r="G199" s="200">
        <f>G200+G216</f>
        <v>3441.7999999999997</v>
      </c>
    </row>
    <row r="200" spans="1:7" ht="12.75">
      <c r="A200" s="16" t="s">
        <v>478</v>
      </c>
      <c r="B200" s="20" t="s">
        <v>270</v>
      </c>
      <c r="C200" s="20" t="s">
        <v>68</v>
      </c>
      <c r="D200" s="20" t="s">
        <v>73</v>
      </c>
      <c r="E200" s="115" t="s">
        <v>479</v>
      </c>
      <c r="F200" s="113"/>
      <c r="G200" s="201">
        <f>G201+G208</f>
        <v>2668.7999999999997</v>
      </c>
    </row>
    <row r="201" spans="1:7" ht="25.5">
      <c r="A201" s="242" t="str">
        <f>'МП пр.6'!A384</f>
        <v>Муниципальная  программа  "Развитие образования в Сусуманском городском округе  на 2018- 2022 годы"</v>
      </c>
      <c r="B201" s="234" t="s">
        <v>270</v>
      </c>
      <c r="C201" s="234" t="s">
        <v>68</v>
      </c>
      <c r="D201" s="234" t="s">
        <v>73</v>
      </c>
      <c r="E201" s="236" t="str">
        <f>'МП пр.6'!B384</f>
        <v xml:space="preserve">7Р 0 00 00000 </v>
      </c>
      <c r="F201" s="236"/>
      <c r="G201" s="237">
        <f>G202</f>
        <v>2603.8999999999996</v>
      </c>
    </row>
    <row r="202" spans="1:7" ht="25.5">
      <c r="A202" s="232" t="str">
        <f>'МП пр.6'!A486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202" s="234" t="s">
        <v>270</v>
      </c>
      <c r="C202" s="234" t="s">
        <v>68</v>
      </c>
      <c r="D202" s="234" t="s">
        <v>73</v>
      </c>
      <c r="E202" s="236" t="str">
        <f>'МП пр.6'!B486</f>
        <v>7Р 0 04 00000</v>
      </c>
      <c r="F202" s="236"/>
      <c r="G202" s="237">
        <f>G203</f>
        <v>2603.8999999999996</v>
      </c>
    </row>
    <row r="203" spans="1:7" ht="25.5">
      <c r="A203" s="232" t="str">
        <f>'МП пр.6'!A487</f>
        <v xml:space="preserve">Осуществление государственных полномочий по организации и осуществлению деятельности по опеке и попечительству </v>
      </c>
      <c r="B203" s="234" t="s">
        <v>270</v>
      </c>
      <c r="C203" s="234" t="s">
        <v>68</v>
      </c>
      <c r="D203" s="234" t="s">
        <v>73</v>
      </c>
      <c r="E203" s="236" t="str">
        <f>'МП пр.6'!B487</f>
        <v>7Р 0 04 74090</v>
      </c>
      <c r="F203" s="236"/>
      <c r="G203" s="237">
        <f>G204+G206</f>
        <v>2603.8999999999996</v>
      </c>
    </row>
    <row r="204" spans="1:7" ht="38.25">
      <c r="A204" s="232" t="s">
        <v>92</v>
      </c>
      <c r="B204" s="234" t="s">
        <v>270</v>
      </c>
      <c r="C204" s="234" t="s">
        <v>68</v>
      </c>
      <c r="D204" s="234" t="s">
        <v>73</v>
      </c>
      <c r="E204" s="236" t="s">
        <v>432</v>
      </c>
      <c r="F204" s="236" t="s">
        <v>93</v>
      </c>
      <c r="G204" s="237">
        <f>G205</f>
        <v>2320.2</v>
      </c>
    </row>
    <row r="205" spans="1:7" ht="12.75">
      <c r="A205" s="232" t="s">
        <v>89</v>
      </c>
      <c r="B205" s="234" t="s">
        <v>270</v>
      </c>
      <c r="C205" s="234" t="s">
        <v>68</v>
      </c>
      <c r="D205" s="234" t="s">
        <v>73</v>
      </c>
      <c r="E205" s="236" t="s">
        <v>432</v>
      </c>
      <c r="F205" s="236" t="s">
        <v>90</v>
      </c>
      <c r="G205" s="237">
        <f>'МП пр.6'!G492</f>
        <v>2320.2</v>
      </c>
    </row>
    <row r="206" spans="1:7" ht="25.5">
      <c r="A206" s="232" t="s">
        <v>333</v>
      </c>
      <c r="B206" s="234" t="s">
        <v>270</v>
      </c>
      <c r="C206" s="234" t="s">
        <v>68</v>
      </c>
      <c r="D206" s="234" t="s">
        <v>73</v>
      </c>
      <c r="E206" s="236" t="s">
        <v>432</v>
      </c>
      <c r="F206" s="236" t="s">
        <v>94</v>
      </c>
      <c r="G206" s="237">
        <f>G207</f>
        <v>283.7</v>
      </c>
    </row>
    <row r="207" spans="1:7" ht="25.5">
      <c r="A207" s="232" t="s">
        <v>608</v>
      </c>
      <c r="B207" s="234" t="s">
        <v>270</v>
      </c>
      <c r="C207" s="234" t="s">
        <v>68</v>
      </c>
      <c r="D207" s="234" t="s">
        <v>73</v>
      </c>
      <c r="E207" s="236" t="s">
        <v>432</v>
      </c>
      <c r="F207" s="236" t="s">
        <v>91</v>
      </c>
      <c r="G207" s="237">
        <f>'МП пр.6'!G495</f>
        <v>283.7</v>
      </c>
    </row>
    <row r="208" spans="1:7" ht="38.25">
      <c r="A208" s="16" t="str">
        <f>'МП пр.6'!A653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208" s="19" t="s">
        <v>270</v>
      </c>
      <c r="C208" s="20" t="s">
        <v>68</v>
      </c>
      <c r="D208" s="20" t="s">
        <v>73</v>
      </c>
      <c r="E208" s="110" t="str">
        <f>'МП пр.6'!B653</f>
        <v>7L 0 00 00000</v>
      </c>
      <c r="F208" s="110"/>
      <c r="G208" s="199">
        <f>G209</f>
        <v>64.9</v>
      </c>
    </row>
    <row r="209" spans="1:7" ht="25.5">
      <c r="A209" s="29" t="str">
        <f>'МП пр.6'!A654</f>
        <v>Основное мероприятие "Оказание финансовой поддержки деятельности социально ориентированных некоммерческих организаций"</v>
      </c>
      <c r="B209" s="19" t="s">
        <v>270</v>
      </c>
      <c r="C209" s="20" t="s">
        <v>68</v>
      </c>
      <c r="D209" s="20" t="s">
        <v>73</v>
      </c>
      <c r="E209" s="110" t="str">
        <f>'МП пр.6'!B654</f>
        <v>7L 0 01 00000</v>
      </c>
      <c r="F209" s="110"/>
      <c r="G209" s="199">
        <f>G210+G213</f>
        <v>64.9</v>
      </c>
    </row>
    <row r="210" spans="1:7" ht="25.5">
      <c r="A210" s="29" t="str">
        <f>'МП пр.6'!A655</f>
        <v>Поддержка деятельности социально ориентированных некоммерческих организаций за счет средств из областного бюджета</v>
      </c>
      <c r="B210" s="19" t="s">
        <v>270</v>
      </c>
      <c r="C210" s="20" t="s">
        <v>68</v>
      </c>
      <c r="D210" s="20" t="s">
        <v>73</v>
      </c>
      <c r="E210" s="110" t="str">
        <f>'МП пр.6'!B658</f>
        <v>7L 0 01 73280</v>
      </c>
      <c r="F210" s="110"/>
      <c r="G210" s="199">
        <f>G211</f>
        <v>34.9</v>
      </c>
    </row>
    <row r="211" spans="1:7" ht="25.5">
      <c r="A211" s="16" t="s">
        <v>95</v>
      </c>
      <c r="B211" s="19" t="s">
        <v>270</v>
      </c>
      <c r="C211" s="20" t="s">
        <v>68</v>
      </c>
      <c r="D211" s="20" t="s">
        <v>73</v>
      </c>
      <c r="E211" s="110" t="str">
        <f>'МП пр.6'!B659</f>
        <v>7L 0 01 73280</v>
      </c>
      <c r="F211" s="110" t="s">
        <v>96</v>
      </c>
      <c r="G211" s="199">
        <f>G212</f>
        <v>34.9</v>
      </c>
    </row>
    <row r="212" spans="1:7" ht="38.25">
      <c r="A212" s="16" t="s">
        <v>713</v>
      </c>
      <c r="B212" s="19" t="s">
        <v>270</v>
      </c>
      <c r="C212" s="20" t="s">
        <v>68</v>
      </c>
      <c r="D212" s="20" t="s">
        <v>73</v>
      </c>
      <c r="E212" s="110" t="str">
        <f>'МП пр.6'!B660</f>
        <v>7L 0 01 73280</v>
      </c>
      <c r="F212" s="142">
        <v>630</v>
      </c>
      <c r="G212" s="199">
        <f>'МП пр.6'!G660</f>
        <v>34.9</v>
      </c>
    </row>
    <row r="213" spans="1:7" ht="12.75">
      <c r="A213" s="16" t="str">
        <f>'МП пр.6'!A661</f>
        <v>Поддержка деятельности социально ориентированных некоммерческих организаций</v>
      </c>
      <c r="B213" s="19" t="s">
        <v>270</v>
      </c>
      <c r="C213" s="20" t="s">
        <v>68</v>
      </c>
      <c r="D213" s="20" t="s">
        <v>73</v>
      </c>
      <c r="E213" s="110" t="str">
        <f>'МП пр.6'!B661</f>
        <v>7L 0 01 91700</v>
      </c>
      <c r="F213" s="110"/>
      <c r="G213" s="199">
        <f>G214</f>
        <v>30</v>
      </c>
    </row>
    <row r="214" spans="1:7" ht="25.5">
      <c r="A214" s="16" t="s">
        <v>95</v>
      </c>
      <c r="B214" s="19" t="s">
        <v>270</v>
      </c>
      <c r="C214" s="20" t="s">
        <v>68</v>
      </c>
      <c r="D214" s="20" t="s">
        <v>73</v>
      </c>
      <c r="E214" s="110" t="s">
        <v>457</v>
      </c>
      <c r="F214" s="110" t="s">
        <v>96</v>
      </c>
      <c r="G214" s="199">
        <f>G215</f>
        <v>30</v>
      </c>
    </row>
    <row r="215" spans="1:7" ht="38.25">
      <c r="A215" s="16" t="s">
        <v>713</v>
      </c>
      <c r="B215" s="19" t="s">
        <v>270</v>
      </c>
      <c r="C215" s="20" t="s">
        <v>68</v>
      </c>
      <c r="D215" s="20" t="s">
        <v>73</v>
      </c>
      <c r="E215" s="110" t="s">
        <v>457</v>
      </c>
      <c r="F215" s="142">
        <v>630</v>
      </c>
      <c r="G215" s="199">
        <f>'МП пр.6'!G666</f>
        <v>30</v>
      </c>
    </row>
    <row r="216" spans="1:7" ht="38.25">
      <c r="A216" s="117" t="s">
        <v>575</v>
      </c>
      <c r="B216" s="20" t="s">
        <v>270</v>
      </c>
      <c r="C216" s="20" t="s">
        <v>68</v>
      </c>
      <c r="D216" s="20" t="s">
        <v>73</v>
      </c>
      <c r="E216" s="110" t="s">
        <v>464</v>
      </c>
      <c r="F216" s="110"/>
      <c r="G216" s="201">
        <f>G217</f>
        <v>773</v>
      </c>
    </row>
    <row r="217" spans="1:7" ht="25.5">
      <c r="A217" s="16" t="s">
        <v>486</v>
      </c>
      <c r="B217" s="20" t="s">
        <v>270</v>
      </c>
      <c r="C217" s="20" t="s">
        <v>68</v>
      </c>
      <c r="D217" s="20" t="s">
        <v>73</v>
      </c>
      <c r="E217" s="110" t="s">
        <v>577</v>
      </c>
      <c r="F217" s="110"/>
      <c r="G217" s="201">
        <f>G218</f>
        <v>773</v>
      </c>
    </row>
    <row r="218" spans="1:7" ht="25.5">
      <c r="A218" s="16" t="s">
        <v>588</v>
      </c>
      <c r="B218" s="20" t="s">
        <v>270</v>
      </c>
      <c r="C218" s="20" t="s">
        <v>68</v>
      </c>
      <c r="D218" s="20" t="s">
        <v>73</v>
      </c>
      <c r="E218" s="110" t="s">
        <v>578</v>
      </c>
      <c r="F218" s="110"/>
      <c r="G218" s="201">
        <f>G219+G221</f>
        <v>773</v>
      </c>
    </row>
    <row r="219" spans="1:7" ht="38.25">
      <c r="A219" s="16" t="s">
        <v>92</v>
      </c>
      <c r="B219" s="20" t="s">
        <v>270</v>
      </c>
      <c r="C219" s="20" t="s">
        <v>68</v>
      </c>
      <c r="D219" s="20" t="s">
        <v>73</v>
      </c>
      <c r="E219" s="110" t="s">
        <v>578</v>
      </c>
      <c r="F219" s="110" t="s">
        <v>93</v>
      </c>
      <c r="G219" s="199">
        <f>G220</f>
        <v>564.3</v>
      </c>
    </row>
    <row r="220" spans="1:7" ht="12.75">
      <c r="A220" s="16" t="s">
        <v>89</v>
      </c>
      <c r="B220" s="20" t="s">
        <v>270</v>
      </c>
      <c r="C220" s="20" t="s">
        <v>68</v>
      </c>
      <c r="D220" s="20" t="s">
        <v>73</v>
      </c>
      <c r="E220" s="110" t="s">
        <v>578</v>
      </c>
      <c r="F220" s="110" t="s">
        <v>90</v>
      </c>
      <c r="G220" s="199">
        <f>537.9+26.4</f>
        <v>564.3</v>
      </c>
    </row>
    <row r="221" spans="1:7" ht="25.5">
      <c r="A221" s="16" t="s">
        <v>333</v>
      </c>
      <c r="B221" s="20" t="s">
        <v>270</v>
      </c>
      <c r="C221" s="20" t="s">
        <v>68</v>
      </c>
      <c r="D221" s="20" t="s">
        <v>73</v>
      </c>
      <c r="E221" s="110" t="s">
        <v>578</v>
      </c>
      <c r="F221" s="110" t="s">
        <v>94</v>
      </c>
      <c r="G221" s="199">
        <f>G222</f>
        <v>208.7</v>
      </c>
    </row>
    <row r="222" spans="1:7" ht="25.5">
      <c r="A222" s="16" t="s">
        <v>608</v>
      </c>
      <c r="B222" s="20" t="s">
        <v>270</v>
      </c>
      <c r="C222" s="20" t="s">
        <v>68</v>
      </c>
      <c r="D222" s="20" t="s">
        <v>73</v>
      </c>
      <c r="E222" s="110" t="s">
        <v>578</v>
      </c>
      <c r="F222" s="110" t="s">
        <v>91</v>
      </c>
      <c r="G222" s="199">
        <f>235.1-26.4</f>
        <v>208.7</v>
      </c>
    </row>
    <row r="223" spans="1:7" ht="12.75">
      <c r="A223" s="15" t="s">
        <v>131</v>
      </c>
      <c r="B223" s="37" t="s">
        <v>271</v>
      </c>
      <c r="C223" s="32"/>
      <c r="D223" s="32"/>
      <c r="E223" s="113"/>
      <c r="F223" s="113"/>
      <c r="G223" s="198">
        <f>G224+G251</f>
        <v>18787.2</v>
      </c>
    </row>
    <row r="224" spans="1:7" ht="12.75">
      <c r="A224" s="15" t="s">
        <v>2</v>
      </c>
      <c r="B224" s="37" t="s">
        <v>271</v>
      </c>
      <c r="C224" s="32" t="s">
        <v>63</v>
      </c>
      <c r="D224" s="32" t="s">
        <v>34</v>
      </c>
      <c r="E224" s="113"/>
      <c r="F224" s="113"/>
      <c r="G224" s="198">
        <f>G225+G246</f>
        <v>18775.2</v>
      </c>
    </row>
    <row r="225" spans="1:7" ht="25.5">
      <c r="A225" s="15" t="s">
        <v>76</v>
      </c>
      <c r="B225" s="37" t="s">
        <v>271</v>
      </c>
      <c r="C225" s="32" t="s">
        <v>63</v>
      </c>
      <c r="D225" s="32" t="s">
        <v>73</v>
      </c>
      <c r="E225" s="113"/>
      <c r="F225" s="113"/>
      <c r="G225" s="198">
        <f>G226</f>
        <v>18574.7</v>
      </c>
    </row>
    <row r="226" spans="1:7" ht="25.5">
      <c r="A226" s="16" t="s">
        <v>277</v>
      </c>
      <c r="B226" s="19" t="s">
        <v>271</v>
      </c>
      <c r="C226" s="20" t="s">
        <v>63</v>
      </c>
      <c r="D226" s="20" t="s">
        <v>73</v>
      </c>
      <c r="E226" s="110" t="s">
        <v>175</v>
      </c>
      <c r="F226" s="110"/>
      <c r="G226" s="199">
        <f>G227</f>
        <v>18574.7</v>
      </c>
    </row>
    <row r="227" spans="1:7" ht="12.75">
      <c r="A227" s="16" t="s">
        <v>47</v>
      </c>
      <c r="B227" s="19" t="s">
        <v>271</v>
      </c>
      <c r="C227" s="20" t="s">
        <v>63</v>
      </c>
      <c r="D227" s="20" t="s">
        <v>73</v>
      </c>
      <c r="E227" s="110" t="s">
        <v>181</v>
      </c>
      <c r="F227" s="110"/>
      <c r="G227" s="199">
        <f>G228+G234+G240+G243+G231</f>
        <v>18574.7</v>
      </c>
    </row>
    <row r="228" spans="1:7" ht="12.75">
      <c r="A228" s="16" t="s">
        <v>177</v>
      </c>
      <c r="B228" s="19" t="s">
        <v>271</v>
      </c>
      <c r="C228" s="20" t="s">
        <v>63</v>
      </c>
      <c r="D228" s="20" t="s">
        <v>73</v>
      </c>
      <c r="E228" s="110" t="s">
        <v>182</v>
      </c>
      <c r="F228" s="110"/>
      <c r="G228" s="199">
        <f>G229</f>
        <v>17125.2</v>
      </c>
    </row>
    <row r="229" spans="1:7" ht="38.25">
      <c r="A229" s="16" t="s">
        <v>92</v>
      </c>
      <c r="B229" s="19" t="s">
        <v>271</v>
      </c>
      <c r="C229" s="20" t="s">
        <v>63</v>
      </c>
      <c r="D229" s="20" t="s">
        <v>73</v>
      </c>
      <c r="E229" s="110" t="s">
        <v>182</v>
      </c>
      <c r="F229" s="110" t="s">
        <v>93</v>
      </c>
      <c r="G229" s="199">
        <f>G230</f>
        <v>17125.2</v>
      </c>
    </row>
    <row r="230" spans="1:7" ht="12.75">
      <c r="A230" s="16" t="s">
        <v>89</v>
      </c>
      <c r="B230" s="19" t="s">
        <v>271</v>
      </c>
      <c r="C230" s="20" t="s">
        <v>63</v>
      </c>
      <c r="D230" s="20" t="s">
        <v>73</v>
      </c>
      <c r="E230" s="110" t="s">
        <v>182</v>
      </c>
      <c r="F230" s="110" t="s">
        <v>90</v>
      </c>
      <c r="G230" s="199">
        <f>19748.4-2623.2</f>
        <v>17125.2</v>
      </c>
    </row>
    <row r="231" spans="1:7" ht="25.5">
      <c r="A231" s="262" t="s">
        <v>745</v>
      </c>
      <c r="B231" s="233" t="s">
        <v>271</v>
      </c>
      <c r="C231" s="234" t="s">
        <v>63</v>
      </c>
      <c r="D231" s="234" t="s">
        <v>73</v>
      </c>
      <c r="E231" s="236" t="s">
        <v>746</v>
      </c>
      <c r="F231" s="236"/>
      <c r="G231" s="237">
        <f>G232</f>
        <v>253</v>
      </c>
    </row>
    <row r="232" spans="1:7" ht="38.25">
      <c r="A232" s="232" t="s">
        <v>92</v>
      </c>
      <c r="B232" s="233" t="s">
        <v>271</v>
      </c>
      <c r="C232" s="234" t="s">
        <v>63</v>
      </c>
      <c r="D232" s="234" t="s">
        <v>73</v>
      </c>
      <c r="E232" s="236" t="s">
        <v>746</v>
      </c>
      <c r="F232" s="236" t="s">
        <v>93</v>
      </c>
      <c r="G232" s="237">
        <f>G233</f>
        <v>253</v>
      </c>
    </row>
    <row r="233" spans="1:7" ht="12.75">
      <c r="A233" s="232" t="s">
        <v>89</v>
      </c>
      <c r="B233" s="233" t="s">
        <v>271</v>
      </c>
      <c r="C233" s="234" t="s">
        <v>63</v>
      </c>
      <c r="D233" s="234" t="s">
        <v>73</v>
      </c>
      <c r="E233" s="236" t="s">
        <v>746</v>
      </c>
      <c r="F233" s="236" t="s">
        <v>90</v>
      </c>
      <c r="G233" s="237">
        <f>200+53</f>
        <v>253</v>
      </c>
    </row>
    <row r="234" spans="1:7" ht="12.75">
      <c r="A234" s="16" t="s">
        <v>178</v>
      </c>
      <c r="B234" s="19" t="s">
        <v>271</v>
      </c>
      <c r="C234" s="20" t="s">
        <v>63</v>
      </c>
      <c r="D234" s="20" t="s">
        <v>73</v>
      </c>
      <c r="E234" s="110" t="s">
        <v>183</v>
      </c>
      <c r="F234" s="110"/>
      <c r="G234" s="199">
        <f>G235+G237</f>
        <v>882.0999999999999</v>
      </c>
    </row>
    <row r="235" spans="1:7" ht="25.5">
      <c r="A235" s="16" t="s">
        <v>333</v>
      </c>
      <c r="B235" s="19" t="s">
        <v>271</v>
      </c>
      <c r="C235" s="20" t="s">
        <v>63</v>
      </c>
      <c r="D235" s="20" t="s">
        <v>73</v>
      </c>
      <c r="E235" s="110" t="s">
        <v>183</v>
      </c>
      <c r="F235" s="110" t="s">
        <v>94</v>
      </c>
      <c r="G235" s="199">
        <f>G236</f>
        <v>878.3</v>
      </c>
    </row>
    <row r="236" spans="1:7" ht="25.5">
      <c r="A236" s="16" t="s">
        <v>608</v>
      </c>
      <c r="B236" s="19" t="s">
        <v>271</v>
      </c>
      <c r="C236" s="20" t="s">
        <v>63</v>
      </c>
      <c r="D236" s="20" t="s">
        <v>73</v>
      </c>
      <c r="E236" s="110" t="s">
        <v>183</v>
      </c>
      <c r="F236" s="110" t="s">
        <v>91</v>
      </c>
      <c r="G236" s="199">
        <f>775.5+102.8</f>
        <v>878.3</v>
      </c>
    </row>
    <row r="237" spans="1:7" ht="12.75">
      <c r="A237" s="16" t="s">
        <v>110</v>
      </c>
      <c r="B237" s="19" t="s">
        <v>271</v>
      </c>
      <c r="C237" s="20" t="s">
        <v>63</v>
      </c>
      <c r="D237" s="20" t="s">
        <v>73</v>
      </c>
      <c r="E237" s="110" t="s">
        <v>183</v>
      </c>
      <c r="F237" s="110" t="s">
        <v>111</v>
      </c>
      <c r="G237" s="199">
        <f>G239+G238</f>
        <v>3.8</v>
      </c>
    </row>
    <row r="238" spans="1:7" ht="12.75">
      <c r="A238" s="150" t="s">
        <v>651</v>
      </c>
      <c r="B238" s="19" t="s">
        <v>271</v>
      </c>
      <c r="C238" s="20" t="s">
        <v>63</v>
      </c>
      <c r="D238" s="20" t="s">
        <v>73</v>
      </c>
      <c r="E238" s="110" t="s">
        <v>183</v>
      </c>
      <c r="F238" s="142">
        <v>830</v>
      </c>
      <c r="G238" s="199">
        <v>1.3</v>
      </c>
    </row>
    <row r="239" spans="1:7" ht="12.75">
      <c r="A239" s="16" t="s">
        <v>113</v>
      </c>
      <c r="B239" s="19" t="s">
        <v>271</v>
      </c>
      <c r="C239" s="20" t="s">
        <v>63</v>
      </c>
      <c r="D239" s="20" t="s">
        <v>73</v>
      </c>
      <c r="E239" s="110" t="s">
        <v>183</v>
      </c>
      <c r="F239" s="110" t="s">
        <v>114</v>
      </c>
      <c r="G239" s="199">
        <f>4.5-2</f>
        <v>2.5</v>
      </c>
    </row>
    <row r="240" spans="1:7" ht="51">
      <c r="A240" s="16" t="s">
        <v>204</v>
      </c>
      <c r="B240" s="19" t="s">
        <v>271</v>
      </c>
      <c r="C240" s="20" t="s">
        <v>63</v>
      </c>
      <c r="D240" s="20" t="s">
        <v>73</v>
      </c>
      <c r="E240" s="110" t="s">
        <v>462</v>
      </c>
      <c r="F240" s="110"/>
      <c r="G240" s="199">
        <f>G241</f>
        <v>294.2</v>
      </c>
    </row>
    <row r="241" spans="1:7" ht="38.25">
      <c r="A241" s="16" t="s">
        <v>92</v>
      </c>
      <c r="B241" s="19" t="s">
        <v>271</v>
      </c>
      <c r="C241" s="20" t="s">
        <v>63</v>
      </c>
      <c r="D241" s="20" t="s">
        <v>73</v>
      </c>
      <c r="E241" s="110" t="s">
        <v>462</v>
      </c>
      <c r="F241" s="110" t="s">
        <v>93</v>
      </c>
      <c r="G241" s="199">
        <f>G242</f>
        <v>294.2</v>
      </c>
    </row>
    <row r="242" spans="1:7" ht="12.75">
      <c r="A242" s="16" t="s">
        <v>89</v>
      </c>
      <c r="B242" s="19" t="s">
        <v>271</v>
      </c>
      <c r="C242" s="20" t="s">
        <v>63</v>
      </c>
      <c r="D242" s="20" t="s">
        <v>73</v>
      </c>
      <c r="E242" s="110" t="s">
        <v>462</v>
      </c>
      <c r="F242" s="110" t="s">
        <v>90</v>
      </c>
      <c r="G242" s="199">
        <f>432-137.8</f>
        <v>294.2</v>
      </c>
    </row>
    <row r="243" spans="1:7" ht="12.75">
      <c r="A243" s="16" t="s">
        <v>176</v>
      </c>
      <c r="B243" s="19" t="s">
        <v>271</v>
      </c>
      <c r="C243" s="20" t="s">
        <v>63</v>
      </c>
      <c r="D243" s="20" t="s">
        <v>73</v>
      </c>
      <c r="E243" s="110" t="s">
        <v>463</v>
      </c>
      <c r="F243" s="110"/>
      <c r="G243" s="199">
        <f>G244</f>
        <v>20.2</v>
      </c>
    </row>
    <row r="244" spans="1:7" ht="38.25">
      <c r="A244" s="16" t="s">
        <v>92</v>
      </c>
      <c r="B244" s="19" t="s">
        <v>271</v>
      </c>
      <c r="C244" s="20" t="s">
        <v>63</v>
      </c>
      <c r="D244" s="20" t="s">
        <v>73</v>
      </c>
      <c r="E244" s="110" t="s">
        <v>463</v>
      </c>
      <c r="F244" s="110" t="s">
        <v>93</v>
      </c>
      <c r="G244" s="199">
        <f>G245</f>
        <v>20.2</v>
      </c>
    </row>
    <row r="245" spans="1:7" ht="12.75">
      <c r="A245" s="16" t="s">
        <v>89</v>
      </c>
      <c r="B245" s="19" t="s">
        <v>271</v>
      </c>
      <c r="C245" s="20" t="s">
        <v>63</v>
      </c>
      <c r="D245" s="20" t="s">
        <v>73</v>
      </c>
      <c r="E245" s="110" t="s">
        <v>463</v>
      </c>
      <c r="F245" s="110" t="s">
        <v>90</v>
      </c>
      <c r="G245" s="199">
        <f>10+10.2</f>
        <v>20.2</v>
      </c>
    </row>
    <row r="246" spans="1:7" ht="12.75">
      <c r="A246" s="15" t="s">
        <v>3</v>
      </c>
      <c r="B246" s="37" t="s">
        <v>271</v>
      </c>
      <c r="C246" s="32" t="s">
        <v>63</v>
      </c>
      <c r="D246" s="32" t="s">
        <v>71</v>
      </c>
      <c r="E246" s="113"/>
      <c r="F246" s="113"/>
      <c r="G246" s="198">
        <f>G247</f>
        <v>200.50000000000003</v>
      </c>
    </row>
    <row r="247" spans="1:7" ht="12.75">
      <c r="A247" s="16" t="s">
        <v>3</v>
      </c>
      <c r="B247" s="19" t="s">
        <v>271</v>
      </c>
      <c r="C247" s="20" t="s">
        <v>63</v>
      </c>
      <c r="D247" s="20" t="s">
        <v>71</v>
      </c>
      <c r="E247" s="110" t="s">
        <v>488</v>
      </c>
      <c r="F247" s="110"/>
      <c r="G247" s="199">
        <f>G248</f>
        <v>200.50000000000003</v>
      </c>
    </row>
    <row r="248" spans="1:7" ht="12.75">
      <c r="A248" s="16" t="s">
        <v>269</v>
      </c>
      <c r="B248" s="19" t="s">
        <v>271</v>
      </c>
      <c r="C248" s="20" t="s">
        <v>63</v>
      </c>
      <c r="D248" s="20" t="s">
        <v>71</v>
      </c>
      <c r="E248" s="110" t="s">
        <v>489</v>
      </c>
      <c r="F248" s="110"/>
      <c r="G248" s="199">
        <f>G249</f>
        <v>200.50000000000003</v>
      </c>
    </row>
    <row r="249" spans="1:7" ht="12.75">
      <c r="A249" s="16" t="s">
        <v>110</v>
      </c>
      <c r="B249" s="19" t="s">
        <v>271</v>
      </c>
      <c r="C249" s="20" t="s">
        <v>63</v>
      </c>
      <c r="D249" s="20" t="s">
        <v>71</v>
      </c>
      <c r="E249" s="110" t="s">
        <v>489</v>
      </c>
      <c r="F249" s="110" t="s">
        <v>111</v>
      </c>
      <c r="G249" s="199">
        <f>G250</f>
        <v>200.50000000000003</v>
      </c>
    </row>
    <row r="250" spans="1:7" ht="12.75">
      <c r="A250" s="16" t="s">
        <v>117</v>
      </c>
      <c r="B250" s="19" t="s">
        <v>271</v>
      </c>
      <c r="C250" s="20" t="s">
        <v>63</v>
      </c>
      <c r="D250" s="20" t="s">
        <v>71</v>
      </c>
      <c r="E250" s="110" t="s">
        <v>489</v>
      </c>
      <c r="F250" s="110" t="s">
        <v>118</v>
      </c>
      <c r="G250" s="199">
        <f>264.1-63.6</f>
        <v>200.50000000000003</v>
      </c>
    </row>
    <row r="251" spans="1:7" ht="12.75">
      <c r="A251" s="15" t="s">
        <v>198</v>
      </c>
      <c r="B251" s="37" t="s">
        <v>271</v>
      </c>
      <c r="C251" s="32" t="s">
        <v>84</v>
      </c>
      <c r="D251" s="32" t="s">
        <v>34</v>
      </c>
      <c r="E251" s="113"/>
      <c r="F251" s="113"/>
      <c r="G251" s="198">
        <f>G252</f>
        <v>12</v>
      </c>
    </row>
    <row r="252" spans="1:7" ht="12.75">
      <c r="A252" s="15" t="s">
        <v>714</v>
      </c>
      <c r="B252" s="37" t="s">
        <v>271</v>
      </c>
      <c r="C252" s="32" t="s">
        <v>84</v>
      </c>
      <c r="D252" s="32" t="s">
        <v>63</v>
      </c>
      <c r="E252" s="113"/>
      <c r="F252" s="113"/>
      <c r="G252" s="199">
        <f>G253</f>
        <v>12</v>
      </c>
    </row>
    <row r="253" spans="1:7" ht="12.75">
      <c r="A253" s="16" t="s">
        <v>86</v>
      </c>
      <c r="B253" s="19" t="s">
        <v>271</v>
      </c>
      <c r="C253" s="20" t="s">
        <v>84</v>
      </c>
      <c r="D253" s="20" t="s">
        <v>63</v>
      </c>
      <c r="E253" s="110" t="s">
        <v>490</v>
      </c>
      <c r="F253" s="110"/>
      <c r="G253" s="199">
        <f>G254</f>
        <v>12</v>
      </c>
    </row>
    <row r="254" spans="1:7" ht="12.75">
      <c r="A254" s="16" t="s">
        <v>87</v>
      </c>
      <c r="B254" s="19" t="s">
        <v>271</v>
      </c>
      <c r="C254" s="20" t="s">
        <v>84</v>
      </c>
      <c r="D254" s="20" t="s">
        <v>63</v>
      </c>
      <c r="E254" s="110" t="s">
        <v>491</v>
      </c>
      <c r="F254" s="110"/>
      <c r="G254" s="199">
        <f>G255</f>
        <v>12</v>
      </c>
    </row>
    <row r="255" spans="1:7" ht="12.75">
      <c r="A255" s="16" t="s">
        <v>611</v>
      </c>
      <c r="B255" s="19" t="s">
        <v>271</v>
      </c>
      <c r="C255" s="20" t="s">
        <v>84</v>
      </c>
      <c r="D255" s="20" t="s">
        <v>63</v>
      </c>
      <c r="E255" s="110" t="s">
        <v>491</v>
      </c>
      <c r="F255" s="110" t="s">
        <v>107</v>
      </c>
      <c r="G255" s="199">
        <f>G256</f>
        <v>12</v>
      </c>
    </row>
    <row r="256" spans="1:7" ht="12.75">
      <c r="A256" s="16" t="s">
        <v>108</v>
      </c>
      <c r="B256" s="19" t="s">
        <v>271</v>
      </c>
      <c r="C256" s="20" t="s">
        <v>84</v>
      </c>
      <c r="D256" s="20" t="s">
        <v>63</v>
      </c>
      <c r="E256" s="110" t="s">
        <v>491</v>
      </c>
      <c r="F256" s="110" t="s">
        <v>109</v>
      </c>
      <c r="G256" s="199">
        <v>12</v>
      </c>
    </row>
    <row r="257" spans="1:7" ht="12.75">
      <c r="A257" s="14" t="s">
        <v>132</v>
      </c>
      <c r="B257" s="37" t="s">
        <v>272</v>
      </c>
      <c r="C257" s="32"/>
      <c r="D257" s="32"/>
      <c r="E257" s="113"/>
      <c r="F257" s="113"/>
      <c r="G257" s="198">
        <f>G258</f>
        <v>7909.5</v>
      </c>
    </row>
    <row r="258" spans="1:7" ht="12.75">
      <c r="A258" s="14" t="s">
        <v>2</v>
      </c>
      <c r="B258" s="37" t="s">
        <v>272</v>
      </c>
      <c r="C258" s="32" t="s">
        <v>63</v>
      </c>
      <c r="D258" s="32" t="s">
        <v>34</v>
      </c>
      <c r="E258" s="113"/>
      <c r="F258" s="113"/>
      <c r="G258" s="198">
        <f>G259+G280</f>
        <v>7909.5</v>
      </c>
    </row>
    <row r="259" spans="1:7" ht="25.5">
      <c r="A259" s="14" t="s">
        <v>19</v>
      </c>
      <c r="B259" s="37" t="s">
        <v>272</v>
      </c>
      <c r="C259" s="32" t="s">
        <v>63</v>
      </c>
      <c r="D259" s="32" t="s">
        <v>67</v>
      </c>
      <c r="E259" s="113"/>
      <c r="F259" s="113"/>
      <c r="G259" s="198">
        <f>G260</f>
        <v>3940.8</v>
      </c>
    </row>
    <row r="260" spans="1:7" ht="25.5">
      <c r="A260" s="16" t="s">
        <v>277</v>
      </c>
      <c r="B260" s="19" t="s">
        <v>272</v>
      </c>
      <c r="C260" s="20" t="s">
        <v>63</v>
      </c>
      <c r="D260" s="20" t="s">
        <v>67</v>
      </c>
      <c r="E260" s="110" t="s">
        <v>175</v>
      </c>
      <c r="F260" s="110"/>
      <c r="G260" s="199">
        <f>G261+G265</f>
        <v>3940.8</v>
      </c>
    </row>
    <row r="261" spans="1:7" ht="25.5">
      <c r="A261" s="30" t="s">
        <v>137</v>
      </c>
      <c r="B261" s="19" t="s">
        <v>272</v>
      </c>
      <c r="C261" s="20" t="s">
        <v>63</v>
      </c>
      <c r="D261" s="20" t="s">
        <v>67</v>
      </c>
      <c r="E261" s="110" t="s">
        <v>492</v>
      </c>
      <c r="F261" s="110"/>
      <c r="G261" s="199">
        <f>G262</f>
        <v>2370.6</v>
      </c>
    </row>
    <row r="262" spans="1:7" ht="12.75">
      <c r="A262" s="16" t="s">
        <v>177</v>
      </c>
      <c r="B262" s="19" t="s">
        <v>272</v>
      </c>
      <c r="C262" s="20" t="s">
        <v>63</v>
      </c>
      <c r="D262" s="20" t="s">
        <v>67</v>
      </c>
      <c r="E262" s="110" t="s">
        <v>493</v>
      </c>
      <c r="F262" s="110"/>
      <c r="G262" s="199">
        <f>G263</f>
        <v>2370.6</v>
      </c>
    </row>
    <row r="263" spans="1:7" ht="38.25">
      <c r="A263" s="16" t="s">
        <v>92</v>
      </c>
      <c r="B263" s="19" t="s">
        <v>272</v>
      </c>
      <c r="C263" s="20" t="s">
        <v>63</v>
      </c>
      <c r="D263" s="20" t="s">
        <v>67</v>
      </c>
      <c r="E263" s="110" t="s">
        <v>493</v>
      </c>
      <c r="F263" s="110" t="s">
        <v>93</v>
      </c>
      <c r="G263" s="199">
        <f>G264</f>
        <v>2370.6</v>
      </c>
    </row>
    <row r="264" spans="1:7" ht="12.75">
      <c r="A264" s="16" t="s">
        <v>89</v>
      </c>
      <c r="B264" s="19" t="s">
        <v>272</v>
      </c>
      <c r="C264" s="20" t="s">
        <v>63</v>
      </c>
      <c r="D264" s="20" t="s">
        <v>67</v>
      </c>
      <c r="E264" s="110" t="s">
        <v>493</v>
      </c>
      <c r="F264" s="110" t="s">
        <v>90</v>
      </c>
      <c r="G264" s="199">
        <f>2355.6+15</f>
        <v>2370.6</v>
      </c>
    </row>
    <row r="265" spans="1:7" ht="12.75">
      <c r="A265" s="16" t="s">
        <v>47</v>
      </c>
      <c r="B265" s="19" t="s">
        <v>272</v>
      </c>
      <c r="C265" s="20" t="s">
        <v>63</v>
      </c>
      <c r="D265" s="20" t="s">
        <v>67</v>
      </c>
      <c r="E265" s="110" t="s">
        <v>181</v>
      </c>
      <c r="F265" s="110"/>
      <c r="G265" s="199">
        <f>G266+G269+G274+G277</f>
        <v>1570.2</v>
      </c>
    </row>
    <row r="266" spans="1:7" ht="12.75">
      <c r="A266" s="16" t="s">
        <v>177</v>
      </c>
      <c r="B266" s="19" t="s">
        <v>272</v>
      </c>
      <c r="C266" s="20" t="s">
        <v>63</v>
      </c>
      <c r="D266" s="20" t="s">
        <v>67</v>
      </c>
      <c r="E266" s="110" t="s">
        <v>182</v>
      </c>
      <c r="F266" s="110"/>
      <c r="G266" s="199">
        <f>G267</f>
        <v>1058.6</v>
      </c>
    </row>
    <row r="267" spans="1:7" ht="38.25">
      <c r="A267" s="16" t="s">
        <v>92</v>
      </c>
      <c r="B267" s="19" t="s">
        <v>272</v>
      </c>
      <c r="C267" s="20" t="s">
        <v>63</v>
      </c>
      <c r="D267" s="20" t="s">
        <v>67</v>
      </c>
      <c r="E267" s="110" t="s">
        <v>182</v>
      </c>
      <c r="F267" s="110" t="s">
        <v>93</v>
      </c>
      <c r="G267" s="199">
        <f>G268</f>
        <v>1058.6</v>
      </c>
    </row>
    <row r="268" spans="1:7" ht="12.75">
      <c r="A268" s="16" t="s">
        <v>89</v>
      </c>
      <c r="B268" s="19" t="s">
        <v>272</v>
      </c>
      <c r="C268" s="20" t="s">
        <v>63</v>
      </c>
      <c r="D268" s="20" t="s">
        <v>67</v>
      </c>
      <c r="E268" s="110" t="s">
        <v>182</v>
      </c>
      <c r="F268" s="110" t="s">
        <v>90</v>
      </c>
      <c r="G268" s="199">
        <f>1041.1+17.5</f>
        <v>1058.6</v>
      </c>
    </row>
    <row r="269" spans="1:7" ht="12.75">
      <c r="A269" s="16" t="s">
        <v>178</v>
      </c>
      <c r="B269" s="19" t="s">
        <v>272</v>
      </c>
      <c r="C269" s="20" t="s">
        <v>63</v>
      </c>
      <c r="D269" s="20" t="s">
        <v>67</v>
      </c>
      <c r="E269" s="110" t="s">
        <v>183</v>
      </c>
      <c r="F269" s="110"/>
      <c r="G269" s="199">
        <f>G270+G272</f>
        <v>290.2</v>
      </c>
    </row>
    <row r="270" spans="1:7" ht="25.5">
      <c r="A270" s="16" t="s">
        <v>333</v>
      </c>
      <c r="B270" s="19" t="s">
        <v>272</v>
      </c>
      <c r="C270" s="20" t="s">
        <v>63</v>
      </c>
      <c r="D270" s="20" t="s">
        <v>67</v>
      </c>
      <c r="E270" s="110" t="s">
        <v>183</v>
      </c>
      <c r="F270" s="110" t="s">
        <v>94</v>
      </c>
      <c r="G270" s="199">
        <f>G271</f>
        <v>263.5</v>
      </c>
    </row>
    <row r="271" spans="1:7" ht="25.5">
      <c r="A271" s="16" t="s">
        <v>608</v>
      </c>
      <c r="B271" s="19" t="s">
        <v>272</v>
      </c>
      <c r="C271" s="20" t="s">
        <v>63</v>
      </c>
      <c r="D271" s="20" t="s">
        <v>67</v>
      </c>
      <c r="E271" s="110" t="s">
        <v>183</v>
      </c>
      <c r="F271" s="110" t="s">
        <v>91</v>
      </c>
      <c r="G271" s="199">
        <f>329.6-66.1</f>
        <v>263.5</v>
      </c>
    </row>
    <row r="272" spans="1:7" ht="12.75">
      <c r="A272" s="16" t="s">
        <v>101</v>
      </c>
      <c r="B272" s="19" t="s">
        <v>272</v>
      </c>
      <c r="C272" s="20" t="s">
        <v>63</v>
      </c>
      <c r="D272" s="20" t="s">
        <v>67</v>
      </c>
      <c r="E272" s="110" t="s">
        <v>183</v>
      </c>
      <c r="F272" s="142">
        <v>300</v>
      </c>
      <c r="G272" s="199">
        <f>G273</f>
        <v>26.7</v>
      </c>
    </row>
    <row r="273" spans="1:7" ht="12.75">
      <c r="A273" s="150" t="s">
        <v>116</v>
      </c>
      <c r="B273" s="19" t="s">
        <v>272</v>
      </c>
      <c r="C273" s="20" t="s">
        <v>63</v>
      </c>
      <c r="D273" s="20" t="s">
        <v>67</v>
      </c>
      <c r="E273" s="110" t="s">
        <v>183</v>
      </c>
      <c r="F273" s="142">
        <v>320</v>
      </c>
      <c r="G273" s="199">
        <v>26.7</v>
      </c>
    </row>
    <row r="274" spans="1:7" ht="51">
      <c r="A274" s="16" t="s">
        <v>204</v>
      </c>
      <c r="B274" s="19" t="s">
        <v>272</v>
      </c>
      <c r="C274" s="20" t="s">
        <v>63</v>
      </c>
      <c r="D274" s="20" t="s">
        <v>67</v>
      </c>
      <c r="E274" s="110" t="s">
        <v>462</v>
      </c>
      <c r="F274" s="110"/>
      <c r="G274" s="199">
        <f>G275</f>
        <v>209</v>
      </c>
    </row>
    <row r="275" spans="1:7" ht="38.25">
      <c r="A275" s="16" t="s">
        <v>92</v>
      </c>
      <c r="B275" s="19" t="s">
        <v>272</v>
      </c>
      <c r="C275" s="20" t="s">
        <v>63</v>
      </c>
      <c r="D275" s="20" t="s">
        <v>67</v>
      </c>
      <c r="E275" s="110" t="s">
        <v>462</v>
      </c>
      <c r="F275" s="110" t="s">
        <v>93</v>
      </c>
      <c r="G275" s="199">
        <f>G276</f>
        <v>209</v>
      </c>
    </row>
    <row r="276" spans="1:7" ht="12.75">
      <c r="A276" s="16" t="s">
        <v>89</v>
      </c>
      <c r="B276" s="19" t="s">
        <v>272</v>
      </c>
      <c r="C276" s="20" t="s">
        <v>63</v>
      </c>
      <c r="D276" s="20" t="s">
        <v>67</v>
      </c>
      <c r="E276" s="110" t="s">
        <v>462</v>
      </c>
      <c r="F276" s="110" t="s">
        <v>90</v>
      </c>
      <c r="G276" s="199">
        <f>150+72-13</f>
        <v>209</v>
      </c>
    </row>
    <row r="277" spans="1:7" ht="12.75">
      <c r="A277" s="150" t="s">
        <v>176</v>
      </c>
      <c r="B277" s="19" t="s">
        <v>272</v>
      </c>
      <c r="C277" s="20" t="s">
        <v>63</v>
      </c>
      <c r="D277" s="20" t="s">
        <v>67</v>
      </c>
      <c r="E277" s="110" t="s">
        <v>463</v>
      </c>
      <c r="F277" s="110"/>
      <c r="G277" s="199">
        <f>G278</f>
        <v>12.4</v>
      </c>
    </row>
    <row r="278" spans="1:7" ht="38.25">
      <c r="A278" s="150" t="s">
        <v>92</v>
      </c>
      <c r="B278" s="19" t="s">
        <v>272</v>
      </c>
      <c r="C278" s="20" t="s">
        <v>63</v>
      </c>
      <c r="D278" s="20" t="s">
        <v>67</v>
      </c>
      <c r="E278" s="110" t="s">
        <v>463</v>
      </c>
      <c r="F278" s="110" t="s">
        <v>93</v>
      </c>
      <c r="G278" s="199">
        <f>G279</f>
        <v>12.4</v>
      </c>
    </row>
    <row r="279" spans="1:7" ht="12.75">
      <c r="A279" s="150" t="s">
        <v>89</v>
      </c>
      <c r="B279" s="19" t="s">
        <v>272</v>
      </c>
      <c r="C279" s="20" t="s">
        <v>63</v>
      </c>
      <c r="D279" s="20" t="s">
        <v>67</v>
      </c>
      <c r="E279" s="110" t="s">
        <v>463</v>
      </c>
      <c r="F279" s="110" t="s">
        <v>90</v>
      </c>
      <c r="G279" s="199">
        <f>14-1.6</f>
        <v>12.4</v>
      </c>
    </row>
    <row r="280" spans="1:7" ht="25.5">
      <c r="A280" s="15" t="s">
        <v>76</v>
      </c>
      <c r="B280" s="37" t="s">
        <v>272</v>
      </c>
      <c r="C280" s="32" t="s">
        <v>63</v>
      </c>
      <c r="D280" s="32" t="s">
        <v>73</v>
      </c>
      <c r="E280" s="113"/>
      <c r="F280" s="113"/>
      <c r="G280" s="198">
        <f>G281</f>
        <v>3968.7</v>
      </c>
    </row>
    <row r="281" spans="1:7" ht="25.5">
      <c r="A281" s="16" t="s">
        <v>277</v>
      </c>
      <c r="B281" s="19" t="s">
        <v>272</v>
      </c>
      <c r="C281" s="20" t="s">
        <v>63</v>
      </c>
      <c r="D281" s="20" t="s">
        <v>73</v>
      </c>
      <c r="E281" s="110" t="s">
        <v>175</v>
      </c>
      <c r="F281" s="110"/>
      <c r="G281" s="199">
        <f>G282+G286</f>
        <v>3968.7</v>
      </c>
    </row>
    <row r="282" spans="1:7" ht="25.5">
      <c r="A282" s="30" t="s">
        <v>20</v>
      </c>
      <c r="B282" s="19" t="s">
        <v>272</v>
      </c>
      <c r="C282" s="20" t="s">
        <v>63</v>
      </c>
      <c r="D282" s="20" t="s">
        <v>73</v>
      </c>
      <c r="E282" s="110" t="s">
        <v>179</v>
      </c>
      <c r="F282" s="110"/>
      <c r="G282" s="199">
        <f>G283</f>
        <v>3837</v>
      </c>
    </row>
    <row r="283" spans="1:7" ht="12.75">
      <c r="A283" s="16" t="s">
        <v>177</v>
      </c>
      <c r="B283" s="19" t="s">
        <v>272</v>
      </c>
      <c r="C283" s="20" t="s">
        <v>63</v>
      </c>
      <c r="D283" s="20" t="s">
        <v>73</v>
      </c>
      <c r="E283" s="110" t="s">
        <v>180</v>
      </c>
      <c r="F283" s="110"/>
      <c r="G283" s="199">
        <f>G284</f>
        <v>3837</v>
      </c>
    </row>
    <row r="284" spans="1:7" ht="38.25">
      <c r="A284" s="16" t="s">
        <v>92</v>
      </c>
      <c r="B284" s="19" t="s">
        <v>272</v>
      </c>
      <c r="C284" s="20" t="s">
        <v>63</v>
      </c>
      <c r="D284" s="20" t="s">
        <v>73</v>
      </c>
      <c r="E284" s="110" t="s">
        <v>180</v>
      </c>
      <c r="F284" s="110" t="s">
        <v>93</v>
      </c>
      <c r="G284" s="199">
        <f>G285</f>
        <v>3837</v>
      </c>
    </row>
    <row r="285" spans="1:7" ht="12.75">
      <c r="A285" s="16" t="s">
        <v>89</v>
      </c>
      <c r="B285" s="19" t="s">
        <v>272</v>
      </c>
      <c r="C285" s="20" t="s">
        <v>63</v>
      </c>
      <c r="D285" s="20" t="s">
        <v>73</v>
      </c>
      <c r="E285" s="110" t="s">
        <v>180</v>
      </c>
      <c r="F285" s="110" t="s">
        <v>90</v>
      </c>
      <c r="G285" s="199">
        <f>3534+303</f>
        <v>3837</v>
      </c>
    </row>
    <row r="286" spans="1:7" ht="12.75">
      <c r="A286" s="16" t="s">
        <v>47</v>
      </c>
      <c r="B286" s="19" t="s">
        <v>272</v>
      </c>
      <c r="C286" s="20" t="s">
        <v>63</v>
      </c>
      <c r="D286" s="20" t="s">
        <v>73</v>
      </c>
      <c r="E286" s="110" t="s">
        <v>181</v>
      </c>
      <c r="F286" s="110"/>
      <c r="G286" s="199">
        <f>G287+G290+G293+G296</f>
        <v>131.7</v>
      </c>
    </row>
    <row r="287" spans="1:7" ht="12.75">
      <c r="A287" s="16" t="s">
        <v>177</v>
      </c>
      <c r="B287" s="19" t="s">
        <v>272</v>
      </c>
      <c r="C287" s="20" t="s">
        <v>63</v>
      </c>
      <c r="D287" s="20" t="s">
        <v>73</v>
      </c>
      <c r="E287" s="110" t="s">
        <v>182</v>
      </c>
      <c r="F287" s="110"/>
      <c r="G287" s="199">
        <f>G288</f>
        <v>6.6</v>
      </c>
    </row>
    <row r="288" spans="1:7" ht="38.25">
      <c r="A288" s="16" t="s">
        <v>92</v>
      </c>
      <c r="B288" s="19" t="s">
        <v>272</v>
      </c>
      <c r="C288" s="20" t="s">
        <v>63</v>
      </c>
      <c r="D288" s="20" t="s">
        <v>73</v>
      </c>
      <c r="E288" s="110" t="s">
        <v>182</v>
      </c>
      <c r="F288" s="110" t="s">
        <v>93</v>
      </c>
      <c r="G288" s="199">
        <f>G289</f>
        <v>6.6</v>
      </c>
    </row>
    <row r="289" spans="1:7" ht="12.75">
      <c r="A289" s="16" t="s">
        <v>89</v>
      </c>
      <c r="B289" s="19" t="s">
        <v>272</v>
      </c>
      <c r="C289" s="20" t="s">
        <v>63</v>
      </c>
      <c r="D289" s="20" t="s">
        <v>73</v>
      </c>
      <c r="E289" s="110" t="s">
        <v>182</v>
      </c>
      <c r="F289" s="110" t="s">
        <v>90</v>
      </c>
      <c r="G289" s="199">
        <f>15.1-8.5</f>
        <v>6.6</v>
      </c>
    </row>
    <row r="290" spans="1:7" ht="12.75">
      <c r="A290" s="16" t="s">
        <v>178</v>
      </c>
      <c r="B290" s="19" t="s">
        <v>272</v>
      </c>
      <c r="C290" s="20" t="s">
        <v>63</v>
      </c>
      <c r="D290" s="20" t="s">
        <v>73</v>
      </c>
      <c r="E290" s="110" t="s">
        <v>183</v>
      </c>
      <c r="F290" s="110"/>
      <c r="G290" s="199">
        <f>G291</f>
        <v>63.2</v>
      </c>
    </row>
    <row r="291" spans="1:7" ht="25.5">
      <c r="A291" s="16" t="s">
        <v>333</v>
      </c>
      <c r="B291" s="19" t="s">
        <v>272</v>
      </c>
      <c r="C291" s="20" t="s">
        <v>63</v>
      </c>
      <c r="D291" s="20" t="s">
        <v>73</v>
      </c>
      <c r="E291" s="110" t="s">
        <v>183</v>
      </c>
      <c r="F291" s="110" t="s">
        <v>94</v>
      </c>
      <c r="G291" s="199">
        <f>G292</f>
        <v>63.2</v>
      </c>
    </row>
    <row r="292" spans="1:7" ht="25.5">
      <c r="A292" s="16" t="s">
        <v>608</v>
      </c>
      <c r="B292" s="19" t="s">
        <v>272</v>
      </c>
      <c r="C292" s="20" t="s">
        <v>63</v>
      </c>
      <c r="D292" s="20" t="s">
        <v>73</v>
      </c>
      <c r="E292" s="110" t="s">
        <v>183</v>
      </c>
      <c r="F292" s="110" t="s">
        <v>91</v>
      </c>
      <c r="G292" s="199">
        <f>80.4-17.2</f>
        <v>63.2</v>
      </c>
    </row>
    <row r="293" spans="1:7" ht="51">
      <c r="A293" s="16" t="s">
        <v>204</v>
      </c>
      <c r="B293" s="19" t="s">
        <v>272</v>
      </c>
      <c r="C293" s="20" t="s">
        <v>63</v>
      </c>
      <c r="D293" s="20" t="s">
        <v>73</v>
      </c>
      <c r="E293" s="110" t="s">
        <v>462</v>
      </c>
      <c r="F293" s="110"/>
      <c r="G293" s="199">
        <f>G294</f>
        <v>39.3</v>
      </c>
    </row>
    <row r="294" spans="1:7" ht="38.25">
      <c r="A294" s="16" t="s">
        <v>92</v>
      </c>
      <c r="B294" s="19" t="s">
        <v>272</v>
      </c>
      <c r="C294" s="20" t="s">
        <v>63</v>
      </c>
      <c r="D294" s="20" t="s">
        <v>73</v>
      </c>
      <c r="E294" s="110" t="s">
        <v>462</v>
      </c>
      <c r="F294" s="110" t="s">
        <v>93</v>
      </c>
      <c r="G294" s="199">
        <f>G295</f>
        <v>39.3</v>
      </c>
    </row>
    <row r="295" spans="1:7" ht="12.75">
      <c r="A295" s="16" t="s">
        <v>89</v>
      </c>
      <c r="B295" s="19" t="s">
        <v>272</v>
      </c>
      <c r="C295" s="20" t="s">
        <v>63</v>
      </c>
      <c r="D295" s="20" t="s">
        <v>73</v>
      </c>
      <c r="E295" s="110" t="s">
        <v>462</v>
      </c>
      <c r="F295" s="110" t="s">
        <v>90</v>
      </c>
      <c r="G295" s="199">
        <f>60-20.7</f>
        <v>39.3</v>
      </c>
    </row>
    <row r="296" spans="1:7" ht="12.75">
      <c r="A296" s="16" t="s">
        <v>176</v>
      </c>
      <c r="B296" s="19" t="s">
        <v>272</v>
      </c>
      <c r="C296" s="20" t="s">
        <v>63</v>
      </c>
      <c r="D296" s="20" t="s">
        <v>73</v>
      </c>
      <c r="E296" s="110" t="s">
        <v>463</v>
      </c>
      <c r="F296" s="110"/>
      <c r="G296" s="199">
        <f>G297</f>
        <v>22.6</v>
      </c>
    </row>
    <row r="297" spans="1:7" ht="38.25">
      <c r="A297" s="16" t="s">
        <v>92</v>
      </c>
      <c r="B297" s="19" t="s">
        <v>272</v>
      </c>
      <c r="C297" s="20" t="s">
        <v>63</v>
      </c>
      <c r="D297" s="20" t="s">
        <v>73</v>
      </c>
      <c r="E297" s="110" t="s">
        <v>463</v>
      </c>
      <c r="F297" s="110" t="s">
        <v>93</v>
      </c>
      <c r="G297" s="199">
        <f>G298</f>
        <v>22.6</v>
      </c>
    </row>
    <row r="298" spans="1:7" ht="12.75">
      <c r="A298" s="16" t="s">
        <v>89</v>
      </c>
      <c r="B298" s="19" t="s">
        <v>272</v>
      </c>
      <c r="C298" s="20" t="s">
        <v>63</v>
      </c>
      <c r="D298" s="20" t="s">
        <v>73</v>
      </c>
      <c r="E298" s="110" t="s">
        <v>463</v>
      </c>
      <c r="F298" s="110" t="s">
        <v>90</v>
      </c>
      <c r="G298" s="199">
        <f>30-7.4</f>
        <v>22.6</v>
      </c>
    </row>
    <row r="299" spans="1:7" ht="25.5">
      <c r="A299" s="14" t="s">
        <v>138</v>
      </c>
      <c r="B299" s="37" t="s">
        <v>273</v>
      </c>
      <c r="C299" s="20"/>
      <c r="D299" s="20"/>
      <c r="E299" s="110"/>
      <c r="F299" s="110"/>
      <c r="G299" s="198">
        <f>G300+G341+G347</f>
        <v>60179.399999999994</v>
      </c>
    </row>
    <row r="300" spans="1:7" ht="12.75">
      <c r="A300" s="15" t="s">
        <v>2</v>
      </c>
      <c r="B300" s="32" t="s">
        <v>273</v>
      </c>
      <c r="C300" s="32" t="s">
        <v>63</v>
      </c>
      <c r="D300" s="32" t="s">
        <v>34</v>
      </c>
      <c r="E300" s="110"/>
      <c r="F300" s="110"/>
      <c r="G300" s="198">
        <f>G301</f>
        <v>54030.7</v>
      </c>
    </row>
    <row r="301" spans="1:7" ht="12.75">
      <c r="A301" s="15" t="s">
        <v>60</v>
      </c>
      <c r="B301" s="37" t="s">
        <v>273</v>
      </c>
      <c r="C301" s="32" t="s">
        <v>63</v>
      </c>
      <c r="D301" s="32" t="s">
        <v>84</v>
      </c>
      <c r="E301" s="110"/>
      <c r="F301" s="110"/>
      <c r="G301" s="198">
        <f>G332+G316+G311+G303</f>
        <v>54030.7</v>
      </c>
    </row>
    <row r="302" spans="1:7" ht="12.75">
      <c r="A302" s="16" t="s">
        <v>478</v>
      </c>
      <c r="B302" s="20" t="s">
        <v>273</v>
      </c>
      <c r="C302" s="20" t="s">
        <v>63</v>
      </c>
      <c r="D302" s="20" t="s">
        <v>84</v>
      </c>
      <c r="E302" s="115" t="s">
        <v>479</v>
      </c>
      <c r="F302" s="113"/>
      <c r="G302" s="201">
        <f>G311+G303</f>
        <v>2400</v>
      </c>
    </row>
    <row r="303" spans="1:7" ht="25.5">
      <c r="A303" s="150" t="s">
        <v>422</v>
      </c>
      <c r="B303" s="19" t="s">
        <v>273</v>
      </c>
      <c r="C303" s="20" t="s">
        <v>63</v>
      </c>
      <c r="D303" s="20" t="s">
        <v>84</v>
      </c>
      <c r="E303" s="43" t="s">
        <v>157</v>
      </c>
      <c r="F303" s="20"/>
      <c r="G303" s="201">
        <f>G304</f>
        <v>1400</v>
      </c>
    </row>
    <row r="304" spans="1:7" ht="25.5">
      <c r="A304" s="150" t="s">
        <v>661</v>
      </c>
      <c r="B304" s="19" t="s">
        <v>274</v>
      </c>
      <c r="C304" s="20" t="s">
        <v>63</v>
      </c>
      <c r="D304" s="20" t="s">
        <v>84</v>
      </c>
      <c r="E304" s="43" t="s">
        <v>662</v>
      </c>
      <c r="F304" s="20"/>
      <c r="G304" s="201">
        <f>G305+G308</f>
        <v>1400</v>
      </c>
    </row>
    <row r="305" spans="1:7" ht="38.25">
      <c r="A305" s="252" t="s">
        <v>655</v>
      </c>
      <c r="B305" s="233" t="s">
        <v>273</v>
      </c>
      <c r="C305" s="234" t="s">
        <v>63</v>
      </c>
      <c r="D305" s="234" t="s">
        <v>84</v>
      </c>
      <c r="E305" s="253" t="s">
        <v>656</v>
      </c>
      <c r="F305" s="234"/>
      <c r="G305" s="254">
        <f>G306</f>
        <v>1162.2</v>
      </c>
    </row>
    <row r="306" spans="1:7" ht="12.75">
      <c r="A306" s="255" t="s">
        <v>659</v>
      </c>
      <c r="B306" s="233" t="s">
        <v>273</v>
      </c>
      <c r="C306" s="234" t="s">
        <v>63</v>
      </c>
      <c r="D306" s="234" t="s">
        <v>84</v>
      </c>
      <c r="E306" s="253" t="s">
        <v>656</v>
      </c>
      <c r="F306" s="234" t="s">
        <v>657</v>
      </c>
      <c r="G306" s="254">
        <f>G307</f>
        <v>1162.2</v>
      </c>
    </row>
    <row r="307" spans="1:7" ht="12.75">
      <c r="A307" s="232" t="s">
        <v>660</v>
      </c>
      <c r="B307" s="233" t="s">
        <v>273</v>
      </c>
      <c r="C307" s="234" t="s">
        <v>63</v>
      </c>
      <c r="D307" s="234" t="s">
        <v>84</v>
      </c>
      <c r="E307" s="253" t="s">
        <v>656</v>
      </c>
      <c r="F307" s="234" t="s">
        <v>658</v>
      </c>
      <c r="G307" s="254">
        <f>'МП пр.6'!G501</f>
        <v>1162.2</v>
      </c>
    </row>
    <row r="308" spans="1:7" ht="51">
      <c r="A308" s="256" t="str">
        <f>'МП пр.6'!A502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v>
      </c>
      <c r="B308" s="257" t="s">
        <v>273</v>
      </c>
      <c r="C308" s="258" t="s">
        <v>63</v>
      </c>
      <c r="D308" s="258" t="s">
        <v>84</v>
      </c>
      <c r="E308" s="259" t="str">
        <f>'МП пр.6'!B502</f>
        <v>7Р 0 04 74100</v>
      </c>
      <c r="F308" s="258"/>
      <c r="G308" s="260">
        <f>G309</f>
        <v>237.8</v>
      </c>
    </row>
    <row r="309" spans="1:7" ht="12.75">
      <c r="A309" s="261" t="s">
        <v>659</v>
      </c>
      <c r="B309" s="257" t="s">
        <v>273</v>
      </c>
      <c r="C309" s="258" t="s">
        <v>63</v>
      </c>
      <c r="D309" s="258" t="s">
        <v>84</v>
      </c>
      <c r="E309" s="259" t="str">
        <f>'МП пр.6'!B503</f>
        <v>7Р 0 04 74100</v>
      </c>
      <c r="F309" s="258" t="s">
        <v>657</v>
      </c>
      <c r="G309" s="260">
        <f>G310</f>
        <v>237.8</v>
      </c>
    </row>
    <row r="310" spans="1:7" ht="12.75">
      <c r="A310" s="256" t="s">
        <v>660</v>
      </c>
      <c r="B310" s="257" t="s">
        <v>273</v>
      </c>
      <c r="C310" s="258" t="s">
        <v>63</v>
      </c>
      <c r="D310" s="258" t="s">
        <v>84</v>
      </c>
      <c r="E310" s="259" t="str">
        <f>'МП пр.6'!B504</f>
        <v>7Р 0 04 74100</v>
      </c>
      <c r="F310" s="258" t="s">
        <v>658</v>
      </c>
      <c r="G310" s="260">
        <f>'МП пр.6'!G507</f>
        <v>237.8</v>
      </c>
    </row>
    <row r="311" spans="1:7" ht="25.5">
      <c r="A311" s="29" t="str">
        <f>'МП пр.6'!A583</f>
        <v>Муниципальная программа "Управление муниципальным имуществом Сусуманского городского округа на 2018-2021 годы"</v>
      </c>
      <c r="B311" s="20" t="s">
        <v>273</v>
      </c>
      <c r="C311" s="20" t="s">
        <v>63</v>
      </c>
      <c r="D311" s="20" t="s">
        <v>84</v>
      </c>
      <c r="E311" s="110" t="str">
        <f>'МП пр.6'!B583</f>
        <v xml:space="preserve">7Щ 0 00 00000 </v>
      </c>
      <c r="F311" s="110"/>
      <c r="G311" s="199">
        <f>G312</f>
        <v>1000</v>
      </c>
    </row>
    <row r="312" spans="1:7" ht="25.5">
      <c r="A312" s="16" t="str">
        <f>'МП пр.6'!A584</f>
        <v>Основное мероприятие "Проведение на территории Сусуманского городского округа комплексных кадастровых работ"</v>
      </c>
      <c r="B312" s="20" t="s">
        <v>273</v>
      </c>
      <c r="C312" s="20" t="s">
        <v>63</v>
      </c>
      <c r="D312" s="20" t="s">
        <v>84</v>
      </c>
      <c r="E312" s="110" t="str">
        <f>'МП пр.6'!B584</f>
        <v xml:space="preserve">7Щ 0 01 00000 </v>
      </c>
      <c r="F312" s="110"/>
      <c r="G312" s="199">
        <f>G313</f>
        <v>1000</v>
      </c>
    </row>
    <row r="313" spans="1:7" ht="12.75">
      <c r="A313" s="16" t="str">
        <f>'МП пр.6'!A585</f>
        <v>Проведение комплексных кадастровых работ за счет средств областного бюджета</v>
      </c>
      <c r="B313" s="20" t="s">
        <v>273</v>
      </c>
      <c r="C313" s="20" t="s">
        <v>63</v>
      </c>
      <c r="D313" s="20" t="s">
        <v>84</v>
      </c>
      <c r="E313" s="110" t="str">
        <f>'МП пр.6'!B586</f>
        <v>7Щ 0 01 R5110</v>
      </c>
      <c r="F313" s="110"/>
      <c r="G313" s="199">
        <f>G314</f>
        <v>1000</v>
      </c>
    </row>
    <row r="314" spans="1:7" ht="25.5">
      <c r="A314" s="16" t="s">
        <v>333</v>
      </c>
      <c r="B314" s="20" t="s">
        <v>273</v>
      </c>
      <c r="C314" s="20" t="s">
        <v>63</v>
      </c>
      <c r="D314" s="20" t="s">
        <v>84</v>
      </c>
      <c r="E314" s="110" t="str">
        <f>'МП пр.6'!B587</f>
        <v>7Щ 0 01 R5110</v>
      </c>
      <c r="F314" s="142">
        <v>200</v>
      </c>
      <c r="G314" s="199">
        <f>G315</f>
        <v>1000</v>
      </c>
    </row>
    <row r="315" spans="1:7" ht="25.5">
      <c r="A315" s="16" t="s">
        <v>608</v>
      </c>
      <c r="B315" s="20" t="s">
        <v>273</v>
      </c>
      <c r="C315" s="20" t="s">
        <v>63</v>
      </c>
      <c r="D315" s="20" t="s">
        <v>84</v>
      </c>
      <c r="E315" s="110" t="str">
        <f>'МП пр.6'!B588</f>
        <v>7Щ 0 01 R5110</v>
      </c>
      <c r="F315" s="142">
        <v>240</v>
      </c>
      <c r="G315" s="199">
        <f>'МП пр.6'!G588</f>
        <v>1000</v>
      </c>
    </row>
    <row r="316" spans="1:7" ht="12.75">
      <c r="A316" s="16" t="s">
        <v>292</v>
      </c>
      <c r="B316" s="19" t="s">
        <v>273</v>
      </c>
      <c r="C316" s="20" t="s">
        <v>63</v>
      </c>
      <c r="D316" s="20" t="s">
        <v>84</v>
      </c>
      <c r="E316" s="115" t="s">
        <v>494</v>
      </c>
      <c r="F316" s="113"/>
      <c r="G316" s="199">
        <f>G317+G324+G327</f>
        <v>49250.5</v>
      </c>
    </row>
    <row r="317" spans="1:7" ht="12.75">
      <c r="A317" s="16" t="s">
        <v>185</v>
      </c>
      <c r="B317" s="19" t="s">
        <v>273</v>
      </c>
      <c r="C317" s="20" t="s">
        <v>63</v>
      </c>
      <c r="D317" s="20" t="s">
        <v>84</v>
      </c>
      <c r="E317" s="115" t="s">
        <v>495</v>
      </c>
      <c r="F317" s="113"/>
      <c r="G317" s="199">
        <f>G318+G320+G322</f>
        <v>48042.2</v>
      </c>
    </row>
    <row r="318" spans="1:7" ht="38.25">
      <c r="A318" s="16" t="s">
        <v>92</v>
      </c>
      <c r="B318" s="19" t="s">
        <v>273</v>
      </c>
      <c r="C318" s="20" t="s">
        <v>63</v>
      </c>
      <c r="D318" s="20" t="s">
        <v>84</v>
      </c>
      <c r="E318" s="115" t="s">
        <v>495</v>
      </c>
      <c r="F318" s="110" t="s">
        <v>93</v>
      </c>
      <c r="G318" s="199">
        <f>G319</f>
        <v>34547.299999999996</v>
      </c>
    </row>
    <row r="319" spans="1:7" ht="12.75">
      <c r="A319" s="16" t="s">
        <v>208</v>
      </c>
      <c r="B319" s="19" t="s">
        <v>273</v>
      </c>
      <c r="C319" s="20" t="s">
        <v>63</v>
      </c>
      <c r="D319" s="20" t="s">
        <v>84</v>
      </c>
      <c r="E319" s="115" t="s">
        <v>495</v>
      </c>
      <c r="F319" s="110" t="s">
        <v>209</v>
      </c>
      <c r="G319" s="199">
        <f>33400.1+1147.2</f>
        <v>34547.299999999996</v>
      </c>
    </row>
    <row r="320" spans="1:7" ht="25.5">
      <c r="A320" s="16" t="s">
        <v>333</v>
      </c>
      <c r="B320" s="19" t="s">
        <v>273</v>
      </c>
      <c r="C320" s="20" t="s">
        <v>63</v>
      </c>
      <c r="D320" s="20" t="s">
        <v>84</v>
      </c>
      <c r="E320" s="115" t="s">
        <v>495</v>
      </c>
      <c r="F320" s="110" t="s">
        <v>94</v>
      </c>
      <c r="G320" s="199">
        <f>G321</f>
        <v>13203.5</v>
      </c>
    </row>
    <row r="321" spans="1:7" ht="25.5">
      <c r="A321" s="16" t="s">
        <v>608</v>
      </c>
      <c r="B321" s="19" t="s">
        <v>273</v>
      </c>
      <c r="C321" s="20" t="s">
        <v>63</v>
      </c>
      <c r="D321" s="20" t="s">
        <v>84</v>
      </c>
      <c r="E321" s="115" t="s">
        <v>495</v>
      </c>
      <c r="F321" s="110" t="s">
        <v>91</v>
      </c>
      <c r="G321" s="199">
        <f>13684.2-480.7</f>
        <v>13203.5</v>
      </c>
    </row>
    <row r="322" spans="1:7" ht="12.75">
      <c r="A322" s="16" t="s">
        <v>110</v>
      </c>
      <c r="B322" s="19" t="s">
        <v>273</v>
      </c>
      <c r="C322" s="20" t="s">
        <v>63</v>
      </c>
      <c r="D322" s="20" t="s">
        <v>84</v>
      </c>
      <c r="E322" s="115" t="s">
        <v>495</v>
      </c>
      <c r="F322" s="110" t="s">
        <v>111</v>
      </c>
      <c r="G322" s="199">
        <f>G323</f>
        <v>291.4</v>
      </c>
    </row>
    <row r="323" spans="1:7" ht="12.75">
      <c r="A323" s="16" t="s">
        <v>113</v>
      </c>
      <c r="B323" s="19" t="s">
        <v>273</v>
      </c>
      <c r="C323" s="20" t="s">
        <v>63</v>
      </c>
      <c r="D323" s="20" t="s">
        <v>84</v>
      </c>
      <c r="E323" s="115" t="s">
        <v>495</v>
      </c>
      <c r="F323" s="110" t="s">
        <v>114</v>
      </c>
      <c r="G323" s="199">
        <f>318-26.6</f>
        <v>291.4</v>
      </c>
    </row>
    <row r="324" spans="1:7" ht="51">
      <c r="A324" s="16" t="s">
        <v>204</v>
      </c>
      <c r="B324" s="19" t="s">
        <v>273</v>
      </c>
      <c r="C324" s="20" t="s">
        <v>63</v>
      </c>
      <c r="D324" s="20" t="s">
        <v>84</v>
      </c>
      <c r="E324" s="115" t="s">
        <v>496</v>
      </c>
      <c r="F324" s="110"/>
      <c r="G324" s="199">
        <f>G325</f>
        <v>668.8</v>
      </c>
    </row>
    <row r="325" spans="1:7" ht="38.25">
      <c r="A325" s="16" t="s">
        <v>92</v>
      </c>
      <c r="B325" s="19" t="s">
        <v>273</v>
      </c>
      <c r="C325" s="20" t="s">
        <v>63</v>
      </c>
      <c r="D325" s="20" t="s">
        <v>84</v>
      </c>
      <c r="E325" s="115" t="s">
        <v>496</v>
      </c>
      <c r="F325" s="110" t="s">
        <v>93</v>
      </c>
      <c r="G325" s="199">
        <f>G326</f>
        <v>668.8</v>
      </c>
    </row>
    <row r="326" spans="1:7" ht="12.75">
      <c r="A326" s="16" t="s">
        <v>208</v>
      </c>
      <c r="B326" s="19" t="s">
        <v>273</v>
      </c>
      <c r="C326" s="20" t="s">
        <v>63</v>
      </c>
      <c r="D326" s="20" t="s">
        <v>84</v>
      </c>
      <c r="E326" s="115" t="s">
        <v>496</v>
      </c>
      <c r="F326" s="110" t="s">
        <v>209</v>
      </c>
      <c r="G326" s="199">
        <f>694.3-25.5</f>
        <v>668.8</v>
      </c>
    </row>
    <row r="327" spans="1:7" ht="12.75">
      <c r="A327" s="16" t="s">
        <v>176</v>
      </c>
      <c r="B327" s="19" t="s">
        <v>273</v>
      </c>
      <c r="C327" s="20" t="s">
        <v>63</v>
      </c>
      <c r="D327" s="20" t="s">
        <v>84</v>
      </c>
      <c r="E327" s="115" t="s">
        <v>497</v>
      </c>
      <c r="F327" s="110"/>
      <c r="G327" s="199">
        <f>G328+G330</f>
        <v>539.5</v>
      </c>
    </row>
    <row r="328" spans="1:7" ht="38.25">
      <c r="A328" s="16" t="s">
        <v>92</v>
      </c>
      <c r="B328" s="19" t="s">
        <v>273</v>
      </c>
      <c r="C328" s="20" t="s">
        <v>63</v>
      </c>
      <c r="D328" s="20" t="s">
        <v>84</v>
      </c>
      <c r="E328" s="115" t="s">
        <v>497</v>
      </c>
      <c r="F328" s="110" t="s">
        <v>93</v>
      </c>
      <c r="G328" s="199">
        <f>G329</f>
        <v>47.80000000000007</v>
      </c>
    </row>
    <row r="329" spans="1:7" ht="12.75">
      <c r="A329" s="16" t="s">
        <v>208</v>
      </c>
      <c r="B329" s="19" t="s">
        <v>273</v>
      </c>
      <c r="C329" s="20" t="s">
        <v>63</v>
      </c>
      <c r="D329" s="20" t="s">
        <v>84</v>
      </c>
      <c r="E329" s="115" t="s">
        <v>497</v>
      </c>
      <c r="F329" s="110" t="s">
        <v>209</v>
      </c>
      <c r="G329" s="199">
        <f>532.2-484.4</f>
        <v>47.80000000000007</v>
      </c>
    </row>
    <row r="330" spans="1:7" ht="12.75">
      <c r="A330" s="16" t="s">
        <v>101</v>
      </c>
      <c r="B330" s="19" t="s">
        <v>273</v>
      </c>
      <c r="C330" s="20" t="s">
        <v>63</v>
      </c>
      <c r="D330" s="20" t="s">
        <v>84</v>
      </c>
      <c r="E330" s="115" t="s">
        <v>497</v>
      </c>
      <c r="F330" s="142">
        <v>300</v>
      </c>
      <c r="G330" s="199">
        <f>G331</f>
        <v>491.7</v>
      </c>
    </row>
    <row r="331" spans="1:7" ht="12.75">
      <c r="A331" s="150" t="s">
        <v>116</v>
      </c>
      <c r="B331" s="19" t="s">
        <v>273</v>
      </c>
      <c r="C331" s="20" t="s">
        <v>63</v>
      </c>
      <c r="D331" s="20" t="s">
        <v>84</v>
      </c>
      <c r="E331" s="115" t="s">
        <v>497</v>
      </c>
      <c r="F331" s="142">
        <v>320</v>
      </c>
      <c r="G331" s="199">
        <v>491.7</v>
      </c>
    </row>
    <row r="332" spans="1:7" ht="25.5">
      <c r="A332" s="30" t="s">
        <v>169</v>
      </c>
      <c r="B332" s="19" t="s">
        <v>273</v>
      </c>
      <c r="C332" s="20" t="s">
        <v>63</v>
      </c>
      <c r="D332" s="20" t="s">
        <v>84</v>
      </c>
      <c r="E332" s="110" t="s">
        <v>498</v>
      </c>
      <c r="F332" s="110"/>
      <c r="G332" s="199">
        <f>G333+G336</f>
        <v>2380.2</v>
      </c>
    </row>
    <row r="333" spans="1:7" ht="12.75">
      <c r="A333" s="30" t="s">
        <v>266</v>
      </c>
      <c r="B333" s="19" t="s">
        <v>273</v>
      </c>
      <c r="C333" s="20" t="s">
        <v>63</v>
      </c>
      <c r="D333" s="20" t="s">
        <v>84</v>
      </c>
      <c r="E333" s="110" t="s">
        <v>499</v>
      </c>
      <c r="F333" s="110"/>
      <c r="G333" s="199">
        <f>G334</f>
        <v>1713.4</v>
      </c>
    </row>
    <row r="334" spans="1:7" ht="25.5">
      <c r="A334" s="16" t="s">
        <v>333</v>
      </c>
      <c r="B334" s="19" t="s">
        <v>273</v>
      </c>
      <c r="C334" s="20" t="s">
        <v>63</v>
      </c>
      <c r="D334" s="20" t="s">
        <v>84</v>
      </c>
      <c r="E334" s="110" t="s">
        <v>499</v>
      </c>
      <c r="F334" s="110" t="s">
        <v>94</v>
      </c>
      <c r="G334" s="199">
        <f>G335</f>
        <v>1713.4</v>
      </c>
    </row>
    <row r="335" spans="1:7" ht="25.5">
      <c r="A335" s="16" t="s">
        <v>608</v>
      </c>
      <c r="B335" s="19" t="s">
        <v>273</v>
      </c>
      <c r="C335" s="20" t="s">
        <v>63</v>
      </c>
      <c r="D335" s="20" t="s">
        <v>84</v>
      </c>
      <c r="E335" s="110" t="s">
        <v>499</v>
      </c>
      <c r="F335" s="110" t="s">
        <v>91</v>
      </c>
      <c r="G335" s="199">
        <f>1525.4+188</f>
        <v>1713.4</v>
      </c>
    </row>
    <row r="336" spans="1:7" ht="25.5">
      <c r="A336" s="30" t="s">
        <v>591</v>
      </c>
      <c r="B336" s="19" t="s">
        <v>273</v>
      </c>
      <c r="C336" s="20" t="s">
        <v>63</v>
      </c>
      <c r="D336" s="20" t="s">
        <v>84</v>
      </c>
      <c r="E336" s="110" t="s">
        <v>500</v>
      </c>
      <c r="F336" s="110"/>
      <c r="G336" s="199">
        <f>G337+G339</f>
        <v>666.8</v>
      </c>
    </row>
    <row r="337" spans="1:7" ht="25.5">
      <c r="A337" s="16" t="s">
        <v>333</v>
      </c>
      <c r="B337" s="19" t="s">
        <v>273</v>
      </c>
      <c r="C337" s="20" t="s">
        <v>63</v>
      </c>
      <c r="D337" s="20" t="s">
        <v>84</v>
      </c>
      <c r="E337" s="110" t="s">
        <v>500</v>
      </c>
      <c r="F337" s="110" t="s">
        <v>94</v>
      </c>
      <c r="G337" s="199">
        <f>G338</f>
        <v>526.8</v>
      </c>
    </row>
    <row r="338" spans="1:7" ht="25.5">
      <c r="A338" s="16" t="s">
        <v>608</v>
      </c>
      <c r="B338" s="19" t="s">
        <v>273</v>
      </c>
      <c r="C338" s="20" t="s">
        <v>63</v>
      </c>
      <c r="D338" s="20" t="s">
        <v>84</v>
      </c>
      <c r="E338" s="110" t="s">
        <v>500</v>
      </c>
      <c r="F338" s="110" t="s">
        <v>91</v>
      </c>
      <c r="G338" s="199">
        <f>889-362.2</f>
        <v>526.8</v>
      </c>
    </row>
    <row r="339" spans="1:7" ht="12.75">
      <c r="A339" s="16" t="s">
        <v>110</v>
      </c>
      <c r="B339" s="19" t="s">
        <v>273</v>
      </c>
      <c r="C339" s="20" t="s">
        <v>63</v>
      </c>
      <c r="D339" s="20" t="s">
        <v>84</v>
      </c>
      <c r="E339" s="110" t="s">
        <v>500</v>
      </c>
      <c r="F339" s="110" t="s">
        <v>111</v>
      </c>
      <c r="G339" s="199">
        <f>G340</f>
        <v>140</v>
      </c>
    </row>
    <row r="340" spans="1:7" ht="12.75">
      <c r="A340" s="150" t="s">
        <v>651</v>
      </c>
      <c r="B340" s="19" t="s">
        <v>273</v>
      </c>
      <c r="C340" s="20" t="s">
        <v>63</v>
      </c>
      <c r="D340" s="20" t="s">
        <v>84</v>
      </c>
      <c r="E340" s="110" t="s">
        <v>747</v>
      </c>
      <c r="F340" s="142">
        <v>830</v>
      </c>
      <c r="G340" s="199">
        <v>140</v>
      </c>
    </row>
    <row r="341" spans="1:7" ht="12.75">
      <c r="A341" s="14" t="s">
        <v>128</v>
      </c>
      <c r="B341" s="37" t="s">
        <v>273</v>
      </c>
      <c r="C341" s="37" t="s">
        <v>69</v>
      </c>
      <c r="D341" s="37" t="s">
        <v>34</v>
      </c>
      <c r="E341" s="110"/>
      <c r="F341" s="110"/>
      <c r="G341" s="198">
        <f>G342</f>
        <v>531.7</v>
      </c>
    </row>
    <row r="342" spans="1:7" ht="12.75">
      <c r="A342" s="30" t="s">
        <v>127</v>
      </c>
      <c r="B342" s="19" t="s">
        <v>273</v>
      </c>
      <c r="C342" s="19" t="s">
        <v>69</v>
      </c>
      <c r="D342" s="19" t="s">
        <v>63</v>
      </c>
      <c r="E342" s="110"/>
      <c r="F342" s="110"/>
      <c r="G342" s="198">
        <f>G343</f>
        <v>531.7</v>
      </c>
    </row>
    <row r="343" spans="1:7" ht="12.75">
      <c r="A343" s="30" t="s">
        <v>170</v>
      </c>
      <c r="B343" s="19" t="s">
        <v>273</v>
      </c>
      <c r="C343" s="19" t="s">
        <v>69</v>
      </c>
      <c r="D343" s="19" t="s">
        <v>63</v>
      </c>
      <c r="E343" s="110" t="s">
        <v>484</v>
      </c>
      <c r="F343" s="110"/>
      <c r="G343" s="199">
        <f>G344</f>
        <v>531.7</v>
      </c>
    </row>
    <row r="344" spans="1:7" ht="12.75">
      <c r="A344" s="16" t="s">
        <v>201</v>
      </c>
      <c r="B344" s="19" t="s">
        <v>273</v>
      </c>
      <c r="C344" s="19" t="s">
        <v>69</v>
      </c>
      <c r="D344" s="19" t="s">
        <v>63</v>
      </c>
      <c r="E344" s="110" t="s">
        <v>485</v>
      </c>
      <c r="F344" s="110"/>
      <c r="G344" s="199">
        <f>G345</f>
        <v>531.7</v>
      </c>
    </row>
    <row r="345" spans="1:7" ht="25.5">
      <c r="A345" s="16" t="s">
        <v>333</v>
      </c>
      <c r="B345" s="19" t="s">
        <v>273</v>
      </c>
      <c r="C345" s="19" t="s">
        <v>69</v>
      </c>
      <c r="D345" s="19" t="s">
        <v>63</v>
      </c>
      <c r="E345" s="110" t="s">
        <v>485</v>
      </c>
      <c r="F345" s="110" t="s">
        <v>94</v>
      </c>
      <c r="G345" s="199">
        <f>G346</f>
        <v>531.7</v>
      </c>
    </row>
    <row r="346" spans="1:7" ht="25.5">
      <c r="A346" s="16" t="s">
        <v>608</v>
      </c>
      <c r="B346" s="19" t="s">
        <v>273</v>
      </c>
      <c r="C346" s="19" t="s">
        <v>69</v>
      </c>
      <c r="D346" s="19" t="s">
        <v>63</v>
      </c>
      <c r="E346" s="110" t="s">
        <v>485</v>
      </c>
      <c r="F346" s="110" t="s">
        <v>91</v>
      </c>
      <c r="G346" s="199">
        <f>487.5+44.2</f>
        <v>531.7</v>
      </c>
    </row>
    <row r="347" spans="1:7" ht="12.75">
      <c r="A347" s="15" t="s">
        <v>82</v>
      </c>
      <c r="B347" s="37" t="s">
        <v>273</v>
      </c>
      <c r="C347" s="32" t="s">
        <v>75</v>
      </c>
      <c r="D347" s="32" t="s">
        <v>34</v>
      </c>
      <c r="E347" s="110"/>
      <c r="F347" s="110"/>
      <c r="G347" s="198">
        <f>G348</f>
        <v>5617</v>
      </c>
    </row>
    <row r="348" spans="1:7" ht="12.75">
      <c r="A348" s="15" t="s">
        <v>13</v>
      </c>
      <c r="B348" s="37" t="s">
        <v>273</v>
      </c>
      <c r="C348" s="32" t="s">
        <v>75</v>
      </c>
      <c r="D348" s="32" t="s">
        <v>64</v>
      </c>
      <c r="E348" s="113"/>
      <c r="F348" s="110"/>
      <c r="G348" s="199">
        <f>G349</f>
        <v>5617</v>
      </c>
    </row>
    <row r="349" spans="1:7" ht="12.75">
      <c r="A349" s="16" t="s">
        <v>171</v>
      </c>
      <c r="B349" s="19" t="s">
        <v>273</v>
      </c>
      <c r="C349" s="20" t="s">
        <v>75</v>
      </c>
      <c r="D349" s="20" t="s">
        <v>64</v>
      </c>
      <c r="E349" s="110" t="s">
        <v>501</v>
      </c>
      <c r="F349" s="110"/>
      <c r="G349" s="199">
        <f>G350</f>
        <v>5617</v>
      </c>
    </row>
    <row r="350" spans="1:7" ht="12.75">
      <c r="A350" s="16" t="s">
        <v>185</v>
      </c>
      <c r="B350" s="19" t="s">
        <v>273</v>
      </c>
      <c r="C350" s="20" t="s">
        <v>75</v>
      </c>
      <c r="D350" s="20" t="s">
        <v>64</v>
      </c>
      <c r="E350" s="110" t="s">
        <v>502</v>
      </c>
      <c r="F350" s="110"/>
      <c r="G350" s="199">
        <f>G351</f>
        <v>5617</v>
      </c>
    </row>
    <row r="351" spans="1:7" ht="25.5">
      <c r="A351" s="16" t="s">
        <v>95</v>
      </c>
      <c r="B351" s="19" t="s">
        <v>273</v>
      </c>
      <c r="C351" s="20" t="s">
        <v>75</v>
      </c>
      <c r="D351" s="20" t="s">
        <v>64</v>
      </c>
      <c r="E351" s="110" t="s">
        <v>502</v>
      </c>
      <c r="F351" s="110" t="s">
        <v>96</v>
      </c>
      <c r="G351" s="199">
        <f>G352</f>
        <v>5617</v>
      </c>
    </row>
    <row r="352" spans="1:7" ht="12.75">
      <c r="A352" s="16" t="s">
        <v>97</v>
      </c>
      <c r="B352" s="19" t="s">
        <v>273</v>
      </c>
      <c r="C352" s="20" t="s">
        <v>75</v>
      </c>
      <c r="D352" s="20" t="s">
        <v>64</v>
      </c>
      <c r="E352" s="110" t="s">
        <v>502</v>
      </c>
      <c r="F352" s="110" t="s">
        <v>98</v>
      </c>
      <c r="G352" s="199">
        <v>5617</v>
      </c>
    </row>
    <row r="353" spans="1:7" ht="22.9" customHeight="1">
      <c r="A353" s="15" t="s">
        <v>133</v>
      </c>
      <c r="B353" s="37" t="s">
        <v>274</v>
      </c>
      <c r="C353" s="32"/>
      <c r="D353" s="32"/>
      <c r="E353" s="113"/>
      <c r="F353" s="113"/>
      <c r="G353" s="198">
        <f>G354</f>
        <v>366458.2</v>
      </c>
    </row>
    <row r="354" spans="1:7" ht="12.75">
      <c r="A354" s="15" t="s">
        <v>8</v>
      </c>
      <c r="B354" s="37" t="s">
        <v>274</v>
      </c>
      <c r="C354" s="32" t="s">
        <v>66</v>
      </c>
      <c r="D354" s="32" t="s">
        <v>34</v>
      </c>
      <c r="E354" s="110"/>
      <c r="F354" s="110"/>
      <c r="G354" s="198">
        <f>G355+G411+G540+G574+G498</f>
        <v>366458.2</v>
      </c>
    </row>
    <row r="355" spans="1:7" ht="12.75">
      <c r="A355" s="15" t="s">
        <v>9</v>
      </c>
      <c r="B355" s="37" t="s">
        <v>274</v>
      </c>
      <c r="C355" s="32" t="s">
        <v>66</v>
      </c>
      <c r="D355" s="32" t="s">
        <v>63</v>
      </c>
      <c r="E355" s="113"/>
      <c r="F355" s="113"/>
      <c r="G355" s="198">
        <f>G357+G362+G376+G396+G401</f>
        <v>77085</v>
      </c>
    </row>
    <row r="356" spans="1:7" ht="12.75">
      <c r="A356" s="16" t="s">
        <v>478</v>
      </c>
      <c r="B356" s="19" t="s">
        <v>274</v>
      </c>
      <c r="C356" s="20" t="s">
        <v>66</v>
      </c>
      <c r="D356" s="20" t="s">
        <v>63</v>
      </c>
      <c r="E356" s="115" t="s">
        <v>479</v>
      </c>
      <c r="F356" s="110"/>
      <c r="G356" s="199">
        <f>G357+G362+G376+G396</f>
        <v>63172.5</v>
      </c>
    </row>
    <row r="357" spans="1:7" ht="25.5">
      <c r="A357" s="29" t="str">
        <f>'МП пр.6'!A17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357" s="19" t="s">
        <v>274</v>
      </c>
      <c r="C357" s="20" t="s">
        <v>66</v>
      </c>
      <c r="D357" s="20" t="s">
        <v>63</v>
      </c>
      <c r="E357" s="115" t="str">
        <f>'МП пр.6'!B17</f>
        <v xml:space="preserve">7Б 0 00 00000 </v>
      </c>
      <c r="F357" s="110"/>
      <c r="G357" s="199">
        <f>G358</f>
        <v>170.70000000000002</v>
      </c>
    </row>
    <row r="358" spans="1:7" ht="25.5">
      <c r="A358" s="29" t="str">
        <f>'МП пр.6'!A18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58" s="19" t="s">
        <v>274</v>
      </c>
      <c r="C358" s="20" t="s">
        <v>66</v>
      </c>
      <c r="D358" s="20" t="s">
        <v>63</v>
      </c>
      <c r="E358" s="115" t="str">
        <f>'МП пр.6'!B18</f>
        <v xml:space="preserve">7Б 0 01 00000 </v>
      </c>
      <c r="F358" s="110"/>
      <c r="G358" s="199">
        <f>G359</f>
        <v>170.70000000000002</v>
      </c>
    </row>
    <row r="359" spans="1:7" ht="12.75">
      <c r="A359" s="29" t="str">
        <f>'МП пр.6'!A19</f>
        <v>Обслуживание систем видеонаблюдения, охранной сигнализации</v>
      </c>
      <c r="B359" s="19" t="s">
        <v>274</v>
      </c>
      <c r="C359" s="20" t="s">
        <v>66</v>
      </c>
      <c r="D359" s="20" t="s">
        <v>63</v>
      </c>
      <c r="E359" s="115" t="str">
        <f>'МП пр.6'!B19</f>
        <v xml:space="preserve">7Б 0 01 91600 </v>
      </c>
      <c r="F359" s="110"/>
      <c r="G359" s="199">
        <f>G360</f>
        <v>170.70000000000002</v>
      </c>
    </row>
    <row r="360" spans="1:7" ht="25.5">
      <c r="A360" s="16" t="s">
        <v>95</v>
      </c>
      <c r="B360" s="19" t="s">
        <v>274</v>
      </c>
      <c r="C360" s="20" t="s">
        <v>66</v>
      </c>
      <c r="D360" s="20" t="s">
        <v>63</v>
      </c>
      <c r="E360" s="115" t="s">
        <v>409</v>
      </c>
      <c r="F360" s="110" t="s">
        <v>96</v>
      </c>
      <c r="G360" s="199">
        <f>G361</f>
        <v>170.70000000000002</v>
      </c>
    </row>
    <row r="361" spans="1:7" ht="12.75">
      <c r="A361" s="16" t="s">
        <v>99</v>
      </c>
      <c r="B361" s="19" t="s">
        <v>274</v>
      </c>
      <c r="C361" s="20" t="s">
        <v>66</v>
      </c>
      <c r="D361" s="20" t="s">
        <v>63</v>
      </c>
      <c r="E361" s="115" t="s">
        <v>409</v>
      </c>
      <c r="F361" s="110" t="s">
        <v>100</v>
      </c>
      <c r="G361" s="199">
        <f>'МП пр.6'!G24</f>
        <v>170.70000000000002</v>
      </c>
    </row>
    <row r="362" spans="1:7" ht="25.5">
      <c r="A362" s="29" t="str">
        <f>'МП пр.6'!A257</f>
        <v>Муниципальная программа  "Пожарная безопасность в Сусуманском городском округе на 2018- 2022 годы"</v>
      </c>
      <c r="B362" s="19" t="s">
        <v>274</v>
      </c>
      <c r="C362" s="20" t="s">
        <v>66</v>
      </c>
      <c r="D362" s="20" t="s">
        <v>63</v>
      </c>
      <c r="E362" s="115" t="str">
        <f>'МП пр.6'!B257</f>
        <v xml:space="preserve">7П 0 00 00000 </v>
      </c>
      <c r="F362" s="110"/>
      <c r="G362" s="199">
        <f>G363</f>
        <v>418.4</v>
      </c>
    </row>
    <row r="363" spans="1:7" ht="25.5">
      <c r="A363" s="29" t="str">
        <f>'МП пр.6'!A258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63" s="19" t="s">
        <v>274</v>
      </c>
      <c r="C363" s="20" t="s">
        <v>66</v>
      </c>
      <c r="D363" s="20" t="s">
        <v>63</v>
      </c>
      <c r="E363" s="115" t="str">
        <f>'МП пр.6'!B258</f>
        <v xml:space="preserve">7П 0 01 00000 </v>
      </c>
      <c r="F363" s="110"/>
      <c r="G363" s="199">
        <f>G364+G367+G370+G373</f>
        <v>418.4</v>
      </c>
    </row>
    <row r="364" spans="1:7" ht="38.25">
      <c r="A364" s="29" t="str">
        <f>'МП пр.6'!A259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64" s="19" t="s">
        <v>274</v>
      </c>
      <c r="C364" s="20" t="s">
        <v>66</v>
      </c>
      <c r="D364" s="20" t="s">
        <v>63</v>
      </c>
      <c r="E364" s="115" t="str">
        <f>'МП пр.6'!B259</f>
        <v xml:space="preserve">7П 0 01 94100 </v>
      </c>
      <c r="F364" s="110"/>
      <c r="G364" s="199">
        <f>G365</f>
        <v>268.8</v>
      </c>
    </row>
    <row r="365" spans="1:7" ht="25.5">
      <c r="A365" s="16" t="s">
        <v>95</v>
      </c>
      <c r="B365" s="19" t="s">
        <v>274</v>
      </c>
      <c r="C365" s="20" t="s">
        <v>66</v>
      </c>
      <c r="D365" s="20" t="s">
        <v>63</v>
      </c>
      <c r="E365" s="115" t="s">
        <v>236</v>
      </c>
      <c r="F365" s="110" t="s">
        <v>96</v>
      </c>
      <c r="G365" s="199">
        <f>G366</f>
        <v>268.8</v>
      </c>
    </row>
    <row r="366" spans="1:7" ht="12.75">
      <c r="A366" s="16" t="s">
        <v>99</v>
      </c>
      <c r="B366" s="19" t="s">
        <v>274</v>
      </c>
      <c r="C366" s="20" t="s">
        <v>66</v>
      </c>
      <c r="D366" s="20" t="s">
        <v>63</v>
      </c>
      <c r="E366" s="115" t="s">
        <v>236</v>
      </c>
      <c r="F366" s="110" t="s">
        <v>100</v>
      </c>
      <c r="G366" s="199">
        <f>'МП пр.6'!G264</f>
        <v>268.8</v>
      </c>
    </row>
    <row r="367" spans="1:7" ht="12.75">
      <c r="A367" s="29" t="str">
        <f>'МП пр.6'!A319</f>
        <v>Проведение замеров сопротивления изоляции электросетей и электрооборудования</v>
      </c>
      <c r="B367" s="19" t="s">
        <v>274</v>
      </c>
      <c r="C367" s="20" t="s">
        <v>66</v>
      </c>
      <c r="D367" s="20" t="s">
        <v>63</v>
      </c>
      <c r="E367" s="115" t="str">
        <f>'МП пр.6'!B319</f>
        <v xml:space="preserve">7П 0 01 94400 </v>
      </c>
      <c r="F367" s="110"/>
      <c r="G367" s="199">
        <f>G368</f>
        <v>124.5</v>
      </c>
    </row>
    <row r="368" spans="1:7" ht="25.5">
      <c r="A368" s="16" t="s">
        <v>95</v>
      </c>
      <c r="B368" s="19" t="s">
        <v>274</v>
      </c>
      <c r="C368" s="20" t="s">
        <v>66</v>
      </c>
      <c r="D368" s="20" t="s">
        <v>63</v>
      </c>
      <c r="E368" s="115" t="s">
        <v>237</v>
      </c>
      <c r="F368" s="110" t="s">
        <v>96</v>
      </c>
      <c r="G368" s="199">
        <f>G369</f>
        <v>124.5</v>
      </c>
    </row>
    <row r="369" spans="1:7" ht="12.75">
      <c r="A369" s="16" t="s">
        <v>99</v>
      </c>
      <c r="B369" s="19" t="s">
        <v>274</v>
      </c>
      <c r="C369" s="20" t="s">
        <v>66</v>
      </c>
      <c r="D369" s="20" t="s">
        <v>63</v>
      </c>
      <c r="E369" s="115" t="s">
        <v>237</v>
      </c>
      <c r="F369" s="110" t="s">
        <v>100</v>
      </c>
      <c r="G369" s="199">
        <f>'МП пр.6'!G324</f>
        <v>124.5</v>
      </c>
    </row>
    <row r="370" spans="1:7" ht="25.5">
      <c r="A370" s="29" t="str">
        <f>'МП пр.6'!A338</f>
        <v>Проведение проверок исправности и ремонт систем противопожарного водоснабжения, приобретение и обслуживание гидрантов</v>
      </c>
      <c r="B370" s="19" t="s">
        <v>274</v>
      </c>
      <c r="C370" s="20" t="s">
        <v>66</v>
      </c>
      <c r="D370" s="20" t="s">
        <v>63</v>
      </c>
      <c r="E370" s="115" t="str">
        <f>'МП пр.6'!B338</f>
        <v xml:space="preserve">7П 0 01 94500 </v>
      </c>
      <c r="F370" s="110"/>
      <c r="G370" s="199">
        <f>G371</f>
        <v>19.200000000000003</v>
      </c>
    </row>
    <row r="371" spans="1:7" ht="25.5">
      <c r="A371" s="16" t="s">
        <v>95</v>
      </c>
      <c r="B371" s="19" t="s">
        <v>274</v>
      </c>
      <c r="C371" s="20" t="s">
        <v>66</v>
      </c>
      <c r="D371" s="20" t="s">
        <v>63</v>
      </c>
      <c r="E371" s="115" t="s">
        <v>238</v>
      </c>
      <c r="F371" s="110" t="s">
        <v>96</v>
      </c>
      <c r="G371" s="199">
        <f>G372</f>
        <v>19.200000000000003</v>
      </c>
    </row>
    <row r="372" spans="1:7" ht="12.75">
      <c r="A372" s="16" t="s">
        <v>99</v>
      </c>
      <c r="B372" s="19" t="s">
        <v>274</v>
      </c>
      <c r="C372" s="20" t="s">
        <v>66</v>
      </c>
      <c r="D372" s="20" t="s">
        <v>63</v>
      </c>
      <c r="E372" s="115" t="s">
        <v>238</v>
      </c>
      <c r="F372" s="110" t="s">
        <v>100</v>
      </c>
      <c r="G372" s="199">
        <f>'МП пр.6'!G343</f>
        <v>19.200000000000003</v>
      </c>
    </row>
    <row r="373" spans="1:7" ht="12.75">
      <c r="A373" s="16" t="str">
        <f>'МП пр.6'!A362</f>
        <v>Обучение сотрудников по пожарной безопасности</v>
      </c>
      <c r="B373" s="19" t="s">
        <v>274</v>
      </c>
      <c r="C373" s="20" t="s">
        <v>66</v>
      </c>
      <c r="D373" s="20" t="s">
        <v>63</v>
      </c>
      <c r="E373" s="115" t="str">
        <f>'МП пр.6'!B362</f>
        <v xml:space="preserve">7П 0 01 94510 </v>
      </c>
      <c r="F373" s="110"/>
      <c r="G373" s="199">
        <f>G374</f>
        <v>5.9</v>
      </c>
    </row>
    <row r="374" spans="1:7" ht="25.5">
      <c r="A374" s="16" t="s">
        <v>95</v>
      </c>
      <c r="B374" s="19" t="s">
        <v>274</v>
      </c>
      <c r="C374" s="20" t="s">
        <v>66</v>
      </c>
      <c r="D374" s="20" t="s">
        <v>63</v>
      </c>
      <c r="E374" s="115" t="s">
        <v>299</v>
      </c>
      <c r="F374" s="110" t="s">
        <v>96</v>
      </c>
      <c r="G374" s="199">
        <f>G375</f>
        <v>5.9</v>
      </c>
    </row>
    <row r="375" spans="1:7" ht="12.75">
      <c r="A375" s="16" t="s">
        <v>99</v>
      </c>
      <c r="B375" s="19" t="s">
        <v>274</v>
      </c>
      <c r="C375" s="20" t="s">
        <v>66</v>
      </c>
      <c r="D375" s="20" t="s">
        <v>63</v>
      </c>
      <c r="E375" s="115" t="s">
        <v>299</v>
      </c>
      <c r="F375" s="110" t="s">
        <v>100</v>
      </c>
      <c r="G375" s="199">
        <f>'МП пр.6'!G367</f>
        <v>5.9</v>
      </c>
    </row>
    <row r="376" spans="1:7" ht="25.5">
      <c r="A376" s="29" t="str">
        <f>'МП пр.6'!A384</f>
        <v>Муниципальная  программа  "Развитие образования в Сусуманском городском округе  на 2018- 2022 годы"</v>
      </c>
      <c r="B376" s="19" t="s">
        <v>274</v>
      </c>
      <c r="C376" s="20" t="s">
        <v>66</v>
      </c>
      <c r="D376" s="20" t="s">
        <v>63</v>
      </c>
      <c r="E376" s="115" t="str">
        <f>'МП пр.6'!B384</f>
        <v xml:space="preserve">7Р 0 00 00000 </v>
      </c>
      <c r="F376" s="110"/>
      <c r="G376" s="199">
        <f>G377</f>
        <v>62508</v>
      </c>
    </row>
    <row r="377" spans="1:7" ht="12.75">
      <c r="A377" s="16" t="str">
        <f>'МП пр.6'!A392</f>
        <v>Основное мероприятие "Управление развитием отрасли образования"</v>
      </c>
      <c r="B377" s="19" t="s">
        <v>274</v>
      </c>
      <c r="C377" s="20" t="s">
        <v>66</v>
      </c>
      <c r="D377" s="20" t="s">
        <v>63</v>
      </c>
      <c r="E377" s="110" t="str">
        <f>'МП пр.6'!B392</f>
        <v>7Р 0 02 00000</v>
      </c>
      <c r="F377" s="110"/>
      <c r="G377" s="199">
        <f>G384+G387+G390+G393+G378+G381</f>
        <v>62508</v>
      </c>
    </row>
    <row r="378" spans="1:7" ht="63.75">
      <c r="A378" s="238" t="s">
        <v>605</v>
      </c>
      <c r="B378" s="239" t="s">
        <v>274</v>
      </c>
      <c r="C378" s="240" t="s">
        <v>66</v>
      </c>
      <c r="D378" s="240" t="s">
        <v>63</v>
      </c>
      <c r="E378" s="240" t="s">
        <v>606</v>
      </c>
      <c r="F378" s="240"/>
      <c r="G378" s="237">
        <f>G379</f>
        <v>40.7</v>
      </c>
    </row>
    <row r="379" spans="1:7" ht="25.5">
      <c r="A379" s="241" t="s">
        <v>95</v>
      </c>
      <c r="B379" s="239" t="s">
        <v>274</v>
      </c>
      <c r="C379" s="240" t="s">
        <v>66</v>
      </c>
      <c r="D379" s="240" t="s">
        <v>63</v>
      </c>
      <c r="E379" s="240" t="s">
        <v>606</v>
      </c>
      <c r="F379" s="240" t="s">
        <v>96</v>
      </c>
      <c r="G379" s="237">
        <f>G380</f>
        <v>40.7</v>
      </c>
    </row>
    <row r="380" spans="1:7" ht="12.75">
      <c r="A380" s="241" t="s">
        <v>99</v>
      </c>
      <c r="B380" s="239" t="s">
        <v>274</v>
      </c>
      <c r="C380" s="240" t="s">
        <v>66</v>
      </c>
      <c r="D380" s="240" t="s">
        <v>63</v>
      </c>
      <c r="E380" s="240" t="s">
        <v>606</v>
      </c>
      <c r="F380" s="240" t="s">
        <v>100</v>
      </c>
      <c r="G380" s="237">
        <f>'МП пр.6'!G398</f>
        <v>40.7</v>
      </c>
    </row>
    <row r="381" spans="1:7" ht="51">
      <c r="A381" s="16" t="str">
        <f>'МП пр.6'!A403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381" s="126" t="s">
        <v>274</v>
      </c>
      <c r="C381" s="123" t="s">
        <v>66</v>
      </c>
      <c r="D381" s="123" t="s">
        <v>63</v>
      </c>
      <c r="E381" s="20" t="s">
        <v>617</v>
      </c>
      <c r="F381" s="123"/>
      <c r="G381" s="199">
        <f>G382</f>
        <v>10</v>
      </c>
    </row>
    <row r="382" spans="1:7" ht="25.5">
      <c r="A382" s="212" t="s">
        <v>95</v>
      </c>
      <c r="B382" s="126" t="s">
        <v>274</v>
      </c>
      <c r="C382" s="123" t="s">
        <v>66</v>
      </c>
      <c r="D382" s="123" t="s">
        <v>63</v>
      </c>
      <c r="E382" s="20" t="s">
        <v>617</v>
      </c>
      <c r="F382" s="123" t="s">
        <v>96</v>
      </c>
      <c r="G382" s="199">
        <f>G383</f>
        <v>10</v>
      </c>
    </row>
    <row r="383" spans="1:7" ht="12.75">
      <c r="A383" s="212" t="s">
        <v>99</v>
      </c>
      <c r="B383" s="126" t="s">
        <v>274</v>
      </c>
      <c r="C383" s="123" t="s">
        <v>66</v>
      </c>
      <c r="D383" s="123" t="s">
        <v>63</v>
      </c>
      <c r="E383" s="20" t="s">
        <v>617</v>
      </c>
      <c r="F383" s="123" t="s">
        <v>100</v>
      </c>
      <c r="G383" s="199">
        <f>'МП пр.6'!G408</f>
        <v>10</v>
      </c>
    </row>
    <row r="384" spans="1:7" ht="38.25">
      <c r="A384" s="232" t="str">
        <f>'МП пр.6'!A419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84" s="233" t="s">
        <v>274</v>
      </c>
      <c r="C384" s="234" t="s">
        <v>66</v>
      </c>
      <c r="D384" s="234" t="s">
        <v>63</v>
      </c>
      <c r="E384" s="236" t="str">
        <f>'МП пр.6'!B419</f>
        <v>7Р 0 02 74060</v>
      </c>
      <c r="F384" s="236"/>
      <c r="G384" s="237">
        <f>G385</f>
        <v>257.79999999999995</v>
      </c>
    </row>
    <row r="385" spans="1:7" ht="25.5">
      <c r="A385" s="232" t="s">
        <v>95</v>
      </c>
      <c r="B385" s="233" t="s">
        <v>274</v>
      </c>
      <c r="C385" s="234" t="s">
        <v>66</v>
      </c>
      <c r="D385" s="234" t="s">
        <v>63</v>
      </c>
      <c r="E385" s="236" t="s">
        <v>339</v>
      </c>
      <c r="F385" s="236" t="s">
        <v>96</v>
      </c>
      <c r="G385" s="237">
        <f>G386</f>
        <v>257.79999999999995</v>
      </c>
    </row>
    <row r="386" spans="1:7" ht="12.75">
      <c r="A386" s="232" t="s">
        <v>99</v>
      </c>
      <c r="B386" s="233" t="s">
        <v>274</v>
      </c>
      <c r="C386" s="234" t="s">
        <v>66</v>
      </c>
      <c r="D386" s="234" t="s">
        <v>63</v>
      </c>
      <c r="E386" s="236" t="s">
        <v>339</v>
      </c>
      <c r="F386" s="236" t="s">
        <v>100</v>
      </c>
      <c r="G386" s="237">
        <f>'МП пр.6'!G424</f>
        <v>257.79999999999995</v>
      </c>
    </row>
    <row r="387" spans="1:7" ht="38.25">
      <c r="A387" s="232" t="str">
        <f>'МП пр.6'!A434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87" s="233" t="s">
        <v>274</v>
      </c>
      <c r="C387" s="234" t="s">
        <v>66</v>
      </c>
      <c r="D387" s="234" t="s">
        <v>63</v>
      </c>
      <c r="E387" s="236" t="str">
        <f>'МП пр.6'!B434</f>
        <v>7Р 0 02 74070</v>
      </c>
      <c r="F387" s="236"/>
      <c r="G387" s="237">
        <f>G388</f>
        <v>1006</v>
      </c>
    </row>
    <row r="388" spans="1:7" ht="25.5">
      <c r="A388" s="232" t="s">
        <v>95</v>
      </c>
      <c r="B388" s="233" t="s">
        <v>274</v>
      </c>
      <c r="C388" s="234" t="s">
        <v>66</v>
      </c>
      <c r="D388" s="234" t="s">
        <v>63</v>
      </c>
      <c r="E388" s="236" t="s">
        <v>340</v>
      </c>
      <c r="F388" s="236" t="s">
        <v>96</v>
      </c>
      <c r="G388" s="237">
        <f>G389</f>
        <v>1006</v>
      </c>
    </row>
    <row r="389" spans="1:7" ht="12.75">
      <c r="A389" s="232" t="s">
        <v>99</v>
      </c>
      <c r="B389" s="233" t="s">
        <v>274</v>
      </c>
      <c r="C389" s="234" t="s">
        <v>66</v>
      </c>
      <c r="D389" s="234" t="s">
        <v>63</v>
      </c>
      <c r="E389" s="236" t="s">
        <v>340</v>
      </c>
      <c r="F389" s="236" t="s">
        <v>100</v>
      </c>
      <c r="G389" s="237">
        <f>'МП пр.6'!G439</f>
        <v>1006</v>
      </c>
    </row>
    <row r="390" spans="1:7" ht="38.25">
      <c r="A390" s="232" t="str">
        <f>'МП пр.6'!A449</f>
        <v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90" s="233" t="s">
        <v>274</v>
      </c>
      <c r="C390" s="234" t="s">
        <v>66</v>
      </c>
      <c r="D390" s="234" t="s">
        <v>63</v>
      </c>
      <c r="E390" s="236" t="str">
        <f>'МП пр.6'!B449</f>
        <v>7Р 0 02 74120</v>
      </c>
      <c r="F390" s="236"/>
      <c r="G390" s="237">
        <f>G391</f>
        <v>58976.9</v>
      </c>
    </row>
    <row r="391" spans="1:7" ht="25.5">
      <c r="A391" s="232" t="s">
        <v>95</v>
      </c>
      <c r="B391" s="233" t="s">
        <v>274</v>
      </c>
      <c r="C391" s="234" t="s">
        <v>66</v>
      </c>
      <c r="D391" s="234" t="s">
        <v>63</v>
      </c>
      <c r="E391" s="236" t="s">
        <v>341</v>
      </c>
      <c r="F391" s="236" t="s">
        <v>96</v>
      </c>
      <c r="G391" s="237">
        <f>G392</f>
        <v>58976.9</v>
      </c>
    </row>
    <row r="392" spans="1:7" ht="12.75">
      <c r="A392" s="232" t="s">
        <v>99</v>
      </c>
      <c r="B392" s="233" t="s">
        <v>274</v>
      </c>
      <c r="C392" s="234" t="s">
        <v>66</v>
      </c>
      <c r="D392" s="234" t="s">
        <v>63</v>
      </c>
      <c r="E392" s="236" t="s">
        <v>341</v>
      </c>
      <c r="F392" s="236" t="s">
        <v>100</v>
      </c>
      <c r="G392" s="237">
        <f>'МП пр.6'!G454</f>
        <v>58976.9</v>
      </c>
    </row>
    <row r="393" spans="1:7" ht="38.25">
      <c r="A393" s="232" t="str">
        <f>'МП пр.6'!A461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93" s="233" t="s">
        <v>274</v>
      </c>
      <c r="C393" s="234" t="s">
        <v>66</v>
      </c>
      <c r="D393" s="234" t="s">
        <v>63</v>
      </c>
      <c r="E393" s="236" t="str">
        <f>'МП пр.6'!B461</f>
        <v>7Р 0 02 75010</v>
      </c>
      <c r="F393" s="236"/>
      <c r="G393" s="237">
        <f>G394</f>
        <v>2216.6</v>
      </c>
    </row>
    <row r="394" spans="1:7" ht="25.5">
      <c r="A394" s="232" t="s">
        <v>95</v>
      </c>
      <c r="B394" s="233" t="s">
        <v>274</v>
      </c>
      <c r="C394" s="234" t="s">
        <v>66</v>
      </c>
      <c r="D394" s="234" t="s">
        <v>63</v>
      </c>
      <c r="E394" s="236" t="s">
        <v>342</v>
      </c>
      <c r="F394" s="236" t="s">
        <v>96</v>
      </c>
      <c r="G394" s="237">
        <f>G395</f>
        <v>2216.6</v>
      </c>
    </row>
    <row r="395" spans="1:7" ht="12.75">
      <c r="A395" s="232" t="s">
        <v>99</v>
      </c>
      <c r="B395" s="233" t="s">
        <v>274</v>
      </c>
      <c r="C395" s="234" t="s">
        <v>66</v>
      </c>
      <c r="D395" s="234" t="s">
        <v>63</v>
      </c>
      <c r="E395" s="236" t="s">
        <v>342</v>
      </c>
      <c r="F395" s="236" t="s">
        <v>100</v>
      </c>
      <c r="G395" s="237">
        <f>'МП пр.6'!G466</f>
        <v>2216.6</v>
      </c>
    </row>
    <row r="396" spans="1:7" ht="25.5">
      <c r="A396" s="29" t="str">
        <f>'МП пр.6'!A589</f>
        <v>Муниципальная  программа  "Здоровье обучающихся и воспитанников в Сусуманском городском округе  на 2018- 2022 годы"</v>
      </c>
      <c r="B396" s="19" t="s">
        <v>274</v>
      </c>
      <c r="C396" s="20" t="s">
        <v>66</v>
      </c>
      <c r="D396" s="20" t="s">
        <v>63</v>
      </c>
      <c r="E396" s="115" t="str">
        <f>'МП пр.6'!B589</f>
        <v xml:space="preserve">7Ю 0 00 00000 </v>
      </c>
      <c r="F396" s="110"/>
      <c r="G396" s="199">
        <f>G397</f>
        <v>75.4</v>
      </c>
    </row>
    <row r="397" spans="1:7" ht="25.5">
      <c r="A397" s="29" t="str">
        <f>'МП пр.6'!A590</f>
        <v>Основное мероприятие "Совершенствование системы укрепления здоровья учащихся и воспитанников образовательных учреждений"</v>
      </c>
      <c r="B397" s="19" t="s">
        <v>274</v>
      </c>
      <c r="C397" s="20" t="s">
        <v>66</v>
      </c>
      <c r="D397" s="20" t="s">
        <v>63</v>
      </c>
      <c r="E397" s="115" t="str">
        <f>'МП пр.6'!B590</f>
        <v xml:space="preserve">7Ю 0 01 00000 </v>
      </c>
      <c r="F397" s="110"/>
      <c r="G397" s="199">
        <f>G398</f>
        <v>75.4</v>
      </c>
    </row>
    <row r="398" spans="1:7" ht="12.75">
      <c r="A398" s="29" t="str">
        <f>'МП пр.6'!A591</f>
        <v>Укрепление материально- технической базы медицинских кабинетов</v>
      </c>
      <c r="B398" s="19" t="s">
        <v>274</v>
      </c>
      <c r="C398" s="20" t="s">
        <v>66</v>
      </c>
      <c r="D398" s="20" t="s">
        <v>63</v>
      </c>
      <c r="E398" s="115" t="str">
        <f>'МП пр.6'!B591</f>
        <v xml:space="preserve">7Ю 0 01 92520 </v>
      </c>
      <c r="F398" s="110"/>
      <c r="G398" s="199">
        <f>G399</f>
        <v>75.4</v>
      </c>
    </row>
    <row r="399" spans="1:7" ht="25.5">
      <c r="A399" s="16" t="s">
        <v>95</v>
      </c>
      <c r="B399" s="19" t="s">
        <v>274</v>
      </c>
      <c r="C399" s="20" t="s">
        <v>66</v>
      </c>
      <c r="D399" s="20" t="s">
        <v>63</v>
      </c>
      <c r="E399" s="115" t="s">
        <v>297</v>
      </c>
      <c r="F399" s="110" t="s">
        <v>96</v>
      </c>
      <c r="G399" s="199">
        <f>G400</f>
        <v>75.4</v>
      </c>
    </row>
    <row r="400" spans="1:7" ht="12.75">
      <c r="A400" s="16" t="s">
        <v>99</v>
      </c>
      <c r="B400" s="19" t="s">
        <v>274</v>
      </c>
      <c r="C400" s="20" t="s">
        <v>66</v>
      </c>
      <c r="D400" s="20" t="s">
        <v>63</v>
      </c>
      <c r="E400" s="115" t="s">
        <v>297</v>
      </c>
      <c r="F400" s="110" t="s">
        <v>100</v>
      </c>
      <c r="G400" s="199">
        <f>'МП пр.6'!G596</f>
        <v>75.4</v>
      </c>
    </row>
    <row r="401" spans="1:7" ht="12.75">
      <c r="A401" s="16" t="s">
        <v>56</v>
      </c>
      <c r="B401" s="19" t="s">
        <v>274</v>
      </c>
      <c r="C401" s="20" t="s">
        <v>66</v>
      </c>
      <c r="D401" s="20" t="s">
        <v>63</v>
      </c>
      <c r="E401" s="110" t="s">
        <v>503</v>
      </c>
      <c r="F401" s="110"/>
      <c r="G401" s="199">
        <f>G402+G405+G408</f>
        <v>13912.5</v>
      </c>
    </row>
    <row r="402" spans="1:7" ht="12.75">
      <c r="A402" s="16" t="s">
        <v>185</v>
      </c>
      <c r="B402" s="19" t="s">
        <v>274</v>
      </c>
      <c r="C402" s="20" t="s">
        <v>66</v>
      </c>
      <c r="D402" s="20" t="s">
        <v>63</v>
      </c>
      <c r="E402" s="110" t="s">
        <v>504</v>
      </c>
      <c r="F402" s="110"/>
      <c r="G402" s="199">
        <f>G403</f>
        <v>12281.5</v>
      </c>
    </row>
    <row r="403" spans="1:7" ht="25.5">
      <c r="A403" s="16" t="s">
        <v>95</v>
      </c>
      <c r="B403" s="19" t="s">
        <v>274</v>
      </c>
      <c r="C403" s="20" t="s">
        <v>66</v>
      </c>
      <c r="D403" s="20" t="s">
        <v>63</v>
      </c>
      <c r="E403" s="110" t="s">
        <v>504</v>
      </c>
      <c r="F403" s="110" t="s">
        <v>96</v>
      </c>
      <c r="G403" s="199">
        <f>G404</f>
        <v>12281.5</v>
      </c>
    </row>
    <row r="404" spans="1:7" ht="12.75">
      <c r="A404" s="16" t="s">
        <v>99</v>
      </c>
      <c r="B404" s="19" t="s">
        <v>274</v>
      </c>
      <c r="C404" s="20" t="s">
        <v>66</v>
      </c>
      <c r="D404" s="20" t="s">
        <v>63</v>
      </c>
      <c r="E404" s="110" t="s">
        <v>504</v>
      </c>
      <c r="F404" s="110" t="s">
        <v>100</v>
      </c>
      <c r="G404" s="199">
        <f>12571-289.5</f>
        <v>12281.5</v>
      </c>
    </row>
    <row r="405" spans="1:7" ht="51">
      <c r="A405" s="16" t="s">
        <v>204</v>
      </c>
      <c r="B405" s="19" t="s">
        <v>274</v>
      </c>
      <c r="C405" s="20" t="s">
        <v>66</v>
      </c>
      <c r="D405" s="20" t="s">
        <v>63</v>
      </c>
      <c r="E405" s="110" t="s">
        <v>505</v>
      </c>
      <c r="F405" s="110"/>
      <c r="G405" s="199">
        <f>G406</f>
        <v>1485</v>
      </c>
    </row>
    <row r="406" spans="1:7" ht="25.5">
      <c r="A406" s="16" t="s">
        <v>95</v>
      </c>
      <c r="B406" s="19" t="s">
        <v>274</v>
      </c>
      <c r="C406" s="20" t="s">
        <v>66</v>
      </c>
      <c r="D406" s="20" t="s">
        <v>63</v>
      </c>
      <c r="E406" s="110" t="s">
        <v>505</v>
      </c>
      <c r="F406" s="110" t="s">
        <v>96</v>
      </c>
      <c r="G406" s="199">
        <f>G407</f>
        <v>1485</v>
      </c>
    </row>
    <row r="407" spans="1:7" ht="12.75">
      <c r="A407" s="16" t="s">
        <v>99</v>
      </c>
      <c r="B407" s="19" t="s">
        <v>274</v>
      </c>
      <c r="C407" s="20" t="s">
        <v>66</v>
      </c>
      <c r="D407" s="20" t="s">
        <v>63</v>
      </c>
      <c r="E407" s="110" t="s">
        <v>505</v>
      </c>
      <c r="F407" s="110" t="s">
        <v>100</v>
      </c>
      <c r="G407" s="199">
        <f>1500-15</f>
        <v>1485</v>
      </c>
    </row>
    <row r="408" spans="1:7" ht="12.75">
      <c r="A408" s="16" t="s">
        <v>176</v>
      </c>
      <c r="B408" s="19" t="s">
        <v>274</v>
      </c>
      <c r="C408" s="20" t="s">
        <v>66</v>
      </c>
      <c r="D408" s="20" t="s">
        <v>63</v>
      </c>
      <c r="E408" s="110" t="s">
        <v>506</v>
      </c>
      <c r="F408" s="110"/>
      <c r="G408" s="199">
        <f>G409</f>
        <v>146</v>
      </c>
    </row>
    <row r="409" spans="1:7" ht="25.5">
      <c r="A409" s="16" t="s">
        <v>95</v>
      </c>
      <c r="B409" s="19" t="s">
        <v>274</v>
      </c>
      <c r="C409" s="20" t="s">
        <v>66</v>
      </c>
      <c r="D409" s="20" t="s">
        <v>63</v>
      </c>
      <c r="E409" s="110" t="s">
        <v>506</v>
      </c>
      <c r="F409" s="110" t="s">
        <v>96</v>
      </c>
      <c r="G409" s="199">
        <f>G410</f>
        <v>146</v>
      </c>
    </row>
    <row r="410" spans="1:7" ht="12.75">
      <c r="A410" s="16" t="s">
        <v>99</v>
      </c>
      <c r="B410" s="19" t="s">
        <v>274</v>
      </c>
      <c r="C410" s="20" t="s">
        <v>66</v>
      </c>
      <c r="D410" s="20" t="s">
        <v>63</v>
      </c>
      <c r="E410" s="110" t="s">
        <v>506</v>
      </c>
      <c r="F410" s="110" t="s">
        <v>100</v>
      </c>
      <c r="G410" s="199">
        <f>70+76</f>
        <v>146</v>
      </c>
    </row>
    <row r="411" spans="1:7" ht="12.75">
      <c r="A411" s="15" t="s">
        <v>10</v>
      </c>
      <c r="B411" s="37" t="s">
        <v>274</v>
      </c>
      <c r="C411" s="32" t="s">
        <v>66</v>
      </c>
      <c r="D411" s="32" t="s">
        <v>64</v>
      </c>
      <c r="E411" s="113"/>
      <c r="F411" s="113"/>
      <c r="G411" s="198">
        <f>G413+G421+G441+G468+G488</f>
        <v>197101.59999999998</v>
      </c>
    </row>
    <row r="412" spans="1:7" ht="12.75">
      <c r="A412" s="16" t="s">
        <v>478</v>
      </c>
      <c r="B412" s="19" t="s">
        <v>274</v>
      </c>
      <c r="C412" s="20" t="s">
        <v>66</v>
      </c>
      <c r="D412" s="20" t="s">
        <v>64</v>
      </c>
      <c r="E412" s="115" t="s">
        <v>479</v>
      </c>
      <c r="F412" s="110"/>
      <c r="G412" s="199">
        <f>G413+G421+G441+G468</f>
        <v>158064.4</v>
      </c>
    </row>
    <row r="413" spans="1:7" ht="25.5">
      <c r="A413" s="29" t="str">
        <f>'МП пр.6'!A17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413" s="19" t="s">
        <v>274</v>
      </c>
      <c r="C413" s="20" t="s">
        <v>66</v>
      </c>
      <c r="D413" s="19" t="s">
        <v>64</v>
      </c>
      <c r="E413" s="115" t="str">
        <f>'МП пр.6'!B17</f>
        <v xml:space="preserve">7Б 0 00 00000 </v>
      </c>
      <c r="F413" s="110"/>
      <c r="G413" s="199">
        <f>G414</f>
        <v>987.4</v>
      </c>
    </row>
    <row r="414" spans="1:7" ht="25.5">
      <c r="A414" s="29" t="str">
        <f>'МП пр.6'!A18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14" s="19" t="s">
        <v>274</v>
      </c>
      <c r="C414" s="20" t="s">
        <v>66</v>
      </c>
      <c r="D414" s="20" t="s">
        <v>64</v>
      </c>
      <c r="E414" s="115" t="str">
        <f>'МП пр.6'!B18</f>
        <v xml:space="preserve">7Б 0 01 00000 </v>
      </c>
      <c r="F414" s="110"/>
      <c r="G414" s="199">
        <f>G415+G418</f>
        <v>987.4</v>
      </c>
    </row>
    <row r="415" spans="1:7" ht="12.75">
      <c r="A415" s="29" t="str">
        <f>'МП пр.6'!A19</f>
        <v>Обслуживание систем видеонаблюдения, охранной сигнализации</v>
      </c>
      <c r="B415" s="19" t="s">
        <v>274</v>
      </c>
      <c r="C415" s="20" t="s">
        <v>66</v>
      </c>
      <c r="D415" s="20" t="s">
        <v>64</v>
      </c>
      <c r="E415" s="115" t="str">
        <f>'МП пр.6'!B19</f>
        <v xml:space="preserve">7Б 0 01 91600 </v>
      </c>
      <c r="F415" s="110"/>
      <c r="G415" s="199">
        <f>G416</f>
        <v>626.4</v>
      </c>
    </row>
    <row r="416" spans="1:7" ht="25.5">
      <c r="A416" s="16" t="s">
        <v>95</v>
      </c>
      <c r="B416" s="19" t="s">
        <v>274</v>
      </c>
      <c r="C416" s="20" t="s">
        <v>66</v>
      </c>
      <c r="D416" s="20" t="s">
        <v>64</v>
      </c>
      <c r="E416" s="115" t="s">
        <v>409</v>
      </c>
      <c r="F416" s="110" t="s">
        <v>96</v>
      </c>
      <c r="G416" s="199">
        <f>G417</f>
        <v>626.4</v>
      </c>
    </row>
    <row r="417" spans="1:7" ht="12.75">
      <c r="A417" s="16" t="s">
        <v>99</v>
      </c>
      <c r="B417" s="19" t="s">
        <v>274</v>
      </c>
      <c r="C417" s="20" t="s">
        <v>66</v>
      </c>
      <c r="D417" s="20" t="s">
        <v>64</v>
      </c>
      <c r="E417" s="115" t="s">
        <v>409</v>
      </c>
      <c r="F417" s="110" t="s">
        <v>100</v>
      </c>
      <c r="G417" s="199">
        <f>'МП пр.6'!G28</f>
        <v>626.4</v>
      </c>
    </row>
    <row r="418" spans="1:7" ht="12.75">
      <c r="A418" s="16" t="str">
        <f>'МП пр.6'!A39</f>
        <v>Установка пропускных систем</v>
      </c>
      <c r="B418" s="19" t="s">
        <v>274</v>
      </c>
      <c r="C418" s="20" t="s">
        <v>66</v>
      </c>
      <c r="D418" s="20" t="s">
        <v>64</v>
      </c>
      <c r="E418" s="115" t="str">
        <f>'МП пр.6'!B39</f>
        <v>7Б 0 01 93300</v>
      </c>
      <c r="F418" s="110"/>
      <c r="G418" s="199">
        <f>G419</f>
        <v>361</v>
      </c>
    </row>
    <row r="419" spans="1:7" ht="25.5">
      <c r="A419" s="16" t="s">
        <v>95</v>
      </c>
      <c r="B419" s="19" t="s">
        <v>274</v>
      </c>
      <c r="C419" s="20" t="s">
        <v>66</v>
      </c>
      <c r="D419" s="20" t="s">
        <v>64</v>
      </c>
      <c r="E419" s="115" t="str">
        <f>'МП пр.6'!B40</f>
        <v>7Б 0 01 93300</v>
      </c>
      <c r="F419" s="110" t="s">
        <v>96</v>
      </c>
      <c r="G419" s="199">
        <f>G420</f>
        <v>361</v>
      </c>
    </row>
    <row r="420" spans="1:7" ht="12.75">
      <c r="A420" s="16" t="s">
        <v>99</v>
      </c>
      <c r="B420" s="19" t="s">
        <v>274</v>
      </c>
      <c r="C420" s="20" t="s">
        <v>66</v>
      </c>
      <c r="D420" s="20" t="s">
        <v>64</v>
      </c>
      <c r="E420" s="115" t="str">
        <f>'МП пр.6'!B41</f>
        <v>7Б 0 01 93300</v>
      </c>
      <c r="F420" s="110" t="s">
        <v>100</v>
      </c>
      <c r="G420" s="199">
        <f>'МП пр.6'!G44</f>
        <v>361</v>
      </c>
    </row>
    <row r="421" spans="1:7" ht="25.5">
      <c r="A421" s="29" t="str">
        <f>'МП пр.6'!A257</f>
        <v>Муниципальная программа  "Пожарная безопасность в Сусуманском городском округе на 2018- 2022 годы"</v>
      </c>
      <c r="B421" s="19" t="s">
        <v>274</v>
      </c>
      <c r="C421" s="20" t="s">
        <v>66</v>
      </c>
      <c r="D421" s="20" t="s">
        <v>64</v>
      </c>
      <c r="E421" s="115" t="str">
        <f>'МП пр.6'!B257</f>
        <v xml:space="preserve">7П 0 00 00000 </v>
      </c>
      <c r="F421" s="110"/>
      <c r="G421" s="199">
        <f>G422</f>
        <v>1353</v>
      </c>
    </row>
    <row r="422" spans="1:7" ht="25.5">
      <c r="A422" s="29" t="str">
        <f>'МП пр.6'!A258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2" s="19" t="s">
        <v>274</v>
      </c>
      <c r="C422" s="20" t="s">
        <v>66</v>
      </c>
      <c r="D422" s="20" t="s">
        <v>64</v>
      </c>
      <c r="E422" s="115" t="str">
        <f>'МП пр.6'!B258</f>
        <v xml:space="preserve">7П 0 01 00000 </v>
      </c>
      <c r="F422" s="110"/>
      <c r="G422" s="199">
        <f>G423+G426+G429+G432+G435+G438</f>
        <v>1353</v>
      </c>
    </row>
    <row r="423" spans="1:7" ht="38.25">
      <c r="A423" s="29" t="str">
        <f>'МП пр.6'!A259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3" s="19" t="s">
        <v>274</v>
      </c>
      <c r="C423" s="20" t="s">
        <v>66</v>
      </c>
      <c r="D423" s="20" t="s">
        <v>64</v>
      </c>
      <c r="E423" s="115" t="str">
        <f>'МП пр.6'!B259</f>
        <v xml:space="preserve">7П 0 01 94100 </v>
      </c>
      <c r="F423" s="110"/>
      <c r="G423" s="199">
        <f>G424</f>
        <v>808.8</v>
      </c>
    </row>
    <row r="424" spans="1:7" ht="25.5">
      <c r="A424" s="16" t="s">
        <v>95</v>
      </c>
      <c r="B424" s="19" t="s">
        <v>274</v>
      </c>
      <c r="C424" s="20" t="s">
        <v>66</v>
      </c>
      <c r="D424" s="20" t="s">
        <v>64</v>
      </c>
      <c r="E424" s="115" t="s">
        <v>236</v>
      </c>
      <c r="F424" s="110" t="s">
        <v>96</v>
      </c>
      <c r="G424" s="199">
        <f>G425</f>
        <v>808.8</v>
      </c>
    </row>
    <row r="425" spans="1:7" ht="12.75">
      <c r="A425" s="16" t="s">
        <v>99</v>
      </c>
      <c r="B425" s="19" t="s">
        <v>274</v>
      </c>
      <c r="C425" s="20" t="s">
        <v>66</v>
      </c>
      <c r="D425" s="20" t="s">
        <v>64</v>
      </c>
      <c r="E425" s="115" t="s">
        <v>236</v>
      </c>
      <c r="F425" s="110" t="s">
        <v>100</v>
      </c>
      <c r="G425" s="199">
        <f>'МП пр.6'!G268</f>
        <v>808.8</v>
      </c>
    </row>
    <row r="426" spans="1:7" ht="12.75">
      <c r="A426" s="29" t="str">
        <f>'МП пр.6'!A284</f>
        <v>Обработка сгораемых конструкций огнезащитными составами</v>
      </c>
      <c r="B426" s="19" t="s">
        <v>274</v>
      </c>
      <c r="C426" s="20" t="s">
        <v>66</v>
      </c>
      <c r="D426" s="20" t="s">
        <v>64</v>
      </c>
      <c r="E426" s="115" t="str">
        <f>'МП пр.6'!B284</f>
        <v xml:space="preserve">7П 0 01 94200 </v>
      </c>
      <c r="F426" s="110"/>
      <c r="G426" s="199">
        <f>G427</f>
        <v>124.2</v>
      </c>
    </row>
    <row r="427" spans="1:7" ht="25.5">
      <c r="A427" s="16" t="s">
        <v>95</v>
      </c>
      <c r="B427" s="19" t="s">
        <v>274</v>
      </c>
      <c r="C427" s="20" t="s">
        <v>66</v>
      </c>
      <c r="D427" s="20" t="s">
        <v>64</v>
      </c>
      <c r="E427" s="115" t="s">
        <v>240</v>
      </c>
      <c r="F427" s="110" t="s">
        <v>96</v>
      </c>
      <c r="G427" s="199">
        <f>G428</f>
        <v>124.2</v>
      </c>
    </row>
    <row r="428" spans="1:7" ht="12.75">
      <c r="A428" s="16" t="s">
        <v>99</v>
      </c>
      <c r="B428" s="19" t="s">
        <v>274</v>
      </c>
      <c r="C428" s="20" t="s">
        <v>66</v>
      </c>
      <c r="D428" s="20" t="s">
        <v>64</v>
      </c>
      <c r="E428" s="115" t="s">
        <v>240</v>
      </c>
      <c r="F428" s="110" t="s">
        <v>100</v>
      </c>
      <c r="G428" s="199">
        <f>'МП пр.6'!G289</f>
        <v>124.2</v>
      </c>
    </row>
    <row r="429" spans="1:7" ht="12.75">
      <c r="A429" s="29" t="str">
        <f>'МП пр.6'!A319</f>
        <v>Проведение замеров сопротивления изоляции электросетей и электрооборудования</v>
      </c>
      <c r="B429" s="19" t="s">
        <v>274</v>
      </c>
      <c r="C429" s="20" t="s">
        <v>66</v>
      </c>
      <c r="D429" s="20" t="s">
        <v>64</v>
      </c>
      <c r="E429" s="115" t="str">
        <f>'МП пр.6'!B319</f>
        <v xml:space="preserve">7П 0 01 94400 </v>
      </c>
      <c r="F429" s="110"/>
      <c r="G429" s="199">
        <f>G430</f>
        <v>180.2</v>
      </c>
    </row>
    <row r="430" spans="1:7" ht="25.5">
      <c r="A430" s="16" t="s">
        <v>95</v>
      </c>
      <c r="B430" s="19" t="s">
        <v>274</v>
      </c>
      <c r="C430" s="20" t="s">
        <v>66</v>
      </c>
      <c r="D430" s="20" t="s">
        <v>64</v>
      </c>
      <c r="E430" s="115" t="s">
        <v>237</v>
      </c>
      <c r="F430" s="110" t="s">
        <v>96</v>
      </c>
      <c r="G430" s="199">
        <f>G431</f>
        <v>180.2</v>
      </c>
    </row>
    <row r="431" spans="1:7" ht="12.75">
      <c r="A431" s="16" t="s">
        <v>99</v>
      </c>
      <c r="B431" s="19" t="s">
        <v>274</v>
      </c>
      <c r="C431" s="20" t="s">
        <v>66</v>
      </c>
      <c r="D431" s="20" t="s">
        <v>64</v>
      </c>
      <c r="E431" s="115" t="s">
        <v>237</v>
      </c>
      <c r="F431" s="110" t="s">
        <v>100</v>
      </c>
      <c r="G431" s="199">
        <f>'МП пр.6'!G328</f>
        <v>180.2</v>
      </c>
    </row>
    <row r="432" spans="1:7" ht="25.5">
      <c r="A432" s="29" t="str">
        <f>'МП пр.6'!A338</f>
        <v>Проведение проверок исправности и ремонт систем противопожарного водоснабжения, приобретение и обслуживание гидрантов</v>
      </c>
      <c r="B432" s="19" t="s">
        <v>274</v>
      </c>
      <c r="C432" s="20" t="s">
        <v>66</v>
      </c>
      <c r="D432" s="20" t="s">
        <v>64</v>
      </c>
      <c r="E432" s="115" t="str">
        <f>'МП пр.6'!B338</f>
        <v xml:space="preserve">7П 0 01 94500 </v>
      </c>
      <c r="F432" s="110"/>
      <c r="G432" s="199">
        <f>G433</f>
        <v>65.5</v>
      </c>
    </row>
    <row r="433" spans="1:7" ht="25.5">
      <c r="A433" s="16" t="s">
        <v>95</v>
      </c>
      <c r="B433" s="19" t="s">
        <v>274</v>
      </c>
      <c r="C433" s="20" t="s">
        <v>66</v>
      </c>
      <c r="D433" s="20" t="s">
        <v>64</v>
      </c>
      <c r="E433" s="115" t="s">
        <v>238</v>
      </c>
      <c r="F433" s="110" t="s">
        <v>96</v>
      </c>
      <c r="G433" s="199">
        <f>G434</f>
        <v>65.5</v>
      </c>
    </row>
    <row r="434" spans="1:7" ht="12.75">
      <c r="A434" s="16" t="s">
        <v>99</v>
      </c>
      <c r="B434" s="19" t="s">
        <v>274</v>
      </c>
      <c r="C434" s="20" t="s">
        <v>66</v>
      </c>
      <c r="D434" s="20" t="s">
        <v>64</v>
      </c>
      <c r="E434" s="115" t="s">
        <v>238</v>
      </c>
      <c r="F434" s="110" t="s">
        <v>100</v>
      </c>
      <c r="G434" s="199">
        <f>'МП пр.6'!G347</f>
        <v>65.5</v>
      </c>
    </row>
    <row r="435" spans="1:7" ht="12.75">
      <c r="A435" s="16" t="s">
        <v>298</v>
      </c>
      <c r="B435" s="19" t="s">
        <v>274</v>
      </c>
      <c r="C435" s="20" t="s">
        <v>66</v>
      </c>
      <c r="D435" s="20" t="s">
        <v>64</v>
      </c>
      <c r="E435" s="115" t="s">
        <v>299</v>
      </c>
      <c r="F435" s="110"/>
      <c r="G435" s="199">
        <f>G436</f>
        <v>9</v>
      </c>
    </row>
    <row r="436" spans="1:7" ht="25.5">
      <c r="A436" s="16" t="s">
        <v>95</v>
      </c>
      <c r="B436" s="19" t="s">
        <v>274</v>
      </c>
      <c r="C436" s="20" t="s">
        <v>66</v>
      </c>
      <c r="D436" s="20" t="s">
        <v>64</v>
      </c>
      <c r="E436" s="115" t="s">
        <v>299</v>
      </c>
      <c r="F436" s="110" t="s">
        <v>96</v>
      </c>
      <c r="G436" s="199">
        <f>G437</f>
        <v>9</v>
      </c>
    </row>
    <row r="437" spans="1:7" ht="12.75">
      <c r="A437" s="16" t="s">
        <v>99</v>
      </c>
      <c r="B437" s="19" t="s">
        <v>274</v>
      </c>
      <c r="C437" s="20" t="s">
        <v>66</v>
      </c>
      <c r="D437" s="20" t="s">
        <v>64</v>
      </c>
      <c r="E437" s="115" t="s">
        <v>299</v>
      </c>
      <c r="F437" s="110" t="s">
        <v>100</v>
      </c>
      <c r="G437" s="199">
        <f>'МП пр.6'!G371</f>
        <v>9</v>
      </c>
    </row>
    <row r="438" spans="1:7" ht="12.75">
      <c r="A438" s="29" t="str">
        <f>'МП пр.6'!A372</f>
        <v>Установка противопожарных дверей на запасных выходах</v>
      </c>
      <c r="B438" s="19" t="s">
        <v>274</v>
      </c>
      <c r="C438" s="20" t="s">
        <v>66</v>
      </c>
      <c r="D438" s="20" t="s">
        <v>64</v>
      </c>
      <c r="E438" s="115" t="str">
        <f>'МП пр.6'!B372</f>
        <v>7П 0 01 94600</v>
      </c>
      <c r="F438" s="110"/>
      <c r="G438" s="199">
        <f>G439</f>
        <v>165.3</v>
      </c>
    </row>
    <row r="439" spans="1:7" ht="25.5">
      <c r="A439" s="16" t="s">
        <v>95</v>
      </c>
      <c r="B439" s="19" t="s">
        <v>274</v>
      </c>
      <c r="C439" s="20" t="s">
        <v>66</v>
      </c>
      <c r="D439" s="20" t="s">
        <v>64</v>
      </c>
      <c r="E439" s="115" t="s">
        <v>419</v>
      </c>
      <c r="F439" s="110" t="s">
        <v>96</v>
      </c>
      <c r="G439" s="199">
        <f>G440</f>
        <v>165.3</v>
      </c>
    </row>
    <row r="440" spans="1:7" ht="12.75">
      <c r="A440" s="16" t="s">
        <v>99</v>
      </c>
      <c r="B440" s="19" t="s">
        <v>274</v>
      </c>
      <c r="C440" s="20" t="s">
        <v>66</v>
      </c>
      <c r="D440" s="20" t="s">
        <v>64</v>
      </c>
      <c r="E440" s="115" t="s">
        <v>419</v>
      </c>
      <c r="F440" s="110" t="s">
        <v>100</v>
      </c>
      <c r="G440" s="199">
        <f>'МП пр.6'!G377</f>
        <v>165.3</v>
      </c>
    </row>
    <row r="441" spans="1:7" ht="25.5">
      <c r="A441" s="29" t="str">
        <f>'МП пр.6'!A384</f>
        <v>Муниципальная  программа  "Развитие образования в Сусуманском городском округе  на 2018- 2022 годы"</v>
      </c>
      <c r="B441" s="19" t="s">
        <v>274</v>
      </c>
      <c r="C441" s="20" t="s">
        <v>66</v>
      </c>
      <c r="D441" s="20" t="s">
        <v>64</v>
      </c>
      <c r="E441" s="110" t="str">
        <f>'МП пр.6'!B384</f>
        <v xml:space="preserve">7Р 0 00 00000 </v>
      </c>
      <c r="F441" s="113"/>
      <c r="G441" s="199">
        <f>G442+G464</f>
        <v>151672</v>
      </c>
    </row>
    <row r="442" spans="1:7" ht="12.75">
      <c r="A442" s="16" t="str">
        <f>'МП пр.6'!A392</f>
        <v>Основное мероприятие "Управление развитием отрасли образования"</v>
      </c>
      <c r="B442" s="19" t="s">
        <v>274</v>
      </c>
      <c r="C442" s="20" t="s">
        <v>66</v>
      </c>
      <c r="D442" s="20" t="s">
        <v>64</v>
      </c>
      <c r="E442" s="110" t="str">
        <f>'МП пр.6'!B392</f>
        <v>7Р 0 02 00000</v>
      </c>
      <c r="F442" s="113"/>
      <c r="G442" s="199">
        <f>G449+G452+G455+G458+G461+G443+G446</f>
        <v>151397</v>
      </c>
    </row>
    <row r="443" spans="1:7" ht="63.75">
      <c r="A443" s="238" t="s">
        <v>605</v>
      </c>
      <c r="B443" s="239" t="s">
        <v>274</v>
      </c>
      <c r="C443" s="240" t="s">
        <v>66</v>
      </c>
      <c r="D443" s="240" t="s">
        <v>64</v>
      </c>
      <c r="E443" s="240" t="s">
        <v>606</v>
      </c>
      <c r="F443" s="240"/>
      <c r="G443" s="237">
        <f>G444</f>
        <v>2.299999999999997</v>
      </c>
    </row>
    <row r="444" spans="1:7" ht="25.5">
      <c r="A444" s="241" t="s">
        <v>95</v>
      </c>
      <c r="B444" s="239" t="s">
        <v>274</v>
      </c>
      <c r="C444" s="240" t="s">
        <v>66</v>
      </c>
      <c r="D444" s="240" t="s">
        <v>64</v>
      </c>
      <c r="E444" s="240" t="s">
        <v>606</v>
      </c>
      <c r="F444" s="240" t="s">
        <v>96</v>
      </c>
      <c r="G444" s="237">
        <f>G445</f>
        <v>2.299999999999997</v>
      </c>
    </row>
    <row r="445" spans="1:7" ht="12.75">
      <c r="A445" s="241" t="s">
        <v>99</v>
      </c>
      <c r="B445" s="239" t="s">
        <v>274</v>
      </c>
      <c r="C445" s="240" t="s">
        <v>66</v>
      </c>
      <c r="D445" s="240" t="s">
        <v>64</v>
      </c>
      <c r="E445" s="240" t="s">
        <v>606</v>
      </c>
      <c r="F445" s="240" t="s">
        <v>100</v>
      </c>
      <c r="G445" s="237">
        <f>'МП пр.6'!G402</f>
        <v>2.299999999999997</v>
      </c>
    </row>
    <row r="446" spans="1:7" ht="51">
      <c r="A446" s="16" t="str">
        <f>'МП пр.6'!A403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446" s="126" t="s">
        <v>274</v>
      </c>
      <c r="C446" s="123" t="s">
        <v>66</v>
      </c>
      <c r="D446" s="123" t="s">
        <v>64</v>
      </c>
      <c r="E446" s="20" t="s">
        <v>617</v>
      </c>
      <c r="F446" s="123"/>
      <c r="G446" s="199">
        <f>G447</f>
        <v>10</v>
      </c>
    </row>
    <row r="447" spans="1:7" ht="25.5">
      <c r="A447" s="16" t="s">
        <v>95</v>
      </c>
      <c r="B447" s="126" t="s">
        <v>274</v>
      </c>
      <c r="C447" s="123" t="s">
        <v>66</v>
      </c>
      <c r="D447" s="123" t="s">
        <v>64</v>
      </c>
      <c r="E447" s="20" t="s">
        <v>617</v>
      </c>
      <c r="F447" s="123" t="s">
        <v>96</v>
      </c>
      <c r="G447" s="199">
        <f>G448</f>
        <v>10</v>
      </c>
    </row>
    <row r="448" spans="1:7" ht="12.75">
      <c r="A448" s="212" t="s">
        <v>99</v>
      </c>
      <c r="B448" s="126" t="s">
        <v>274</v>
      </c>
      <c r="C448" s="123" t="s">
        <v>66</v>
      </c>
      <c r="D448" s="123" t="s">
        <v>64</v>
      </c>
      <c r="E448" s="20" t="s">
        <v>617</v>
      </c>
      <c r="F448" s="123" t="s">
        <v>100</v>
      </c>
      <c r="G448" s="199">
        <f>'МП пр.6'!G412</f>
        <v>10</v>
      </c>
    </row>
    <row r="449" spans="1:7" ht="25.5">
      <c r="A449" s="232" t="str">
        <f>'МП пр.6'!A413</f>
        <v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49" s="233" t="s">
        <v>274</v>
      </c>
      <c r="C449" s="234" t="s">
        <v>66</v>
      </c>
      <c r="D449" s="234" t="s">
        <v>64</v>
      </c>
      <c r="E449" s="236" t="str">
        <f>'МП пр.6'!B413</f>
        <v>7Р 0 02 74050</v>
      </c>
      <c r="F449" s="236"/>
      <c r="G449" s="237">
        <f>G450</f>
        <v>141591.6</v>
      </c>
    </row>
    <row r="450" spans="1:7" ht="25.5">
      <c r="A450" s="232" t="s">
        <v>95</v>
      </c>
      <c r="B450" s="233" t="s">
        <v>274</v>
      </c>
      <c r="C450" s="234" t="s">
        <v>66</v>
      </c>
      <c r="D450" s="234" t="s">
        <v>64</v>
      </c>
      <c r="E450" s="236" t="s">
        <v>343</v>
      </c>
      <c r="F450" s="236" t="s">
        <v>96</v>
      </c>
      <c r="G450" s="237">
        <f>G451</f>
        <v>141591.6</v>
      </c>
    </row>
    <row r="451" spans="1:7" ht="12.75">
      <c r="A451" s="232" t="s">
        <v>99</v>
      </c>
      <c r="B451" s="233" t="s">
        <v>274</v>
      </c>
      <c r="C451" s="234" t="s">
        <v>66</v>
      </c>
      <c r="D451" s="234" t="s">
        <v>64</v>
      </c>
      <c r="E451" s="236" t="s">
        <v>343</v>
      </c>
      <c r="F451" s="236" t="s">
        <v>100</v>
      </c>
      <c r="G451" s="237">
        <f>125808.1+15783.5</f>
        <v>141591.6</v>
      </c>
    </row>
    <row r="452" spans="1:7" ht="38.25">
      <c r="A452" s="232" t="str">
        <f>'МП пр.6'!A419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52" s="233" t="s">
        <v>274</v>
      </c>
      <c r="C452" s="234" t="s">
        <v>66</v>
      </c>
      <c r="D452" s="234" t="s">
        <v>64</v>
      </c>
      <c r="E452" s="236" t="str">
        <f>'МП пр.6'!B419</f>
        <v>7Р 0 02 74060</v>
      </c>
      <c r="F452" s="236"/>
      <c r="G452" s="237">
        <f>G453</f>
        <v>994.9</v>
      </c>
    </row>
    <row r="453" spans="1:7" ht="25.5">
      <c r="A453" s="232" t="s">
        <v>95</v>
      </c>
      <c r="B453" s="233" t="s">
        <v>274</v>
      </c>
      <c r="C453" s="234" t="s">
        <v>66</v>
      </c>
      <c r="D453" s="234" t="s">
        <v>64</v>
      </c>
      <c r="E453" s="236" t="s">
        <v>339</v>
      </c>
      <c r="F453" s="236" t="s">
        <v>96</v>
      </c>
      <c r="G453" s="237">
        <f>G454</f>
        <v>994.9</v>
      </c>
    </row>
    <row r="454" spans="1:7" ht="12.75">
      <c r="A454" s="232" t="s">
        <v>99</v>
      </c>
      <c r="B454" s="233" t="s">
        <v>274</v>
      </c>
      <c r="C454" s="234" t="s">
        <v>66</v>
      </c>
      <c r="D454" s="234" t="s">
        <v>64</v>
      </c>
      <c r="E454" s="236" t="s">
        <v>339</v>
      </c>
      <c r="F454" s="236" t="s">
        <v>100</v>
      </c>
      <c r="G454" s="237">
        <f>'МП пр.6'!G428</f>
        <v>994.9</v>
      </c>
    </row>
    <row r="455" spans="1:7" ht="38.25">
      <c r="A455" s="232" t="str">
        <f>'МП пр.6'!A434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5" s="233" t="s">
        <v>274</v>
      </c>
      <c r="C455" s="234" t="s">
        <v>66</v>
      </c>
      <c r="D455" s="234" t="s">
        <v>64</v>
      </c>
      <c r="E455" s="236" t="str">
        <f>'МП пр.6'!B434</f>
        <v>7Р 0 02 74070</v>
      </c>
      <c r="F455" s="236"/>
      <c r="G455" s="237">
        <f>G456</f>
        <v>2588.5</v>
      </c>
    </row>
    <row r="456" spans="1:7" ht="25.5">
      <c r="A456" s="232" t="s">
        <v>95</v>
      </c>
      <c r="B456" s="233" t="s">
        <v>274</v>
      </c>
      <c r="C456" s="234" t="s">
        <v>66</v>
      </c>
      <c r="D456" s="234" t="s">
        <v>64</v>
      </c>
      <c r="E456" s="236" t="s">
        <v>340</v>
      </c>
      <c r="F456" s="236" t="s">
        <v>96</v>
      </c>
      <c r="G456" s="237">
        <f>G457</f>
        <v>2588.5</v>
      </c>
    </row>
    <row r="457" spans="1:7" ht="12.75">
      <c r="A457" s="232" t="s">
        <v>99</v>
      </c>
      <c r="B457" s="233" t="s">
        <v>274</v>
      </c>
      <c r="C457" s="234" t="s">
        <v>66</v>
      </c>
      <c r="D457" s="234" t="s">
        <v>64</v>
      </c>
      <c r="E457" s="236" t="s">
        <v>340</v>
      </c>
      <c r="F457" s="236" t="s">
        <v>100</v>
      </c>
      <c r="G457" s="237">
        <f>'МП пр.6'!G443</f>
        <v>2588.5</v>
      </c>
    </row>
    <row r="458" spans="1:7" ht="12.75">
      <c r="A458" s="232" t="str">
        <f>'МП пр.6'!A455</f>
        <v>Обеспечение ежемесячного денежного вознаграждения за классное руководство</v>
      </c>
      <c r="B458" s="233" t="s">
        <v>274</v>
      </c>
      <c r="C458" s="234" t="s">
        <v>66</v>
      </c>
      <c r="D458" s="234" t="s">
        <v>64</v>
      </c>
      <c r="E458" s="236" t="str">
        <f>'МП пр.6'!B455</f>
        <v>7Р 0 02 74130</v>
      </c>
      <c r="F458" s="236"/>
      <c r="G458" s="237">
        <f>G459</f>
        <v>1117.6000000000001</v>
      </c>
    </row>
    <row r="459" spans="1:7" ht="25.5">
      <c r="A459" s="232" t="s">
        <v>95</v>
      </c>
      <c r="B459" s="233" t="s">
        <v>274</v>
      </c>
      <c r="C459" s="234" t="s">
        <v>66</v>
      </c>
      <c r="D459" s="234" t="s">
        <v>64</v>
      </c>
      <c r="E459" s="236" t="s">
        <v>344</v>
      </c>
      <c r="F459" s="236" t="s">
        <v>96</v>
      </c>
      <c r="G459" s="237">
        <f>G460</f>
        <v>1117.6000000000001</v>
      </c>
    </row>
    <row r="460" spans="1:7" ht="12.75">
      <c r="A460" s="232" t="s">
        <v>99</v>
      </c>
      <c r="B460" s="233" t="s">
        <v>274</v>
      </c>
      <c r="C460" s="234" t="s">
        <v>66</v>
      </c>
      <c r="D460" s="234" t="s">
        <v>64</v>
      </c>
      <c r="E460" s="236" t="s">
        <v>344</v>
      </c>
      <c r="F460" s="236" t="s">
        <v>100</v>
      </c>
      <c r="G460" s="237">
        <f>'МП пр.6'!G460</f>
        <v>1117.6000000000001</v>
      </c>
    </row>
    <row r="461" spans="1:7" ht="38.25">
      <c r="A461" s="232" t="str">
        <f>'МП пр.6'!A461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61" s="233" t="s">
        <v>274</v>
      </c>
      <c r="C461" s="234" t="s">
        <v>66</v>
      </c>
      <c r="D461" s="234" t="s">
        <v>64</v>
      </c>
      <c r="E461" s="236" t="str">
        <f>'МП пр.6'!B461</f>
        <v>7Р 0 02 75010</v>
      </c>
      <c r="F461" s="236"/>
      <c r="G461" s="237">
        <f>G462</f>
        <v>5092.099999999999</v>
      </c>
    </row>
    <row r="462" spans="1:7" ht="25.5">
      <c r="A462" s="232" t="s">
        <v>95</v>
      </c>
      <c r="B462" s="233" t="s">
        <v>274</v>
      </c>
      <c r="C462" s="234" t="s">
        <v>66</v>
      </c>
      <c r="D462" s="234" t="s">
        <v>64</v>
      </c>
      <c r="E462" s="236" t="s">
        <v>342</v>
      </c>
      <c r="F462" s="236" t="s">
        <v>96</v>
      </c>
      <c r="G462" s="237">
        <f>G463</f>
        <v>5092.099999999999</v>
      </c>
    </row>
    <row r="463" spans="1:7" ht="12.75">
      <c r="A463" s="232" t="s">
        <v>99</v>
      </c>
      <c r="B463" s="233" t="s">
        <v>274</v>
      </c>
      <c r="C463" s="234" t="s">
        <v>66</v>
      </c>
      <c r="D463" s="234" t="s">
        <v>64</v>
      </c>
      <c r="E463" s="236" t="s">
        <v>342</v>
      </c>
      <c r="F463" s="236" t="s">
        <v>100</v>
      </c>
      <c r="G463" s="237">
        <f>'МП пр.6'!G470</f>
        <v>5092.099999999999</v>
      </c>
    </row>
    <row r="464" spans="1:7" ht="25.5">
      <c r="A464" s="16" t="str">
        <f>'МП пр.6'!A508</f>
        <v>Основное мероприятие "Формирование доступной среды в образовательных учреждениях Сусуманского городского округа"</v>
      </c>
      <c r="B464" s="19" t="s">
        <v>274</v>
      </c>
      <c r="C464" s="20" t="s">
        <v>66</v>
      </c>
      <c r="D464" s="20" t="s">
        <v>64</v>
      </c>
      <c r="E464" s="110" t="str">
        <f>'МП пр.6'!B508</f>
        <v>7Р 0 05 00000</v>
      </c>
      <c r="F464" s="110"/>
      <c r="G464" s="199">
        <f>G465</f>
        <v>275</v>
      </c>
    </row>
    <row r="465" spans="1:7" ht="25.5">
      <c r="A465" s="16" t="str">
        <f>'МП пр.6'!A509</f>
        <v xml:space="preserve">Адаптация социально- значимых объектов для инвалидов и маломобильных групп населения </v>
      </c>
      <c r="B465" s="19" t="s">
        <v>274</v>
      </c>
      <c r="C465" s="20" t="s">
        <v>66</v>
      </c>
      <c r="D465" s="20" t="s">
        <v>64</v>
      </c>
      <c r="E465" s="110" t="str">
        <f>'МП пр.6'!B509</f>
        <v>7Р 0 05 91500</v>
      </c>
      <c r="F465" s="110"/>
      <c r="G465" s="199">
        <f>G466</f>
        <v>275</v>
      </c>
    </row>
    <row r="466" spans="1:7" ht="25.5">
      <c r="A466" s="16" t="s">
        <v>95</v>
      </c>
      <c r="B466" s="19" t="s">
        <v>274</v>
      </c>
      <c r="C466" s="20" t="s">
        <v>66</v>
      </c>
      <c r="D466" s="20" t="s">
        <v>64</v>
      </c>
      <c r="E466" s="110" t="str">
        <f>'МП пр.6'!B510</f>
        <v>7Р 0 05 91500</v>
      </c>
      <c r="F466" s="110" t="s">
        <v>96</v>
      </c>
      <c r="G466" s="199">
        <f>G467</f>
        <v>275</v>
      </c>
    </row>
    <row r="467" spans="1:7" ht="12.75">
      <c r="A467" s="16" t="s">
        <v>99</v>
      </c>
      <c r="B467" s="19" t="s">
        <v>274</v>
      </c>
      <c r="C467" s="20" t="s">
        <v>66</v>
      </c>
      <c r="D467" s="20" t="s">
        <v>64</v>
      </c>
      <c r="E467" s="110" t="str">
        <f>'МП пр.6'!B511</f>
        <v>7Р 0 05 91500</v>
      </c>
      <c r="F467" s="110" t="s">
        <v>100</v>
      </c>
      <c r="G467" s="199">
        <f>'МП пр.6'!G514</f>
        <v>275</v>
      </c>
    </row>
    <row r="468" spans="1:7" ht="25.5">
      <c r="A468" s="29" t="str">
        <f>'МП пр.6'!A589</f>
        <v>Муниципальная  программа  "Здоровье обучающихся и воспитанников в Сусуманском городском округе  на 2018- 2022 годы"</v>
      </c>
      <c r="B468" s="19" t="s">
        <v>274</v>
      </c>
      <c r="C468" s="19" t="s">
        <v>66</v>
      </c>
      <c r="D468" s="19" t="s">
        <v>64</v>
      </c>
      <c r="E468" s="115" t="str">
        <f>'МП пр.6'!B589</f>
        <v xml:space="preserve">7Ю 0 00 00000 </v>
      </c>
      <c r="F468" s="115"/>
      <c r="G468" s="199">
        <f>G469</f>
        <v>4052.0000000000005</v>
      </c>
    </row>
    <row r="469" spans="1:7" ht="25.5">
      <c r="A469" s="29" t="str">
        <f>'МП пр.6'!A590</f>
        <v>Основное мероприятие "Совершенствование системы укрепления здоровья учащихся и воспитанников образовательных учреждений"</v>
      </c>
      <c r="B469" s="19" t="s">
        <v>274</v>
      </c>
      <c r="C469" s="20" t="s">
        <v>66</v>
      </c>
      <c r="D469" s="20" t="s">
        <v>64</v>
      </c>
      <c r="E469" s="115" t="str">
        <f>'МП пр.6'!B590</f>
        <v xml:space="preserve">7Ю 0 01 00000 </v>
      </c>
      <c r="F469" s="110"/>
      <c r="G469" s="199">
        <f>G470+G473+G476+G479+G485+G482</f>
        <v>4052.0000000000005</v>
      </c>
    </row>
    <row r="470" spans="1:7" ht="12.75">
      <c r="A470" s="29" t="str">
        <f>'МП пр.6'!A591</f>
        <v>Укрепление материально- технической базы медицинских кабинетов</v>
      </c>
      <c r="B470" s="19" t="s">
        <v>274</v>
      </c>
      <c r="C470" s="20" t="s">
        <v>66</v>
      </c>
      <c r="D470" s="20" t="s">
        <v>64</v>
      </c>
      <c r="E470" s="115" t="str">
        <f>'МП пр.6'!B591</f>
        <v xml:space="preserve">7Ю 0 01 92520 </v>
      </c>
      <c r="F470" s="110"/>
      <c r="G470" s="199">
        <f>G471</f>
        <v>113.30000000000001</v>
      </c>
    </row>
    <row r="471" spans="1:7" ht="25.5">
      <c r="A471" s="16" t="s">
        <v>95</v>
      </c>
      <c r="B471" s="19" t="s">
        <v>274</v>
      </c>
      <c r="C471" s="20" t="s">
        <v>66</v>
      </c>
      <c r="D471" s="20" t="s">
        <v>64</v>
      </c>
      <c r="E471" s="115" t="s">
        <v>297</v>
      </c>
      <c r="F471" s="110" t="s">
        <v>96</v>
      </c>
      <c r="G471" s="199">
        <f>G472</f>
        <v>113.30000000000001</v>
      </c>
    </row>
    <row r="472" spans="1:7" ht="12.75">
      <c r="A472" s="16" t="s">
        <v>99</v>
      </c>
      <c r="B472" s="19" t="s">
        <v>274</v>
      </c>
      <c r="C472" s="20" t="s">
        <v>66</v>
      </c>
      <c r="D472" s="20" t="s">
        <v>64</v>
      </c>
      <c r="E472" s="115" t="s">
        <v>297</v>
      </c>
      <c r="F472" s="110" t="s">
        <v>100</v>
      </c>
      <c r="G472" s="199">
        <f>'МП пр.6'!G600</f>
        <v>113.30000000000001</v>
      </c>
    </row>
    <row r="473" spans="1:7" ht="25.5">
      <c r="A473" s="232" t="str">
        <f>'МП пр.6'!A601</f>
        <v xml:space="preserve">Совершенствование системы укрепления здоровья учащихся в общеобразовательных учреждениях </v>
      </c>
      <c r="B473" s="233" t="s">
        <v>274</v>
      </c>
      <c r="C473" s="234" t="s">
        <v>66</v>
      </c>
      <c r="D473" s="234" t="s">
        <v>64</v>
      </c>
      <c r="E473" s="236" t="str">
        <f>'МП пр.6'!B601</f>
        <v>7Ю 0 01 73440</v>
      </c>
      <c r="F473" s="251"/>
      <c r="G473" s="237">
        <f>G474</f>
        <v>1248.2000000000003</v>
      </c>
    </row>
    <row r="474" spans="1:7" ht="25.5">
      <c r="A474" s="232" t="s">
        <v>95</v>
      </c>
      <c r="B474" s="233" t="s">
        <v>274</v>
      </c>
      <c r="C474" s="234" t="s">
        <v>66</v>
      </c>
      <c r="D474" s="234" t="s">
        <v>64</v>
      </c>
      <c r="E474" s="236" t="s">
        <v>300</v>
      </c>
      <c r="F474" s="236" t="s">
        <v>96</v>
      </c>
      <c r="G474" s="237">
        <f>G475</f>
        <v>1248.2000000000003</v>
      </c>
    </row>
    <row r="475" spans="1:7" ht="12.75">
      <c r="A475" s="232" t="s">
        <v>99</v>
      </c>
      <c r="B475" s="233" t="s">
        <v>274</v>
      </c>
      <c r="C475" s="234" t="s">
        <v>66</v>
      </c>
      <c r="D475" s="234" t="s">
        <v>64</v>
      </c>
      <c r="E475" s="236" t="s">
        <v>300</v>
      </c>
      <c r="F475" s="236" t="s">
        <v>100</v>
      </c>
      <c r="G475" s="237">
        <f>'МП пр.6'!G606</f>
        <v>1248.2000000000003</v>
      </c>
    </row>
    <row r="476" spans="1:7" ht="25.5">
      <c r="A476" s="16" t="str">
        <f>'МП пр.6'!A607</f>
        <v>Совершенствование системы укрепления здоровья учащихся в общеобразовательных учреждениях  за счет средств местного бюджета</v>
      </c>
      <c r="B476" s="19" t="s">
        <v>274</v>
      </c>
      <c r="C476" s="20" t="s">
        <v>66</v>
      </c>
      <c r="D476" s="20" t="s">
        <v>64</v>
      </c>
      <c r="E476" s="110" t="str">
        <f>'МП пр.6'!B607</f>
        <v>7Ю 0 01 S3440</v>
      </c>
      <c r="F476" s="110"/>
      <c r="G476" s="199">
        <f>G477</f>
        <v>1537.5</v>
      </c>
    </row>
    <row r="477" spans="1:7" ht="25.5">
      <c r="A477" s="16" t="s">
        <v>95</v>
      </c>
      <c r="B477" s="19" t="s">
        <v>274</v>
      </c>
      <c r="C477" s="20" t="s">
        <v>66</v>
      </c>
      <c r="D477" s="20" t="s">
        <v>64</v>
      </c>
      <c r="E477" s="110" t="s">
        <v>301</v>
      </c>
      <c r="F477" s="110" t="s">
        <v>96</v>
      </c>
      <c r="G477" s="199">
        <f>G478</f>
        <v>1537.5</v>
      </c>
    </row>
    <row r="478" spans="1:7" ht="12.75">
      <c r="A478" s="16" t="s">
        <v>99</v>
      </c>
      <c r="B478" s="19" t="s">
        <v>274</v>
      </c>
      <c r="C478" s="20" t="s">
        <v>66</v>
      </c>
      <c r="D478" s="20" t="s">
        <v>64</v>
      </c>
      <c r="E478" s="110" t="s">
        <v>301</v>
      </c>
      <c r="F478" s="110" t="s">
        <v>100</v>
      </c>
      <c r="G478" s="199">
        <f>'МП пр.6'!G612</f>
        <v>1537.5</v>
      </c>
    </row>
    <row r="479" spans="1:7" ht="25.5">
      <c r="A479" s="242" t="str">
        <f>'МП пр.6'!A613</f>
        <v xml:space="preserve">Расходы на питание (завтрак или полдник) детей из многодетных семей, обучающихся в общеобразовательных учреждениях </v>
      </c>
      <c r="B479" s="233" t="s">
        <v>274</v>
      </c>
      <c r="C479" s="234" t="s">
        <v>66</v>
      </c>
      <c r="D479" s="234" t="s">
        <v>64</v>
      </c>
      <c r="E479" s="235" t="str">
        <f>'МП пр.6'!B613</f>
        <v xml:space="preserve">7Ю 0 01 73950 </v>
      </c>
      <c r="F479" s="236"/>
      <c r="G479" s="237">
        <f>G480</f>
        <v>808.8</v>
      </c>
    </row>
    <row r="480" spans="1:7" ht="25.5">
      <c r="A480" s="232" t="s">
        <v>95</v>
      </c>
      <c r="B480" s="233" t="s">
        <v>274</v>
      </c>
      <c r="C480" s="234" t="s">
        <v>66</v>
      </c>
      <c r="D480" s="234" t="s">
        <v>64</v>
      </c>
      <c r="E480" s="235" t="s">
        <v>302</v>
      </c>
      <c r="F480" s="236" t="s">
        <v>96</v>
      </c>
      <c r="G480" s="237">
        <f>G481</f>
        <v>808.8</v>
      </c>
    </row>
    <row r="481" spans="1:7" ht="12.75">
      <c r="A481" s="232" t="s">
        <v>99</v>
      </c>
      <c r="B481" s="233" t="s">
        <v>274</v>
      </c>
      <c r="C481" s="234" t="s">
        <v>66</v>
      </c>
      <c r="D481" s="234" t="s">
        <v>64</v>
      </c>
      <c r="E481" s="235" t="s">
        <v>302</v>
      </c>
      <c r="F481" s="236" t="s">
        <v>100</v>
      </c>
      <c r="G481" s="237">
        <f>'МП пр.6'!G618</f>
        <v>808.8</v>
      </c>
    </row>
    <row r="482" spans="1:7" ht="25.5">
      <c r="A482" s="29" t="str">
        <f>'МП пр.6'!A619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82" s="19" t="s">
        <v>274</v>
      </c>
      <c r="C482" s="20" t="s">
        <v>66</v>
      </c>
      <c r="D482" s="20" t="s">
        <v>64</v>
      </c>
      <c r="E482" s="115" t="str">
        <f>'МП пр.6'!B619</f>
        <v xml:space="preserve">7Ю 0 01 S3950 </v>
      </c>
      <c r="F482" s="110"/>
      <c r="G482" s="199">
        <f>G483</f>
        <v>250.8</v>
      </c>
    </row>
    <row r="483" spans="1:7" ht="25.5">
      <c r="A483" s="16" t="s">
        <v>95</v>
      </c>
      <c r="B483" s="19" t="s">
        <v>274</v>
      </c>
      <c r="C483" s="20" t="s">
        <v>66</v>
      </c>
      <c r="D483" s="20" t="s">
        <v>64</v>
      </c>
      <c r="E483" s="115" t="s">
        <v>303</v>
      </c>
      <c r="F483" s="110" t="s">
        <v>96</v>
      </c>
      <c r="G483" s="199">
        <f>G484</f>
        <v>250.8</v>
      </c>
    </row>
    <row r="484" spans="1:7" ht="12.75">
      <c r="A484" s="16" t="s">
        <v>99</v>
      </c>
      <c r="B484" s="19" t="s">
        <v>274</v>
      </c>
      <c r="C484" s="20" t="s">
        <v>66</v>
      </c>
      <c r="D484" s="20" t="s">
        <v>64</v>
      </c>
      <c r="E484" s="115" t="s">
        <v>303</v>
      </c>
      <c r="F484" s="110" t="s">
        <v>100</v>
      </c>
      <c r="G484" s="199">
        <f>'МП пр.6'!G624</f>
        <v>250.8</v>
      </c>
    </row>
    <row r="485" spans="1:7" ht="12.75">
      <c r="A485" s="29" t="str">
        <f>'МП пр.6'!A625</f>
        <v>Проведение конкурсов, спартакиад, соревнований, акций и других мероприятий</v>
      </c>
      <c r="B485" s="19" t="s">
        <v>274</v>
      </c>
      <c r="C485" s="20" t="s">
        <v>66</v>
      </c>
      <c r="D485" s="20" t="s">
        <v>64</v>
      </c>
      <c r="E485" s="115" t="str">
        <f>'МП пр.6'!B625</f>
        <v xml:space="preserve">7Ю 0 01 93800 </v>
      </c>
      <c r="F485" s="110"/>
      <c r="G485" s="199">
        <f>G486</f>
        <v>93.4</v>
      </c>
    </row>
    <row r="486" spans="1:7" ht="25.5">
      <c r="A486" s="16" t="s">
        <v>95</v>
      </c>
      <c r="B486" s="19" t="s">
        <v>274</v>
      </c>
      <c r="C486" s="20" t="s">
        <v>66</v>
      </c>
      <c r="D486" s="20" t="s">
        <v>64</v>
      </c>
      <c r="E486" s="115" t="s">
        <v>239</v>
      </c>
      <c r="F486" s="110" t="s">
        <v>96</v>
      </c>
      <c r="G486" s="199">
        <f>G487</f>
        <v>93.4</v>
      </c>
    </row>
    <row r="487" spans="1:7" ht="12.75">
      <c r="A487" s="16" t="s">
        <v>99</v>
      </c>
      <c r="B487" s="19" t="s">
        <v>274</v>
      </c>
      <c r="C487" s="20" t="s">
        <v>66</v>
      </c>
      <c r="D487" s="20" t="s">
        <v>64</v>
      </c>
      <c r="E487" s="115" t="s">
        <v>239</v>
      </c>
      <c r="F487" s="110" t="s">
        <v>100</v>
      </c>
      <c r="G487" s="199">
        <f>'МП пр.6'!G630</f>
        <v>93.4</v>
      </c>
    </row>
    <row r="488" spans="1:7" ht="12.75">
      <c r="A488" s="16" t="s">
        <v>57</v>
      </c>
      <c r="B488" s="19" t="s">
        <v>274</v>
      </c>
      <c r="C488" s="20" t="s">
        <v>66</v>
      </c>
      <c r="D488" s="20" t="s">
        <v>64</v>
      </c>
      <c r="E488" s="110" t="s">
        <v>507</v>
      </c>
      <c r="F488" s="110"/>
      <c r="G488" s="199">
        <f>G489+G492+G495</f>
        <v>39037.2</v>
      </c>
    </row>
    <row r="489" spans="1:7" ht="12.75">
      <c r="A489" s="16" t="s">
        <v>185</v>
      </c>
      <c r="B489" s="19" t="s">
        <v>274</v>
      </c>
      <c r="C489" s="20" t="s">
        <v>66</v>
      </c>
      <c r="D489" s="20" t="s">
        <v>64</v>
      </c>
      <c r="E489" s="110" t="s">
        <v>508</v>
      </c>
      <c r="F489" s="110"/>
      <c r="G489" s="199">
        <f>G490</f>
        <v>35037</v>
      </c>
    </row>
    <row r="490" spans="1:7" ht="25.5">
      <c r="A490" s="16" t="s">
        <v>95</v>
      </c>
      <c r="B490" s="19" t="s">
        <v>274</v>
      </c>
      <c r="C490" s="20" t="s">
        <v>66</v>
      </c>
      <c r="D490" s="20" t="s">
        <v>64</v>
      </c>
      <c r="E490" s="110" t="s">
        <v>508</v>
      </c>
      <c r="F490" s="110" t="s">
        <v>96</v>
      </c>
      <c r="G490" s="199">
        <f>G491</f>
        <v>35037</v>
      </c>
    </row>
    <row r="491" spans="1:7" ht="12.75">
      <c r="A491" s="16" t="s">
        <v>99</v>
      </c>
      <c r="B491" s="19" t="s">
        <v>274</v>
      </c>
      <c r="C491" s="20" t="s">
        <v>66</v>
      </c>
      <c r="D491" s="20" t="s">
        <v>64</v>
      </c>
      <c r="E491" s="110" t="s">
        <v>508</v>
      </c>
      <c r="F491" s="110" t="s">
        <v>100</v>
      </c>
      <c r="G491" s="199">
        <f>33725+692+310+310</f>
        <v>35037</v>
      </c>
    </row>
    <row r="492" spans="1:7" ht="51">
      <c r="A492" s="16" t="s">
        <v>204</v>
      </c>
      <c r="B492" s="19" t="s">
        <v>274</v>
      </c>
      <c r="C492" s="20" t="s">
        <v>66</v>
      </c>
      <c r="D492" s="20" t="s">
        <v>64</v>
      </c>
      <c r="E492" s="110" t="s">
        <v>509</v>
      </c>
      <c r="F492" s="110"/>
      <c r="G492" s="199">
        <f>G493</f>
        <v>3387.2</v>
      </c>
    </row>
    <row r="493" spans="1:7" ht="25.5">
      <c r="A493" s="16" t="s">
        <v>95</v>
      </c>
      <c r="B493" s="19" t="s">
        <v>274</v>
      </c>
      <c r="C493" s="20" t="s">
        <v>66</v>
      </c>
      <c r="D493" s="20" t="s">
        <v>64</v>
      </c>
      <c r="E493" s="110" t="s">
        <v>509</v>
      </c>
      <c r="F493" s="110" t="s">
        <v>96</v>
      </c>
      <c r="G493" s="199">
        <f>G494</f>
        <v>3387.2</v>
      </c>
    </row>
    <row r="494" spans="1:7" ht="12.75">
      <c r="A494" s="16" t="s">
        <v>99</v>
      </c>
      <c r="B494" s="19" t="s">
        <v>274</v>
      </c>
      <c r="C494" s="20" t="s">
        <v>66</v>
      </c>
      <c r="D494" s="20" t="s">
        <v>64</v>
      </c>
      <c r="E494" s="110" t="s">
        <v>509</v>
      </c>
      <c r="F494" s="110" t="s">
        <v>100</v>
      </c>
      <c r="G494" s="199">
        <f>3900-512.8</f>
        <v>3387.2</v>
      </c>
    </row>
    <row r="495" spans="1:7" ht="12.75">
      <c r="A495" s="16" t="s">
        <v>176</v>
      </c>
      <c r="B495" s="19" t="s">
        <v>274</v>
      </c>
      <c r="C495" s="20" t="s">
        <v>66</v>
      </c>
      <c r="D495" s="20" t="s">
        <v>64</v>
      </c>
      <c r="E495" s="110" t="s">
        <v>510</v>
      </c>
      <c r="F495" s="110"/>
      <c r="G495" s="199">
        <f>G496</f>
        <v>613</v>
      </c>
    </row>
    <row r="496" spans="1:7" ht="25.5">
      <c r="A496" s="16" t="s">
        <v>95</v>
      </c>
      <c r="B496" s="19" t="s">
        <v>274</v>
      </c>
      <c r="C496" s="20" t="s">
        <v>66</v>
      </c>
      <c r="D496" s="20" t="s">
        <v>64</v>
      </c>
      <c r="E496" s="110" t="s">
        <v>510</v>
      </c>
      <c r="F496" s="110" t="s">
        <v>96</v>
      </c>
      <c r="G496" s="199">
        <f>G497</f>
        <v>613</v>
      </c>
    </row>
    <row r="497" spans="1:7" ht="12.75">
      <c r="A497" s="16" t="s">
        <v>99</v>
      </c>
      <c r="B497" s="19" t="s">
        <v>274</v>
      </c>
      <c r="C497" s="20" t="s">
        <v>66</v>
      </c>
      <c r="D497" s="20" t="s">
        <v>64</v>
      </c>
      <c r="E497" s="110" t="s">
        <v>510</v>
      </c>
      <c r="F497" s="110" t="s">
        <v>100</v>
      </c>
      <c r="G497" s="199">
        <f>1270-657</f>
        <v>613</v>
      </c>
    </row>
    <row r="498" spans="1:7" ht="12.75">
      <c r="A498" s="15" t="s">
        <v>304</v>
      </c>
      <c r="B498" s="37" t="s">
        <v>274</v>
      </c>
      <c r="C498" s="32" t="s">
        <v>66</v>
      </c>
      <c r="D498" s="32" t="s">
        <v>67</v>
      </c>
      <c r="E498" s="113"/>
      <c r="F498" s="113"/>
      <c r="G498" s="198">
        <f>G500+G508+G519+G530</f>
        <v>39696.200000000004</v>
      </c>
    </row>
    <row r="499" spans="1:7" ht="12.75">
      <c r="A499" s="16" t="s">
        <v>478</v>
      </c>
      <c r="B499" s="19" t="s">
        <v>274</v>
      </c>
      <c r="C499" s="20" t="s">
        <v>66</v>
      </c>
      <c r="D499" s="20" t="s">
        <v>67</v>
      </c>
      <c r="E499" s="115" t="s">
        <v>479</v>
      </c>
      <c r="F499" s="110"/>
      <c r="G499" s="199">
        <f>G500+G508+G519</f>
        <v>2381.9</v>
      </c>
    </row>
    <row r="500" spans="1:7" ht="25.5">
      <c r="A500" s="29" t="str">
        <f>'МП пр.6'!A17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500" s="19" t="s">
        <v>274</v>
      </c>
      <c r="C500" s="20" t="s">
        <v>66</v>
      </c>
      <c r="D500" s="19" t="s">
        <v>67</v>
      </c>
      <c r="E500" s="115" t="str">
        <f>'МП пр.6'!B17</f>
        <v xml:space="preserve">7Б 0 00 00000 </v>
      </c>
      <c r="F500" s="110"/>
      <c r="G500" s="199">
        <f>G501</f>
        <v>167.09999999999997</v>
      </c>
    </row>
    <row r="501" spans="1:7" ht="25.5">
      <c r="A501" s="29" t="str">
        <f>'МП пр.6'!A18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01" s="19" t="s">
        <v>274</v>
      </c>
      <c r="C501" s="20" t="s">
        <v>66</v>
      </c>
      <c r="D501" s="20" t="s">
        <v>67</v>
      </c>
      <c r="E501" s="115" t="str">
        <f>'МП пр.6'!B18</f>
        <v xml:space="preserve">7Б 0 01 00000 </v>
      </c>
      <c r="F501" s="110"/>
      <c r="G501" s="199">
        <f>G502+G505</f>
        <v>167.09999999999997</v>
      </c>
    </row>
    <row r="502" spans="1:7" ht="12.75">
      <c r="A502" s="29" t="str">
        <f>'МП пр.6'!A19</f>
        <v>Обслуживание систем видеонаблюдения, охранной сигнализации</v>
      </c>
      <c r="B502" s="19" t="s">
        <v>274</v>
      </c>
      <c r="C502" s="20" t="s">
        <v>66</v>
      </c>
      <c r="D502" s="20" t="s">
        <v>67</v>
      </c>
      <c r="E502" s="115" t="str">
        <f>'МП пр.6'!B19</f>
        <v xml:space="preserve">7Б 0 01 91600 </v>
      </c>
      <c r="F502" s="110"/>
      <c r="G502" s="199">
        <f>G503</f>
        <v>150.29999999999998</v>
      </c>
    </row>
    <row r="503" spans="1:7" ht="25.5">
      <c r="A503" s="16" t="s">
        <v>95</v>
      </c>
      <c r="B503" s="19" t="s">
        <v>274</v>
      </c>
      <c r="C503" s="20" t="s">
        <v>66</v>
      </c>
      <c r="D503" s="20" t="s">
        <v>67</v>
      </c>
      <c r="E503" s="115" t="s">
        <v>409</v>
      </c>
      <c r="F503" s="110" t="s">
        <v>96</v>
      </c>
      <c r="G503" s="199">
        <f>G504</f>
        <v>150.29999999999998</v>
      </c>
    </row>
    <row r="504" spans="1:7" ht="12.75">
      <c r="A504" s="16" t="s">
        <v>99</v>
      </c>
      <c r="B504" s="19" t="s">
        <v>274</v>
      </c>
      <c r="C504" s="20" t="s">
        <v>66</v>
      </c>
      <c r="D504" s="20" t="s">
        <v>67</v>
      </c>
      <c r="E504" s="115" t="s">
        <v>409</v>
      </c>
      <c r="F504" s="110" t="s">
        <v>100</v>
      </c>
      <c r="G504" s="199">
        <f>'МП пр.6'!G32</f>
        <v>150.29999999999998</v>
      </c>
    </row>
    <row r="505" spans="1:7" ht="12.75">
      <c r="A505" s="16" t="str">
        <f>'МП пр.6'!A33</f>
        <v xml:space="preserve">Укрепление материально- технической базы </v>
      </c>
      <c r="B505" s="19" t="s">
        <v>274</v>
      </c>
      <c r="C505" s="20" t="s">
        <v>66</v>
      </c>
      <c r="D505" s="20" t="s">
        <v>67</v>
      </c>
      <c r="E505" s="115" t="str">
        <f>'МП пр.6'!B33</f>
        <v>7Б 0 01 92500</v>
      </c>
      <c r="F505" s="110"/>
      <c r="G505" s="199">
        <f>G506</f>
        <v>16.799999999999997</v>
      </c>
    </row>
    <row r="506" spans="1:7" ht="25.5">
      <c r="A506" s="16" t="s">
        <v>95</v>
      </c>
      <c r="B506" s="19" t="s">
        <v>274</v>
      </c>
      <c r="C506" s="20" t="s">
        <v>66</v>
      </c>
      <c r="D506" s="20" t="s">
        <v>67</v>
      </c>
      <c r="E506" s="115" t="s">
        <v>411</v>
      </c>
      <c r="F506" s="110" t="s">
        <v>96</v>
      </c>
      <c r="G506" s="199">
        <f>G507</f>
        <v>16.799999999999997</v>
      </c>
    </row>
    <row r="507" spans="1:7" ht="12.75">
      <c r="A507" s="16" t="s">
        <v>99</v>
      </c>
      <c r="B507" s="19" t="s">
        <v>274</v>
      </c>
      <c r="C507" s="20" t="s">
        <v>66</v>
      </c>
      <c r="D507" s="20" t="s">
        <v>67</v>
      </c>
      <c r="E507" s="115" t="s">
        <v>411</v>
      </c>
      <c r="F507" s="110" t="s">
        <v>100</v>
      </c>
      <c r="G507" s="199">
        <f>'МП пр.6'!G38</f>
        <v>16.799999999999997</v>
      </c>
    </row>
    <row r="508" spans="1:7" ht="25.5">
      <c r="A508" s="29" t="str">
        <f>'МП пр.6'!A257</f>
        <v>Муниципальная программа  "Пожарная безопасность в Сусуманском городском округе на 2018- 2022 годы"</v>
      </c>
      <c r="B508" s="19" t="s">
        <v>274</v>
      </c>
      <c r="C508" s="20" t="s">
        <v>66</v>
      </c>
      <c r="D508" s="20" t="s">
        <v>67</v>
      </c>
      <c r="E508" s="115" t="str">
        <f>'МП пр.6'!B257</f>
        <v xml:space="preserve">7П 0 00 00000 </v>
      </c>
      <c r="F508" s="110"/>
      <c r="G508" s="199">
        <f>G509</f>
        <v>264.3</v>
      </c>
    </row>
    <row r="509" spans="1:7" ht="25.5">
      <c r="A509" s="29" t="str">
        <f>'МП пр.6'!A258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09" s="19" t="s">
        <v>274</v>
      </c>
      <c r="C509" s="20" t="s">
        <v>66</v>
      </c>
      <c r="D509" s="20" t="s">
        <v>67</v>
      </c>
      <c r="E509" s="115" t="str">
        <f>'МП пр.6'!B258</f>
        <v xml:space="preserve">7П 0 01 00000 </v>
      </c>
      <c r="F509" s="110"/>
      <c r="G509" s="199">
        <f>G510+G513+G516</f>
        <v>264.3</v>
      </c>
    </row>
    <row r="510" spans="1:7" ht="38.25">
      <c r="A510" s="29" t="str">
        <f>'МП пр.6'!A259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10" s="19" t="s">
        <v>274</v>
      </c>
      <c r="C510" s="20" t="s">
        <v>66</v>
      </c>
      <c r="D510" s="20" t="s">
        <v>67</v>
      </c>
      <c r="E510" s="115" t="str">
        <f>'МП пр.6'!B259</f>
        <v xml:space="preserve">7П 0 01 94100 </v>
      </c>
      <c r="F510" s="110"/>
      <c r="G510" s="199">
        <f>G511</f>
        <v>210.1</v>
      </c>
    </row>
    <row r="511" spans="1:7" ht="25.5">
      <c r="A511" s="16" t="s">
        <v>95</v>
      </c>
      <c r="B511" s="19" t="s">
        <v>274</v>
      </c>
      <c r="C511" s="20" t="s">
        <v>66</v>
      </c>
      <c r="D511" s="20" t="s">
        <v>67</v>
      </c>
      <c r="E511" s="115" t="s">
        <v>236</v>
      </c>
      <c r="F511" s="110" t="s">
        <v>96</v>
      </c>
      <c r="G511" s="199">
        <f>G512</f>
        <v>210.1</v>
      </c>
    </row>
    <row r="512" spans="1:7" ht="12.75">
      <c r="A512" s="16" t="s">
        <v>99</v>
      </c>
      <c r="B512" s="19" t="s">
        <v>274</v>
      </c>
      <c r="C512" s="20" t="s">
        <v>66</v>
      </c>
      <c r="D512" s="20" t="s">
        <v>67</v>
      </c>
      <c r="E512" s="115" t="s">
        <v>236</v>
      </c>
      <c r="F512" s="110" t="s">
        <v>100</v>
      </c>
      <c r="G512" s="199">
        <f>'МП пр.6'!G272</f>
        <v>210.1</v>
      </c>
    </row>
    <row r="513" spans="1:7" ht="12.75">
      <c r="A513" s="29" t="str">
        <f>'МП пр.6'!A319</f>
        <v>Проведение замеров сопротивления изоляции электросетей и электрооборудования</v>
      </c>
      <c r="B513" s="19" t="s">
        <v>274</v>
      </c>
      <c r="C513" s="20" t="s">
        <v>66</v>
      </c>
      <c r="D513" s="20" t="s">
        <v>67</v>
      </c>
      <c r="E513" s="115" t="str">
        <f>'МП пр.6'!B319</f>
        <v xml:space="preserve">7П 0 01 94400 </v>
      </c>
      <c r="F513" s="110"/>
      <c r="G513" s="199">
        <f>G514</f>
        <v>38.4</v>
      </c>
    </row>
    <row r="514" spans="1:7" ht="25.5">
      <c r="A514" s="16" t="s">
        <v>95</v>
      </c>
      <c r="B514" s="19" t="s">
        <v>274</v>
      </c>
      <c r="C514" s="20" t="s">
        <v>66</v>
      </c>
      <c r="D514" s="20" t="s">
        <v>67</v>
      </c>
      <c r="E514" s="115" t="s">
        <v>237</v>
      </c>
      <c r="F514" s="110" t="s">
        <v>96</v>
      </c>
      <c r="G514" s="199">
        <f>G515</f>
        <v>38.4</v>
      </c>
    </row>
    <row r="515" spans="1:7" ht="12.75">
      <c r="A515" s="16" t="s">
        <v>99</v>
      </c>
      <c r="B515" s="19" t="s">
        <v>274</v>
      </c>
      <c r="C515" s="20" t="s">
        <v>66</v>
      </c>
      <c r="D515" s="20" t="s">
        <v>67</v>
      </c>
      <c r="E515" s="115" t="s">
        <v>237</v>
      </c>
      <c r="F515" s="110" t="s">
        <v>100</v>
      </c>
      <c r="G515" s="199">
        <f>'МП пр.6'!G332</f>
        <v>38.4</v>
      </c>
    </row>
    <row r="516" spans="1:7" ht="25.5">
      <c r="A516" s="29" t="str">
        <f>'МП пр.6'!A338</f>
        <v>Проведение проверок исправности и ремонт систем противопожарного водоснабжения, приобретение и обслуживание гидрантов</v>
      </c>
      <c r="B516" s="19" t="s">
        <v>274</v>
      </c>
      <c r="C516" s="20" t="s">
        <v>66</v>
      </c>
      <c r="D516" s="20" t="s">
        <v>67</v>
      </c>
      <c r="E516" s="115" t="str">
        <f>'МП пр.6'!B338</f>
        <v xml:space="preserve">7П 0 01 94500 </v>
      </c>
      <c r="F516" s="110"/>
      <c r="G516" s="199">
        <f>G517</f>
        <v>15.8</v>
      </c>
    </row>
    <row r="517" spans="1:7" ht="25.5">
      <c r="A517" s="16" t="s">
        <v>95</v>
      </c>
      <c r="B517" s="19" t="s">
        <v>274</v>
      </c>
      <c r="C517" s="20" t="s">
        <v>66</v>
      </c>
      <c r="D517" s="20" t="s">
        <v>67</v>
      </c>
      <c r="E517" s="115" t="s">
        <v>238</v>
      </c>
      <c r="F517" s="110" t="s">
        <v>96</v>
      </c>
      <c r="G517" s="199">
        <f>G518</f>
        <v>15.8</v>
      </c>
    </row>
    <row r="518" spans="1:7" ht="12.75">
      <c r="A518" s="16" t="s">
        <v>99</v>
      </c>
      <c r="B518" s="19" t="s">
        <v>274</v>
      </c>
      <c r="C518" s="20" t="s">
        <v>66</v>
      </c>
      <c r="D518" s="20" t="s">
        <v>67</v>
      </c>
      <c r="E518" s="115" t="s">
        <v>238</v>
      </c>
      <c r="F518" s="110" t="s">
        <v>100</v>
      </c>
      <c r="G518" s="199">
        <f>'МП пр.6'!G351</f>
        <v>15.8</v>
      </c>
    </row>
    <row r="519" spans="1:7" ht="25.5">
      <c r="A519" s="29" t="str">
        <f>'МП пр.6'!A384</f>
        <v>Муниципальная  программа  "Развитие образования в Сусуманском городском округе  на 2018- 2022 годы"</v>
      </c>
      <c r="B519" s="19" t="s">
        <v>274</v>
      </c>
      <c r="C519" s="20" t="s">
        <v>66</v>
      </c>
      <c r="D519" s="20" t="s">
        <v>67</v>
      </c>
      <c r="E519" s="110" t="str">
        <f>'МП пр.6'!B384</f>
        <v xml:space="preserve">7Р 0 00 00000 </v>
      </c>
      <c r="F519" s="113"/>
      <c r="G519" s="199">
        <f>G520</f>
        <v>1950.5</v>
      </c>
    </row>
    <row r="520" spans="1:7" ht="12.75">
      <c r="A520" s="16" t="str">
        <f>'МП пр.6'!A392</f>
        <v>Основное мероприятие "Управление развитием отрасли образования"</v>
      </c>
      <c r="B520" s="19" t="s">
        <v>274</v>
      </c>
      <c r="C520" s="20" t="s">
        <v>66</v>
      </c>
      <c r="D520" s="20" t="s">
        <v>67</v>
      </c>
      <c r="E520" s="110" t="str">
        <f>'МП пр.6'!B392</f>
        <v>7Р 0 02 00000</v>
      </c>
      <c r="F520" s="113"/>
      <c r="G520" s="199">
        <f>G521+G524+G527</f>
        <v>1950.5</v>
      </c>
    </row>
    <row r="521" spans="1:7" ht="38.25">
      <c r="A521" s="232" t="str">
        <f>'МП пр.6'!A419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21" s="233" t="s">
        <v>274</v>
      </c>
      <c r="C521" s="234" t="s">
        <v>66</v>
      </c>
      <c r="D521" s="234" t="s">
        <v>67</v>
      </c>
      <c r="E521" s="236" t="str">
        <f>'МП пр.6'!B419</f>
        <v>7Р 0 02 74060</v>
      </c>
      <c r="F521" s="236"/>
      <c r="G521" s="237">
        <f>G522</f>
        <v>140.7</v>
      </c>
    </row>
    <row r="522" spans="1:7" ht="25.5">
      <c r="A522" s="232" t="s">
        <v>95</v>
      </c>
      <c r="B522" s="233" t="s">
        <v>274</v>
      </c>
      <c r="C522" s="234" t="s">
        <v>66</v>
      </c>
      <c r="D522" s="234" t="s">
        <v>67</v>
      </c>
      <c r="E522" s="236" t="s">
        <v>339</v>
      </c>
      <c r="F522" s="236" t="s">
        <v>96</v>
      </c>
      <c r="G522" s="237">
        <f>G523</f>
        <v>140.7</v>
      </c>
    </row>
    <row r="523" spans="1:7" ht="12.75">
      <c r="A523" s="232" t="s">
        <v>99</v>
      </c>
      <c r="B523" s="233" t="s">
        <v>274</v>
      </c>
      <c r="C523" s="234" t="s">
        <v>66</v>
      </c>
      <c r="D523" s="234" t="s">
        <v>67</v>
      </c>
      <c r="E523" s="236" t="s">
        <v>339</v>
      </c>
      <c r="F523" s="236" t="s">
        <v>100</v>
      </c>
      <c r="G523" s="237">
        <f>'МП пр.6'!G432</f>
        <v>140.7</v>
      </c>
    </row>
    <row r="524" spans="1:7" ht="38.25">
      <c r="A524" s="232" t="str">
        <f>'МП пр.6'!A434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24" s="233" t="s">
        <v>274</v>
      </c>
      <c r="C524" s="234" t="s">
        <v>66</v>
      </c>
      <c r="D524" s="234" t="s">
        <v>67</v>
      </c>
      <c r="E524" s="236" t="str">
        <f>'МП пр.6'!B434</f>
        <v>7Р 0 02 74070</v>
      </c>
      <c r="F524" s="236"/>
      <c r="G524" s="237">
        <f>G525</f>
        <v>659.8</v>
      </c>
    </row>
    <row r="525" spans="1:7" ht="25.5">
      <c r="A525" s="232" t="s">
        <v>95</v>
      </c>
      <c r="B525" s="233" t="s">
        <v>274</v>
      </c>
      <c r="C525" s="234" t="s">
        <v>66</v>
      </c>
      <c r="D525" s="234" t="s">
        <v>67</v>
      </c>
      <c r="E525" s="236" t="s">
        <v>340</v>
      </c>
      <c r="F525" s="236" t="s">
        <v>96</v>
      </c>
      <c r="G525" s="237">
        <f>G526</f>
        <v>659.8</v>
      </c>
    </row>
    <row r="526" spans="1:7" ht="12.75">
      <c r="A526" s="232" t="s">
        <v>99</v>
      </c>
      <c r="B526" s="233" t="s">
        <v>274</v>
      </c>
      <c r="C526" s="234" t="s">
        <v>66</v>
      </c>
      <c r="D526" s="234" t="s">
        <v>67</v>
      </c>
      <c r="E526" s="236" t="s">
        <v>340</v>
      </c>
      <c r="F526" s="236" t="s">
        <v>100</v>
      </c>
      <c r="G526" s="237">
        <f>'МП пр.6'!G447</f>
        <v>659.8</v>
      </c>
    </row>
    <row r="527" spans="1:7" ht="38.25">
      <c r="A527" s="232" t="str">
        <f>'МП пр.6'!A461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27" s="233" t="s">
        <v>274</v>
      </c>
      <c r="C527" s="234" t="s">
        <v>66</v>
      </c>
      <c r="D527" s="234" t="s">
        <v>67</v>
      </c>
      <c r="E527" s="236" t="str">
        <f>'МП пр.6'!B461</f>
        <v>7Р 0 02 75010</v>
      </c>
      <c r="F527" s="236"/>
      <c r="G527" s="237">
        <f>G528</f>
        <v>1150</v>
      </c>
    </row>
    <row r="528" spans="1:7" ht="25.5">
      <c r="A528" s="232" t="s">
        <v>95</v>
      </c>
      <c r="B528" s="233" t="s">
        <v>274</v>
      </c>
      <c r="C528" s="234" t="s">
        <v>66</v>
      </c>
      <c r="D528" s="234" t="s">
        <v>67</v>
      </c>
      <c r="E528" s="236" t="s">
        <v>342</v>
      </c>
      <c r="F528" s="236" t="s">
        <v>96</v>
      </c>
      <c r="G528" s="237">
        <f>G529</f>
        <v>1150</v>
      </c>
    </row>
    <row r="529" spans="1:7" ht="12.75">
      <c r="A529" s="232" t="s">
        <v>99</v>
      </c>
      <c r="B529" s="233" t="s">
        <v>274</v>
      </c>
      <c r="C529" s="234" t="s">
        <v>66</v>
      </c>
      <c r="D529" s="234" t="s">
        <v>67</v>
      </c>
      <c r="E529" s="236" t="s">
        <v>342</v>
      </c>
      <c r="F529" s="236" t="s">
        <v>100</v>
      </c>
      <c r="G529" s="237">
        <f>'МП пр.6'!G474</f>
        <v>1150</v>
      </c>
    </row>
    <row r="530" spans="1:7" ht="12.75">
      <c r="A530" s="16" t="s">
        <v>228</v>
      </c>
      <c r="B530" s="19" t="s">
        <v>274</v>
      </c>
      <c r="C530" s="20" t="s">
        <v>66</v>
      </c>
      <c r="D530" s="20" t="s">
        <v>67</v>
      </c>
      <c r="E530" s="110" t="s">
        <v>511</v>
      </c>
      <c r="F530" s="110"/>
      <c r="G530" s="199">
        <f>G531+G534+G537</f>
        <v>37314.3</v>
      </c>
    </row>
    <row r="531" spans="1:7" ht="12.75">
      <c r="A531" s="16" t="s">
        <v>185</v>
      </c>
      <c r="B531" s="19" t="s">
        <v>274</v>
      </c>
      <c r="C531" s="20" t="s">
        <v>66</v>
      </c>
      <c r="D531" s="20" t="s">
        <v>67</v>
      </c>
      <c r="E531" s="110" t="s">
        <v>512</v>
      </c>
      <c r="F531" s="110"/>
      <c r="G531" s="199">
        <f>G532</f>
        <v>36904.3</v>
      </c>
    </row>
    <row r="532" spans="1:7" ht="25.5">
      <c r="A532" s="16" t="s">
        <v>95</v>
      </c>
      <c r="B532" s="19" t="s">
        <v>274</v>
      </c>
      <c r="C532" s="20" t="s">
        <v>66</v>
      </c>
      <c r="D532" s="20" t="s">
        <v>67</v>
      </c>
      <c r="E532" s="110" t="s">
        <v>512</v>
      </c>
      <c r="F532" s="110" t="s">
        <v>96</v>
      </c>
      <c r="G532" s="199">
        <f>G533</f>
        <v>36904.3</v>
      </c>
    </row>
    <row r="533" spans="1:7" ht="12.75">
      <c r="A533" s="16" t="s">
        <v>99</v>
      </c>
      <c r="B533" s="19" t="s">
        <v>274</v>
      </c>
      <c r="C533" s="20" t="s">
        <v>66</v>
      </c>
      <c r="D533" s="20" t="s">
        <v>67</v>
      </c>
      <c r="E533" s="110" t="s">
        <v>512</v>
      </c>
      <c r="F533" s="110" t="s">
        <v>100</v>
      </c>
      <c r="G533" s="199">
        <f>32112.7+2951.8+1839.8</f>
        <v>36904.3</v>
      </c>
    </row>
    <row r="534" spans="1:7" ht="51">
      <c r="A534" s="16" t="s">
        <v>204</v>
      </c>
      <c r="B534" s="19" t="s">
        <v>274</v>
      </c>
      <c r="C534" s="20" t="s">
        <v>66</v>
      </c>
      <c r="D534" s="20" t="s">
        <v>67</v>
      </c>
      <c r="E534" s="110" t="s">
        <v>513</v>
      </c>
      <c r="F534" s="110"/>
      <c r="G534" s="199">
        <f>G535</f>
        <v>364</v>
      </c>
    </row>
    <row r="535" spans="1:7" ht="25.5">
      <c r="A535" s="16" t="s">
        <v>95</v>
      </c>
      <c r="B535" s="19" t="s">
        <v>274</v>
      </c>
      <c r="C535" s="20" t="s">
        <v>66</v>
      </c>
      <c r="D535" s="20" t="s">
        <v>67</v>
      </c>
      <c r="E535" s="110" t="s">
        <v>513</v>
      </c>
      <c r="F535" s="110" t="s">
        <v>96</v>
      </c>
      <c r="G535" s="199">
        <f>G536</f>
        <v>364</v>
      </c>
    </row>
    <row r="536" spans="1:7" ht="12.75">
      <c r="A536" s="16" t="s">
        <v>99</v>
      </c>
      <c r="B536" s="19" t="s">
        <v>274</v>
      </c>
      <c r="C536" s="20" t="s">
        <v>66</v>
      </c>
      <c r="D536" s="20" t="s">
        <v>67</v>
      </c>
      <c r="E536" s="110" t="s">
        <v>513</v>
      </c>
      <c r="F536" s="110" t="s">
        <v>100</v>
      </c>
      <c r="G536" s="199">
        <f>320+44</f>
        <v>364</v>
      </c>
    </row>
    <row r="537" spans="1:7" ht="12.75">
      <c r="A537" s="16" t="s">
        <v>176</v>
      </c>
      <c r="B537" s="19" t="s">
        <v>274</v>
      </c>
      <c r="C537" s="20" t="s">
        <v>66</v>
      </c>
      <c r="D537" s="20" t="s">
        <v>67</v>
      </c>
      <c r="E537" s="110" t="s">
        <v>514</v>
      </c>
      <c r="F537" s="110"/>
      <c r="G537" s="199">
        <f>G538</f>
        <v>46</v>
      </c>
    </row>
    <row r="538" spans="1:7" ht="25.5">
      <c r="A538" s="16" t="s">
        <v>95</v>
      </c>
      <c r="B538" s="19" t="s">
        <v>274</v>
      </c>
      <c r="C538" s="20" t="s">
        <v>66</v>
      </c>
      <c r="D538" s="20" t="s">
        <v>67</v>
      </c>
      <c r="E538" s="110" t="s">
        <v>514</v>
      </c>
      <c r="F538" s="110" t="s">
        <v>96</v>
      </c>
      <c r="G538" s="199">
        <f>G539</f>
        <v>46</v>
      </c>
    </row>
    <row r="539" spans="1:7" ht="14.45" customHeight="1">
      <c r="A539" s="16" t="s">
        <v>99</v>
      </c>
      <c r="B539" s="19" t="s">
        <v>274</v>
      </c>
      <c r="C539" s="20" t="s">
        <v>66</v>
      </c>
      <c r="D539" s="20" t="s">
        <v>67</v>
      </c>
      <c r="E539" s="110" t="s">
        <v>514</v>
      </c>
      <c r="F539" s="110" t="s">
        <v>100</v>
      </c>
      <c r="G539" s="199">
        <f>42+4</f>
        <v>46</v>
      </c>
    </row>
    <row r="540" spans="1:7" s="60" customFormat="1" ht="12.75">
      <c r="A540" s="14" t="s">
        <v>335</v>
      </c>
      <c r="B540" s="37" t="s">
        <v>274</v>
      </c>
      <c r="C540" s="32" t="s">
        <v>66</v>
      </c>
      <c r="D540" s="32" t="s">
        <v>66</v>
      </c>
      <c r="E540" s="113"/>
      <c r="F540" s="113"/>
      <c r="G540" s="198">
        <f>G542+G547+G557+G569</f>
        <v>9577.699999999999</v>
      </c>
    </row>
    <row r="541" spans="1:7" ht="12.75">
      <c r="A541" s="30" t="s">
        <v>478</v>
      </c>
      <c r="B541" s="19" t="s">
        <v>274</v>
      </c>
      <c r="C541" s="20" t="s">
        <v>66</v>
      </c>
      <c r="D541" s="20" t="s">
        <v>66</v>
      </c>
      <c r="E541" s="115" t="s">
        <v>479</v>
      </c>
      <c r="F541" s="110"/>
      <c r="G541" s="199">
        <f>G542+G547+G557+G569</f>
        <v>9577.699999999999</v>
      </c>
    </row>
    <row r="542" spans="1:7" ht="25.5">
      <c r="A542" s="29" t="str">
        <f>'МП пр.6'!A45</f>
        <v>Муниципальная программа "Патриотическое воспитание  жителей Сусуманского городского округа  на 2018- 2022 годы"</v>
      </c>
      <c r="B542" s="19" t="s">
        <v>274</v>
      </c>
      <c r="C542" s="20" t="s">
        <v>66</v>
      </c>
      <c r="D542" s="20" t="s">
        <v>66</v>
      </c>
      <c r="E542" s="115" t="str">
        <f>'МП пр.6'!B45</f>
        <v xml:space="preserve">7В 0 00 00000 </v>
      </c>
      <c r="F542" s="110"/>
      <c r="G542" s="199">
        <f>G543</f>
        <v>108.5</v>
      </c>
    </row>
    <row r="543" spans="1:7" ht="25.5">
      <c r="A543" s="29" t="str">
        <f>'МП пр.6'!A46</f>
        <v>Основное мероприятие "Организация работы по совершенствованию системы патриотического воспитания жителей"</v>
      </c>
      <c r="B543" s="19" t="s">
        <v>274</v>
      </c>
      <c r="C543" s="20" t="s">
        <v>66</v>
      </c>
      <c r="D543" s="20" t="s">
        <v>66</v>
      </c>
      <c r="E543" s="115" t="str">
        <f>'МП пр.6'!B46</f>
        <v xml:space="preserve">7В 0 01 00000 </v>
      </c>
      <c r="F543" s="110"/>
      <c r="G543" s="199">
        <f>G544</f>
        <v>108.5</v>
      </c>
    </row>
    <row r="544" spans="1:7" ht="12.75">
      <c r="A544" s="29" t="str">
        <f>'МП пр.6'!A47</f>
        <v>Мероприятия патриотической направленности</v>
      </c>
      <c r="B544" s="19" t="s">
        <v>274</v>
      </c>
      <c r="C544" s="20" t="s">
        <v>66</v>
      </c>
      <c r="D544" s="20" t="s">
        <v>66</v>
      </c>
      <c r="E544" s="115" t="str">
        <f>'МП пр.6'!B47</f>
        <v xml:space="preserve">7В 0 01 92400 </v>
      </c>
      <c r="F544" s="110"/>
      <c r="G544" s="199">
        <f>G545</f>
        <v>108.5</v>
      </c>
    </row>
    <row r="545" spans="1:7" ht="25.5">
      <c r="A545" s="16" t="s">
        <v>95</v>
      </c>
      <c r="B545" s="19" t="s">
        <v>274</v>
      </c>
      <c r="C545" s="20" t="s">
        <v>66</v>
      </c>
      <c r="D545" s="20" t="s">
        <v>66</v>
      </c>
      <c r="E545" s="115" t="s">
        <v>244</v>
      </c>
      <c r="F545" s="110" t="s">
        <v>96</v>
      </c>
      <c r="G545" s="199">
        <f>G546</f>
        <v>108.5</v>
      </c>
    </row>
    <row r="546" spans="1:7" ht="12.75">
      <c r="A546" s="16" t="s">
        <v>99</v>
      </c>
      <c r="B546" s="19" t="s">
        <v>274</v>
      </c>
      <c r="C546" s="20" t="s">
        <v>66</v>
      </c>
      <c r="D546" s="20" t="s">
        <v>66</v>
      </c>
      <c r="E546" s="115" t="s">
        <v>244</v>
      </c>
      <c r="F546" s="110" t="s">
        <v>100</v>
      </c>
      <c r="G546" s="199">
        <f>'МП пр.6'!G55</f>
        <v>108.5</v>
      </c>
    </row>
    <row r="547" spans="1:7" ht="12.75">
      <c r="A547" s="29" t="str">
        <f>'МП пр.6'!A101</f>
        <v>Муниципальная  программа "Одарённые дети  на 2018- 2022 годы"</v>
      </c>
      <c r="B547" s="19" t="s">
        <v>274</v>
      </c>
      <c r="C547" s="20" t="s">
        <v>66</v>
      </c>
      <c r="D547" s="20" t="s">
        <v>66</v>
      </c>
      <c r="E547" s="115" t="str">
        <f>'МП пр.6'!B101</f>
        <v xml:space="preserve">7Д 0 00 00000 </v>
      </c>
      <c r="F547" s="110"/>
      <c r="G547" s="199">
        <f>G548</f>
        <v>423.8</v>
      </c>
    </row>
    <row r="548" spans="1:7" ht="25.5">
      <c r="A548" s="29" t="str">
        <f>'МП пр.6'!A102</f>
        <v>Основное мероприятие "Создание условий для выявления, поддержки и развития одаренных детей"</v>
      </c>
      <c r="B548" s="19" t="s">
        <v>274</v>
      </c>
      <c r="C548" s="20" t="s">
        <v>66</v>
      </c>
      <c r="D548" s="20" t="s">
        <v>66</v>
      </c>
      <c r="E548" s="115" t="str">
        <f>'МП пр.6'!B102</f>
        <v xml:space="preserve">7Д 0 01 00000 </v>
      </c>
      <c r="F548" s="110"/>
      <c r="G548" s="199">
        <f>G549+G554</f>
        <v>423.8</v>
      </c>
    </row>
    <row r="549" spans="1:7" ht="12.75">
      <c r="A549" s="29" t="str">
        <f>'МП пр.6'!A103</f>
        <v xml:space="preserve">Осуществление поддержки одаренных детей </v>
      </c>
      <c r="B549" s="19" t="s">
        <v>274</v>
      </c>
      <c r="C549" s="20" t="s">
        <v>66</v>
      </c>
      <c r="D549" s="20" t="s">
        <v>66</v>
      </c>
      <c r="E549" s="115" t="str">
        <f>'МП пр.6'!B103</f>
        <v xml:space="preserve">7Д 0 01 92200 </v>
      </c>
      <c r="F549" s="110"/>
      <c r="G549" s="199">
        <f>G550+G552</f>
        <v>341.8</v>
      </c>
    </row>
    <row r="550" spans="1:7" ht="25.5">
      <c r="A550" s="16" t="s">
        <v>333</v>
      </c>
      <c r="B550" s="19" t="s">
        <v>274</v>
      </c>
      <c r="C550" s="20" t="s">
        <v>66</v>
      </c>
      <c r="D550" s="20" t="s">
        <v>66</v>
      </c>
      <c r="E550" s="115" t="s">
        <v>242</v>
      </c>
      <c r="F550" s="110" t="s">
        <v>94</v>
      </c>
      <c r="G550" s="199">
        <f>G551</f>
        <v>26.3</v>
      </c>
    </row>
    <row r="551" spans="1:7" ht="25.5">
      <c r="A551" s="16" t="s">
        <v>608</v>
      </c>
      <c r="B551" s="19" t="s">
        <v>274</v>
      </c>
      <c r="C551" s="20" t="s">
        <v>66</v>
      </c>
      <c r="D551" s="20" t="s">
        <v>66</v>
      </c>
      <c r="E551" s="115" t="s">
        <v>242</v>
      </c>
      <c r="F551" s="110" t="s">
        <v>91</v>
      </c>
      <c r="G551" s="199">
        <f>'МП пр.6'!G108</f>
        <v>26.3</v>
      </c>
    </row>
    <row r="552" spans="1:7" ht="12.75">
      <c r="A552" s="16" t="s">
        <v>101</v>
      </c>
      <c r="B552" s="19" t="s">
        <v>274</v>
      </c>
      <c r="C552" s="20" t="s">
        <v>66</v>
      </c>
      <c r="D552" s="20" t="s">
        <v>66</v>
      </c>
      <c r="E552" s="115" t="s">
        <v>242</v>
      </c>
      <c r="F552" s="110" t="s">
        <v>102</v>
      </c>
      <c r="G552" s="199">
        <f>G553</f>
        <v>315.5</v>
      </c>
    </row>
    <row r="553" spans="1:7" ht="12.75">
      <c r="A553" s="16" t="s">
        <v>124</v>
      </c>
      <c r="B553" s="19" t="s">
        <v>274</v>
      </c>
      <c r="C553" s="20" t="s">
        <v>66</v>
      </c>
      <c r="D553" s="20" t="s">
        <v>66</v>
      </c>
      <c r="E553" s="115" t="s">
        <v>242</v>
      </c>
      <c r="F553" s="110" t="s">
        <v>123</v>
      </c>
      <c r="G553" s="199">
        <f>'МП пр.6'!G111</f>
        <v>315.5</v>
      </c>
    </row>
    <row r="554" spans="1:7" ht="12.75">
      <c r="A554" s="16" t="str">
        <f>'МП пр.6'!A112</f>
        <v>Проведение слетов, научных конференций, олимпиад</v>
      </c>
      <c r="B554" s="19" t="s">
        <v>274</v>
      </c>
      <c r="C554" s="20" t="s">
        <v>66</v>
      </c>
      <c r="D554" s="20" t="s">
        <v>66</v>
      </c>
      <c r="E554" s="115" t="str">
        <f>'МП пр.6'!B112</f>
        <v>7Д 0 01 92210</v>
      </c>
      <c r="F554" s="110"/>
      <c r="G554" s="199">
        <f>G555</f>
        <v>82</v>
      </c>
    </row>
    <row r="555" spans="1:7" ht="25.5">
      <c r="A555" s="16" t="s">
        <v>333</v>
      </c>
      <c r="B555" s="19" t="s">
        <v>274</v>
      </c>
      <c r="C555" s="20" t="s">
        <v>66</v>
      </c>
      <c r="D555" s="20" t="s">
        <v>66</v>
      </c>
      <c r="E555" s="115" t="s">
        <v>306</v>
      </c>
      <c r="F555" s="110" t="s">
        <v>94</v>
      </c>
      <c r="G555" s="199">
        <f>G556</f>
        <v>82</v>
      </c>
    </row>
    <row r="556" spans="1:7" ht="25.5">
      <c r="A556" s="16" t="s">
        <v>608</v>
      </c>
      <c r="B556" s="19" t="s">
        <v>274</v>
      </c>
      <c r="C556" s="20" t="s">
        <v>66</v>
      </c>
      <c r="D556" s="20" t="s">
        <v>66</v>
      </c>
      <c r="E556" s="115" t="s">
        <v>306</v>
      </c>
      <c r="F556" s="110" t="s">
        <v>91</v>
      </c>
      <c r="G556" s="199">
        <f>'МП пр.6'!G117</f>
        <v>82</v>
      </c>
    </row>
    <row r="557" spans="1:7" ht="12.75">
      <c r="A557" s="29" t="str">
        <f>'МП пр.6'!A186</f>
        <v>Муниципальная программа "Лето-детям  на 2018- 2022 годы"</v>
      </c>
      <c r="B557" s="19" t="s">
        <v>274</v>
      </c>
      <c r="C557" s="20" t="s">
        <v>66</v>
      </c>
      <c r="D557" s="20" t="s">
        <v>66</v>
      </c>
      <c r="E557" s="115" t="str">
        <f>'МП пр.6'!B186</f>
        <v xml:space="preserve">7Л 0 00 00000 </v>
      </c>
      <c r="F557" s="110"/>
      <c r="G557" s="199">
        <f>G558+G565</f>
        <v>8875.1</v>
      </c>
    </row>
    <row r="558" spans="1:7" ht="25.5">
      <c r="A558" s="29" t="str">
        <f>'МП пр.6'!A187</f>
        <v>Основное мероприятие "Организация и обеспечение отдыха и оздоровления детей и подростков"</v>
      </c>
      <c r="B558" s="19" t="s">
        <v>274</v>
      </c>
      <c r="C558" s="20" t="s">
        <v>66</v>
      </c>
      <c r="D558" s="20" t="s">
        <v>66</v>
      </c>
      <c r="E558" s="115" t="str">
        <f>'МП пр.6'!B187</f>
        <v xml:space="preserve">7Л 0 01 00000 </v>
      </c>
      <c r="F558" s="110"/>
      <c r="G558" s="199">
        <f>G559+G562</f>
        <v>7800.900000000001</v>
      </c>
    </row>
    <row r="559" spans="1:7" ht="12.75">
      <c r="A559" s="232" t="str">
        <f>'МП пр.6'!A188</f>
        <v xml:space="preserve">Организация отдыха и оздоровления детей в лагерях дневного пребывания </v>
      </c>
      <c r="B559" s="233" t="s">
        <v>274</v>
      </c>
      <c r="C559" s="234" t="s">
        <v>66</v>
      </c>
      <c r="D559" s="234" t="s">
        <v>66</v>
      </c>
      <c r="E559" s="235" t="str">
        <f>'МП пр.6'!B188</f>
        <v xml:space="preserve">7Л 0 01 73210 </v>
      </c>
      <c r="F559" s="236"/>
      <c r="G559" s="237">
        <f>G560</f>
        <v>4364.6</v>
      </c>
    </row>
    <row r="560" spans="1:7" ht="25.5">
      <c r="A560" s="232" t="s">
        <v>95</v>
      </c>
      <c r="B560" s="233" t="s">
        <v>274</v>
      </c>
      <c r="C560" s="234" t="s">
        <v>66</v>
      </c>
      <c r="D560" s="234" t="s">
        <v>66</v>
      </c>
      <c r="E560" s="235" t="s">
        <v>307</v>
      </c>
      <c r="F560" s="236" t="s">
        <v>96</v>
      </c>
      <c r="G560" s="237">
        <f>G561</f>
        <v>4364.6</v>
      </c>
    </row>
    <row r="561" spans="1:7" ht="12.75">
      <c r="A561" s="232" t="s">
        <v>99</v>
      </c>
      <c r="B561" s="233" t="s">
        <v>274</v>
      </c>
      <c r="C561" s="234" t="s">
        <v>66</v>
      </c>
      <c r="D561" s="234" t="s">
        <v>66</v>
      </c>
      <c r="E561" s="235" t="s">
        <v>307</v>
      </c>
      <c r="F561" s="236" t="s">
        <v>100</v>
      </c>
      <c r="G561" s="237">
        <f>'МП пр.6'!G193</f>
        <v>4364.6</v>
      </c>
    </row>
    <row r="562" spans="1:7" s="60" customFormat="1" ht="25.5">
      <c r="A562" s="16" t="str">
        <f>'МП пр.6'!A194</f>
        <v>Организация отдыха и оздоровления детей в лагерях дневного пребывания  за счет средств местного бюджета</v>
      </c>
      <c r="B562" s="19" t="s">
        <v>274</v>
      </c>
      <c r="C562" s="20" t="s">
        <v>66</v>
      </c>
      <c r="D562" s="20" t="s">
        <v>66</v>
      </c>
      <c r="E562" s="115" t="str">
        <f>'МП пр.6'!B194</f>
        <v xml:space="preserve">7Л 0 01 S3210 </v>
      </c>
      <c r="F562" s="110"/>
      <c r="G562" s="199">
        <f>G563</f>
        <v>3436.3</v>
      </c>
    </row>
    <row r="563" spans="1:7" ht="25.5">
      <c r="A563" s="16" t="s">
        <v>95</v>
      </c>
      <c r="B563" s="19" t="s">
        <v>274</v>
      </c>
      <c r="C563" s="20" t="s">
        <v>66</v>
      </c>
      <c r="D563" s="20" t="s">
        <v>66</v>
      </c>
      <c r="E563" s="115" t="s">
        <v>308</v>
      </c>
      <c r="F563" s="110" t="s">
        <v>96</v>
      </c>
      <c r="G563" s="199">
        <f>G564</f>
        <v>3436.3</v>
      </c>
    </row>
    <row r="564" spans="1:7" ht="12.75">
      <c r="A564" s="16" t="s">
        <v>99</v>
      </c>
      <c r="B564" s="19" t="s">
        <v>274</v>
      </c>
      <c r="C564" s="20" t="s">
        <v>66</v>
      </c>
      <c r="D564" s="20" t="s">
        <v>66</v>
      </c>
      <c r="E564" s="115" t="s">
        <v>308</v>
      </c>
      <c r="F564" s="110" t="s">
        <v>100</v>
      </c>
      <c r="G564" s="199">
        <f>'МП пр.6'!G199</f>
        <v>3436.3</v>
      </c>
    </row>
    <row r="565" spans="1:7" ht="25.5">
      <c r="A565" s="16" t="str">
        <f>'МП пр.6'!A200</f>
        <v>Основное мероприятие "Создание временных дополнительных рабочих мест для трудоустройства несовершеннолетних в летний период"</v>
      </c>
      <c r="B565" s="19" t="s">
        <v>274</v>
      </c>
      <c r="C565" s="20" t="s">
        <v>66</v>
      </c>
      <c r="D565" s="20" t="s">
        <v>66</v>
      </c>
      <c r="E565" s="115" t="str">
        <f>'МП пр.6'!B200</f>
        <v xml:space="preserve">7Л 0 02 00000 </v>
      </c>
      <c r="F565" s="110"/>
      <c r="G565" s="199">
        <f>G566</f>
        <v>1074.2</v>
      </c>
    </row>
    <row r="566" spans="1:7" ht="12.75">
      <c r="A566" s="16" t="str">
        <f>'МП пр.6'!A201</f>
        <v>Расходы на выплаты по оплате труда несовершеннолетних граждан</v>
      </c>
      <c r="B566" s="19" t="s">
        <v>274</v>
      </c>
      <c r="C566" s="20" t="s">
        <v>66</v>
      </c>
      <c r="D566" s="20" t="s">
        <v>66</v>
      </c>
      <c r="E566" s="115" t="str">
        <f>'МП пр.6'!B201</f>
        <v xml:space="preserve">7Л 0 02 92300 </v>
      </c>
      <c r="F566" s="110"/>
      <c r="G566" s="199">
        <f>G567</f>
        <v>1074.2</v>
      </c>
    </row>
    <row r="567" spans="1:7" ht="25.5">
      <c r="A567" s="16" t="s">
        <v>95</v>
      </c>
      <c r="B567" s="19" t="s">
        <v>274</v>
      </c>
      <c r="C567" s="20" t="s">
        <v>66</v>
      </c>
      <c r="D567" s="20" t="s">
        <v>66</v>
      </c>
      <c r="E567" s="115" t="str">
        <f>'МП пр.6'!B202</f>
        <v xml:space="preserve">7Л 0 02 92300 </v>
      </c>
      <c r="F567" s="110" t="s">
        <v>96</v>
      </c>
      <c r="G567" s="199">
        <f>G568</f>
        <v>1074.2</v>
      </c>
    </row>
    <row r="568" spans="1:7" ht="12.75">
      <c r="A568" s="16" t="s">
        <v>99</v>
      </c>
      <c r="B568" s="19" t="s">
        <v>274</v>
      </c>
      <c r="C568" s="20" t="s">
        <v>66</v>
      </c>
      <c r="D568" s="20" t="s">
        <v>66</v>
      </c>
      <c r="E568" s="115" t="str">
        <f>'МП пр.6'!B203</f>
        <v xml:space="preserve">7Л 0 02 92300 </v>
      </c>
      <c r="F568" s="110" t="s">
        <v>100</v>
      </c>
      <c r="G568" s="199">
        <f>'МП пр.6'!G206</f>
        <v>1074.2</v>
      </c>
    </row>
    <row r="569" spans="1:7" ht="25.5">
      <c r="A569" s="29" t="str">
        <f>'МП пр.6'!A522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569" s="19" t="s">
        <v>274</v>
      </c>
      <c r="C569" s="20" t="s">
        <v>66</v>
      </c>
      <c r="D569" s="20" t="s">
        <v>66</v>
      </c>
      <c r="E569" s="115" t="str">
        <f>'МП пр.6'!B522</f>
        <v xml:space="preserve">7Т 0 00 00000 </v>
      </c>
      <c r="F569" s="110"/>
      <c r="G569" s="199">
        <f>G570</f>
        <v>170.3</v>
      </c>
    </row>
    <row r="570" spans="1:7" ht="25.5">
      <c r="A570" s="16" t="str">
        <f>'МП пр.6'!A548</f>
        <v>Основное мероприятие "Профилактика  правонарушений среди несовершеннолетних и молодежи"</v>
      </c>
      <c r="B570" s="19" t="s">
        <v>274</v>
      </c>
      <c r="C570" s="20" t="s">
        <v>66</v>
      </c>
      <c r="D570" s="20" t="s">
        <v>66</v>
      </c>
      <c r="E570" s="115" t="str">
        <f>'МП пр.6'!B548</f>
        <v xml:space="preserve">7Т 0 07 00000 </v>
      </c>
      <c r="F570" s="110"/>
      <c r="G570" s="199">
        <f>G571</f>
        <v>170.3</v>
      </c>
    </row>
    <row r="571" spans="1:7" ht="25.5">
      <c r="A571" s="29" t="str">
        <f>'МП пр.6'!A549</f>
        <v>Профилактика безнадзорности, правонарушений и вредных привычек несовершеннолетних</v>
      </c>
      <c r="B571" s="19" t="s">
        <v>274</v>
      </c>
      <c r="C571" s="20" t="s">
        <v>66</v>
      </c>
      <c r="D571" s="20" t="s">
        <v>66</v>
      </c>
      <c r="E571" s="115" t="str">
        <f>'МП пр.6'!B549</f>
        <v xml:space="preserve">7Т 0 07 93810 </v>
      </c>
      <c r="F571" s="110"/>
      <c r="G571" s="199">
        <f>G572</f>
        <v>170.3</v>
      </c>
    </row>
    <row r="572" spans="1:7" ht="25.5">
      <c r="A572" s="16" t="s">
        <v>95</v>
      </c>
      <c r="B572" s="19" t="s">
        <v>274</v>
      </c>
      <c r="C572" s="20" t="s">
        <v>66</v>
      </c>
      <c r="D572" s="20" t="s">
        <v>66</v>
      </c>
      <c r="E572" s="115" t="s">
        <v>346</v>
      </c>
      <c r="F572" s="110" t="s">
        <v>96</v>
      </c>
      <c r="G572" s="199">
        <f>G573</f>
        <v>170.3</v>
      </c>
    </row>
    <row r="573" spans="1:7" ht="12.75">
      <c r="A573" s="16" t="s">
        <v>99</v>
      </c>
      <c r="B573" s="19" t="s">
        <v>274</v>
      </c>
      <c r="C573" s="20" t="s">
        <v>66</v>
      </c>
      <c r="D573" s="20" t="s">
        <v>66</v>
      </c>
      <c r="E573" s="115" t="s">
        <v>346</v>
      </c>
      <c r="F573" s="110" t="s">
        <v>100</v>
      </c>
      <c r="G573" s="199">
        <f>'МП пр.6'!G554</f>
        <v>170.3</v>
      </c>
    </row>
    <row r="574" spans="1:7" ht="12.75">
      <c r="A574" s="15" t="s">
        <v>11</v>
      </c>
      <c r="B574" s="37" t="s">
        <v>274</v>
      </c>
      <c r="C574" s="32" t="s">
        <v>66</v>
      </c>
      <c r="D574" s="32" t="s">
        <v>72</v>
      </c>
      <c r="E574" s="113"/>
      <c r="F574" s="113"/>
      <c r="G574" s="198">
        <f>G576+G585+G604+G618</f>
        <v>42997.7</v>
      </c>
    </row>
    <row r="575" spans="1:7" ht="12.75">
      <c r="A575" s="16" t="s">
        <v>478</v>
      </c>
      <c r="B575" s="19" t="s">
        <v>274</v>
      </c>
      <c r="C575" s="20" t="s">
        <v>66</v>
      </c>
      <c r="D575" s="20" t="s">
        <v>72</v>
      </c>
      <c r="E575" s="115" t="s">
        <v>479</v>
      </c>
      <c r="F575" s="110"/>
      <c r="G575" s="199">
        <f>G576</f>
        <v>117</v>
      </c>
    </row>
    <row r="576" spans="1:7" ht="25.5">
      <c r="A576" s="29" t="str">
        <f>'МП пр.6'!A384</f>
        <v>Муниципальная  программа  "Развитие образования в Сусуманском городском округе  на 2018- 2022 годы"</v>
      </c>
      <c r="B576" s="19" t="s">
        <v>274</v>
      </c>
      <c r="C576" s="20" t="s">
        <v>66</v>
      </c>
      <c r="D576" s="20" t="s">
        <v>72</v>
      </c>
      <c r="E576" s="115" t="str">
        <f>'МП пр.6'!B384</f>
        <v xml:space="preserve">7Р 0 00 00000 </v>
      </c>
      <c r="F576" s="110"/>
      <c r="G576" s="199">
        <f>G577+G581</f>
        <v>117</v>
      </c>
    </row>
    <row r="577" spans="1:7" ht="12.75">
      <c r="A577" s="29" t="str">
        <f>'МП пр.6'!A385</f>
        <v>Основное мероприятие "Модернизация системы образования"</v>
      </c>
      <c r="B577" s="19" t="s">
        <v>274</v>
      </c>
      <c r="C577" s="20" t="s">
        <v>66</v>
      </c>
      <c r="D577" s="20" t="s">
        <v>72</v>
      </c>
      <c r="E577" s="115" t="str">
        <f>'МП пр.6'!B385</f>
        <v xml:space="preserve">7Р 0 01 00000 </v>
      </c>
      <c r="F577" s="110"/>
      <c r="G577" s="199">
        <f>G578</f>
        <v>25</v>
      </c>
    </row>
    <row r="578" spans="1:7" ht="25.5">
      <c r="A578" s="29" t="str">
        <f>'МП пр.6'!A386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578" s="19" t="s">
        <v>274</v>
      </c>
      <c r="C578" s="20" t="s">
        <v>66</v>
      </c>
      <c r="D578" s="20" t="s">
        <v>72</v>
      </c>
      <c r="E578" s="115" t="str">
        <f>'МП пр.6'!B386</f>
        <v xml:space="preserve">7Р 0 01 92100 </v>
      </c>
      <c r="F578" s="110"/>
      <c r="G578" s="199">
        <f>G579</f>
        <v>25</v>
      </c>
    </row>
    <row r="579" spans="1:7" ht="25.5">
      <c r="A579" s="16" t="s">
        <v>333</v>
      </c>
      <c r="B579" s="19" t="s">
        <v>274</v>
      </c>
      <c r="C579" s="20" t="s">
        <v>66</v>
      </c>
      <c r="D579" s="20" t="s">
        <v>72</v>
      </c>
      <c r="E579" s="115" t="s">
        <v>248</v>
      </c>
      <c r="F579" s="110" t="s">
        <v>94</v>
      </c>
      <c r="G579" s="199">
        <f>G580</f>
        <v>25</v>
      </c>
    </row>
    <row r="580" spans="1:7" ht="25.5">
      <c r="A580" s="16" t="s">
        <v>608</v>
      </c>
      <c r="B580" s="19" t="s">
        <v>274</v>
      </c>
      <c r="C580" s="20" t="s">
        <v>66</v>
      </c>
      <c r="D580" s="20" t="s">
        <v>72</v>
      </c>
      <c r="E580" s="115" t="s">
        <v>248</v>
      </c>
      <c r="F580" s="110" t="s">
        <v>91</v>
      </c>
      <c r="G580" s="199">
        <f>'МП пр.6'!G391</f>
        <v>25</v>
      </c>
    </row>
    <row r="581" spans="1:7" ht="12.75">
      <c r="A581" s="16" t="str">
        <f>'МП пр.6'!A515</f>
        <v>Основное мероприятие "Развитие кадрового потенциала"</v>
      </c>
      <c r="B581" s="19" t="s">
        <v>274</v>
      </c>
      <c r="C581" s="20" t="s">
        <v>66</v>
      </c>
      <c r="D581" s="20" t="s">
        <v>72</v>
      </c>
      <c r="E581" s="115" t="str">
        <f>'МП пр.6'!B515</f>
        <v>7Р 0 06 00000</v>
      </c>
      <c r="F581" s="110"/>
      <c r="G581" s="199">
        <f>G582</f>
        <v>92</v>
      </c>
    </row>
    <row r="582" spans="1:7" ht="25.5">
      <c r="A582" s="16" t="str">
        <f>'МП пр.6'!A516</f>
        <v>Развитие творческого и профессионального потенциала педагогических работников образовательных учреждений</v>
      </c>
      <c r="B582" s="19" t="s">
        <v>274</v>
      </c>
      <c r="C582" s="20" t="s">
        <v>66</v>
      </c>
      <c r="D582" s="20" t="s">
        <v>72</v>
      </c>
      <c r="E582" s="115" t="str">
        <f>'МП пр.6'!B516</f>
        <v>7Р 0 06 91510</v>
      </c>
      <c r="F582" s="110"/>
      <c r="G582" s="199">
        <f>G583</f>
        <v>92</v>
      </c>
    </row>
    <row r="583" spans="1:7" ht="12.75">
      <c r="A583" s="16" t="s">
        <v>101</v>
      </c>
      <c r="B583" s="19" t="s">
        <v>274</v>
      </c>
      <c r="C583" s="20" t="s">
        <v>66</v>
      </c>
      <c r="D583" s="20" t="s">
        <v>72</v>
      </c>
      <c r="E583" s="115" t="str">
        <f>'МП пр.6'!B517</f>
        <v>7Р 0 06 91510</v>
      </c>
      <c r="F583" s="110" t="s">
        <v>102</v>
      </c>
      <c r="G583" s="199">
        <f>G584</f>
        <v>92</v>
      </c>
    </row>
    <row r="584" spans="1:7" ht="12.75">
      <c r="A584" s="16" t="s">
        <v>126</v>
      </c>
      <c r="B584" s="19" t="s">
        <v>274</v>
      </c>
      <c r="C584" s="20" t="s">
        <v>66</v>
      </c>
      <c r="D584" s="20" t="s">
        <v>72</v>
      </c>
      <c r="E584" s="115" t="str">
        <f>'МП пр.6'!B518</f>
        <v>7Р 0 06 91510</v>
      </c>
      <c r="F584" s="110" t="s">
        <v>125</v>
      </c>
      <c r="G584" s="199">
        <f>'МП пр.6'!G521</f>
        <v>92</v>
      </c>
    </row>
    <row r="585" spans="1:7" ht="25.5">
      <c r="A585" s="16" t="s">
        <v>277</v>
      </c>
      <c r="B585" s="19" t="s">
        <v>274</v>
      </c>
      <c r="C585" s="20" t="s">
        <v>66</v>
      </c>
      <c r="D585" s="20" t="s">
        <v>72</v>
      </c>
      <c r="E585" s="110" t="s">
        <v>175</v>
      </c>
      <c r="F585" s="110"/>
      <c r="G585" s="199">
        <f>G586</f>
        <v>10172.5</v>
      </c>
    </row>
    <row r="586" spans="1:7" ht="12.75">
      <c r="A586" s="16" t="s">
        <v>47</v>
      </c>
      <c r="B586" s="19" t="s">
        <v>274</v>
      </c>
      <c r="C586" s="20" t="s">
        <v>66</v>
      </c>
      <c r="D586" s="20" t="s">
        <v>72</v>
      </c>
      <c r="E586" s="110" t="s">
        <v>181</v>
      </c>
      <c r="F586" s="110"/>
      <c r="G586" s="199">
        <f>G587+G593+G598+G601+G590</f>
        <v>10172.5</v>
      </c>
    </row>
    <row r="587" spans="1:7" ht="12.75">
      <c r="A587" s="16" t="s">
        <v>177</v>
      </c>
      <c r="B587" s="19" t="s">
        <v>274</v>
      </c>
      <c r="C587" s="20" t="s">
        <v>66</v>
      </c>
      <c r="D587" s="20" t="s">
        <v>72</v>
      </c>
      <c r="E587" s="110" t="s">
        <v>182</v>
      </c>
      <c r="F587" s="110"/>
      <c r="G587" s="199">
        <f>G588</f>
        <v>9530.8</v>
      </c>
    </row>
    <row r="588" spans="1:7" ht="38.25">
      <c r="A588" s="16" t="s">
        <v>92</v>
      </c>
      <c r="B588" s="19" t="s">
        <v>274</v>
      </c>
      <c r="C588" s="20" t="s">
        <v>66</v>
      </c>
      <c r="D588" s="20" t="s">
        <v>72</v>
      </c>
      <c r="E588" s="110" t="s">
        <v>182</v>
      </c>
      <c r="F588" s="110" t="s">
        <v>93</v>
      </c>
      <c r="G588" s="199">
        <f>G589</f>
        <v>9530.8</v>
      </c>
    </row>
    <row r="589" spans="1:7" ht="12.75">
      <c r="A589" s="16" t="s">
        <v>89</v>
      </c>
      <c r="B589" s="19" t="s">
        <v>274</v>
      </c>
      <c r="C589" s="20" t="s">
        <v>66</v>
      </c>
      <c r="D589" s="20" t="s">
        <v>72</v>
      </c>
      <c r="E589" s="110" t="s">
        <v>182</v>
      </c>
      <c r="F589" s="110" t="s">
        <v>90</v>
      </c>
      <c r="G589" s="199">
        <f>8933.8+597</f>
        <v>9530.8</v>
      </c>
    </row>
    <row r="590" spans="1:7" ht="25.5">
      <c r="A590" s="203" t="s">
        <v>745</v>
      </c>
      <c r="B590" s="20" t="s">
        <v>274</v>
      </c>
      <c r="C590" s="20" t="s">
        <v>66</v>
      </c>
      <c r="D590" s="20" t="s">
        <v>72</v>
      </c>
      <c r="E590" s="110" t="s">
        <v>746</v>
      </c>
      <c r="F590" s="110"/>
      <c r="G590" s="199">
        <f>G591</f>
        <v>227</v>
      </c>
    </row>
    <row r="591" spans="1:7" ht="38.25">
      <c r="A591" s="16" t="s">
        <v>92</v>
      </c>
      <c r="B591" s="20" t="s">
        <v>274</v>
      </c>
      <c r="C591" s="20" t="s">
        <v>66</v>
      </c>
      <c r="D591" s="20" t="s">
        <v>72</v>
      </c>
      <c r="E591" s="110" t="s">
        <v>746</v>
      </c>
      <c r="F591" s="110" t="s">
        <v>93</v>
      </c>
      <c r="G591" s="199">
        <f>G592</f>
        <v>227</v>
      </c>
    </row>
    <row r="592" spans="1:7" ht="12.75">
      <c r="A592" s="16" t="s">
        <v>89</v>
      </c>
      <c r="B592" s="20" t="s">
        <v>274</v>
      </c>
      <c r="C592" s="20" t="s">
        <v>66</v>
      </c>
      <c r="D592" s="20" t="s">
        <v>72</v>
      </c>
      <c r="E592" s="110" t="s">
        <v>746</v>
      </c>
      <c r="F592" s="110" t="s">
        <v>90</v>
      </c>
      <c r="G592" s="199">
        <f>180+47</f>
        <v>227</v>
      </c>
    </row>
    <row r="593" spans="1:7" ht="12.75">
      <c r="A593" s="16" t="s">
        <v>178</v>
      </c>
      <c r="B593" s="19" t="s">
        <v>274</v>
      </c>
      <c r="C593" s="20" t="s">
        <v>66</v>
      </c>
      <c r="D593" s="20" t="s">
        <v>72</v>
      </c>
      <c r="E593" s="110" t="s">
        <v>183</v>
      </c>
      <c r="F593" s="110"/>
      <c r="G593" s="199">
        <f>G594+G596</f>
        <v>274.70000000000005</v>
      </c>
    </row>
    <row r="594" spans="1:7" ht="25.5">
      <c r="A594" s="16" t="s">
        <v>333</v>
      </c>
      <c r="B594" s="19" t="s">
        <v>274</v>
      </c>
      <c r="C594" s="20" t="s">
        <v>66</v>
      </c>
      <c r="D594" s="20" t="s">
        <v>72</v>
      </c>
      <c r="E594" s="110" t="s">
        <v>183</v>
      </c>
      <c r="F594" s="110" t="s">
        <v>94</v>
      </c>
      <c r="G594" s="199">
        <f>G595</f>
        <v>273.70000000000005</v>
      </c>
    </row>
    <row r="595" spans="1:7" ht="25.5">
      <c r="A595" s="16" t="s">
        <v>608</v>
      </c>
      <c r="B595" s="19" t="s">
        <v>274</v>
      </c>
      <c r="C595" s="20" t="s">
        <v>66</v>
      </c>
      <c r="D595" s="20" t="s">
        <v>72</v>
      </c>
      <c r="E595" s="110" t="s">
        <v>183</v>
      </c>
      <c r="F595" s="110" t="s">
        <v>91</v>
      </c>
      <c r="G595" s="199">
        <f>298.1-24.4</f>
        <v>273.70000000000005</v>
      </c>
    </row>
    <row r="596" spans="1:7" ht="12.75">
      <c r="A596" s="16" t="s">
        <v>110</v>
      </c>
      <c r="B596" s="19" t="s">
        <v>274</v>
      </c>
      <c r="C596" s="20" t="s">
        <v>66</v>
      </c>
      <c r="D596" s="20" t="s">
        <v>72</v>
      </c>
      <c r="E596" s="110" t="s">
        <v>183</v>
      </c>
      <c r="F596" s="110" t="s">
        <v>111</v>
      </c>
      <c r="G596" s="199">
        <f>G597</f>
        <v>1</v>
      </c>
    </row>
    <row r="597" spans="1:7" ht="12.75">
      <c r="A597" s="16" t="s">
        <v>113</v>
      </c>
      <c r="B597" s="19" t="s">
        <v>274</v>
      </c>
      <c r="C597" s="20" t="s">
        <v>66</v>
      </c>
      <c r="D597" s="20" t="s">
        <v>72</v>
      </c>
      <c r="E597" s="110" t="s">
        <v>183</v>
      </c>
      <c r="F597" s="110" t="s">
        <v>114</v>
      </c>
      <c r="G597" s="199">
        <f>2-1</f>
        <v>1</v>
      </c>
    </row>
    <row r="598" spans="1:7" ht="51">
      <c r="A598" s="16" t="s">
        <v>204</v>
      </c>
      <c r="B598" s="19" t="s">
        <v>274</v>
      </c>
      <c r="C598" s="20" t="s">
        <v>66</v>
      </c>
      <c r="D598" s="20" t="s">
        <v>72</v>
      </c>
      <c r="E598" s="110" t="s">
        <v>462</v>
      </c>
      <c r="F598" s="110"/>
      <c r="G598" s="199">
        <f>G599</f>
        <v>129</v>
      </c>
    </row>
    <row r="599" spans="1:7" ht="38.25">
      <c r="A599" s="16" t="s">
        <v>92</v>
      </c>
      <c r="B599" s="19" t="s">
        <v>274</v>
      </c>
      <c r="C599" s="20" t="s">
        <v>66</v>
      </c>
      <c r="D599" s="20" t="s">
        <v>72</v>
      </c>
      <c r="E599" s="110" t="s">
        <v>462</v>
      </c>
      <c r="F599" s="110" t="s">
        <v>93</v>
      </c>
      <c r="G599" s="199">
        <f>G600</f>
        <v>129</v>
      </c>
    </row>
    <row r="600" spans="1:7" ht="12.75">
      <c r="A600" s="16" t="s">
        <v>89</v>
      </c>
      <c r="B600" s="19" t="s">
        <v>274</v>
      </c>
      <c r="C600" s="20" t="s">
        <v>66</v>
      </c>
      <c r="D600" s="20" t="s">
        <v>72</v>
      </c>
      <c r="E600" s="110" t="s">
        <v>462</v>
      </c>
      <c r="F600" s="110" t="s">
        <v>90</v>
      </c>
      <c r="G600" s="199">
        <f>200-71</f>
        <v>129</v>
      </c>
    </row>
    <row r="601" spans="1:7" ht="12.75">
      <c r="A601" s="16" t="s">
        <v>176</v>
      </c>
      <c r="B601" s="19" t="s">
        <v>274</v>
      </c>
      <c r="C601" s="20" t="s">
        <v>66</v>
      </c>
      <c r="D601" s="20" t="s">
        <v>72</v>
      </c>
      <c r="E601" s="110" t="s">
        <v>463</v>
      </c>
      <c r="F601" s="110"/>
      <c r="G601" s="199">
        <f>G602</f>
        <v>11</v>
      </c>
    </row>
    <row r="602" spans="1:7" ht="38.25">
      <c r="A602" s="16" t="s">
        <v>92</v>
      </c>
      <c r="B602" s="19" t="s">
        <v>274</v>
      </c>
      <c r="C602" s="20" t="s">
        <v>66</v>
      </c>
      <c r="D602" s="20" t="s">
        <v>72</v>
      </c>
      <c r="E602" s="110" t="s">
        <v>463</v>
      </c>
      <c r="F602" s="110" t="s">
        <v>93</v>
      </c>
      <c r="G602" s="199">
        <f>G603</f>
        <v>11</v>
      </c>
    </row>
    <row r="603" spans="1:7" ht="12.75">
      <c r="A603" s="16" t="s">
        <v>89</v>
      </c>
      <c r="B603" s="19" t="s">
        <v>274</v>
      </c>
      <c r="C603" s="20" t="s">
        <v>66</v>
      </c>
      <c r="D603" s="20" t="s">
        <v>72</v>
      </c>
      <c r="E603" s="110" t="s">
        <v>463</v>
      </c>
      <c r="F603" s="110" t="s">
        <v>90</v>
      </c>
      <c r="G603" s="199">
        <f>15-4</f>
        <v>11</v>
      </c>
    </row>
    <row r="604" spans="1:7" ht="12.75">
      <c r="A604" s="16" t="s">
        <v>515</v>
      </c>
      <c r="B604" s="19" t="s">
        <v>274</v>
      </c>
      <c r="C604" s="20" t="s">
        <v>66</v>
      </c>
      <c r="D604" s="20" t="s">
        <v>72</v>
      </c>
      <c r="E604" s="110" t="s">
        <v>516</v>
      </c>
      <c r="F604" s="110"/>
      <c r="G604" s="199">
        <f>G605+G612+G615</f>
        <v>15308.4</v>
      </c>
    </row>
    <row r="605" spans="1:7" ht="12.75">
      <c r="A605" s="16" t="s">
        <v>263</v>
      </c>
      <c r="B605" s="19" t="s">
        <v>274</v>
      </c>
      <c r="C605" s="20" t="s">
        <v>66</v>
      </c>
      <c r="D605" s="20" t="s">
        <v>72</v>
      </c>
      <c r="E605" s="110" t="s">
        <v>517</v>
      </c>
      <c r="F605" s="110"/>
      <c r="G605" s="199">
        <f>G606+G608+G610</f>
        <v>14790.8</v>
      </c>
    </row>
    <row r="606" spans="1:7" ht="38.25">
      <c r="A606" s="16" t="s">
        <v>92</v>
      </c>
      <c r="B606" s="19" t="s">
        <v>274</v>
      </c>
      <c r="C606" s="20" t="s">
        <v>66</v>
      </c>
      <c r="D606" s="20" t="s">
        <v>72</v>
      </c>
      <c r="E606" s="110" t="s">
        <v>517</v>
      </c>
      <c r="F606" s="110" t="s">
        <v>93</v>
      </c>
      <c r="G606" s="199">
        <f>G607</f>
        <v>14142.5</v>
      </c>
    </row>
    <row r="607" spans="1:7" ht="12.75">
      <c r="A607" s="16" t="s">
        <v>208</v>
      </c>
      <c r="B607" s="19" t="s">
        <v>274</v>
      </c>
      <c r="C607" s="20" t="s">
        <v>66</v>
      </c>
      <c r="D607" s="20" t="s">
        <v>72</v>
      </c>
      <c r="E607" s="110" t="s">
        <v>517</v>
      </c>
      <c r="F607" s="110" t="s">
        <v>209</v>
      </c>
      <c r="G607" s="199">
        <f>14222.6-80.1</f>
        <v>14142.5</v>
      </c>
    </row>
    <row r="608" spans="1:7" ht="25.5">
      <c r="A608" s="16" t="s">
        <v>333</v>
      </c>
      <c r="B608" s="19" t="s">
        <v>274</v>
      </c>
      <c r="C608" s="20" t="s">
        <v>66</v>
      </c>
      <c r="D608" s="20" t="s">
        <v>72</v>
      </c>
      <c r="E608" s="110" t="s">
        <v>517</v>
      </c>
      <c r="F608" s="110" t="s">
        <v>94</v>
      </c>
      <c r="G608" s="199">
        <f>G609</f>
        <v>645.3</v>
      </c>
    </row>
    <row r="609" spans="1:7" ht="25.5">
      <c r="A609" s="16" t="s">
        <v>608</v>
      </c>
      <c r="B609" s="19" t="s">
        <v>274</v>
      </c>
      <c r="C609" s="20" t="s">
        <v>66</v>
      </c>
      <c r="D609" s="20" t="s">
        <v>72</v>
      </c>
      <c r="E609" s="110" t="s">
        <v>517</v>
      </c>
      <c r="F609" s="110" t="s">
        <v>91</v>
      </c>
      <c r="G609" s="199">
        <f>481.6+163.7</f>
        <v>645.3</v>
      </c>
    </row>
    <row r="610" spans="1:7" ht="12.75">
      <c r="A610" s="16" t="s">
        <v>110</v>
      </c>
      <c r="B610" s="19" t="s">
        <v>274</v>
      </c>
      <c r="C610" s="20" t="s">
        <v>66</v>
      </c>
      <c r="D610" s="20" t="s">
        <v>72</v>
      </c>
      <c r="E610" s="110" t="s">
        <v>517</v>
      </c>
      <c r="F610" s="110" t="s">
        <v>111</v>
      </c>
      <c r="G610" s="199">
        <f>G611</f>
        <v>3</v>
      </c>
    </row>
    <row r="611" spans="1:7" ht="12.75">
      <c r="A611" s="16" t="s">
        <v>113</v>
      </c>
      <c r="B611" s="19" t="s">
        <v>274</v>
      </c>
      <c r="C611" s="20" t="s">
        <v>66</v>
      </c>
      <c r="D611" s="20" t="s">
        <v>72</v>
      </c>
      <c r="E611" s="110" t="s">
        <v>517</v>
      </c>
      <c r="F611" s="110" t="s">
        <v>114</v>
      </c>
      <c r="G611" s="199">
        <f>5-2</f>
        <v>3</v>
      </c>
    </row>
    <row r="612" spans="1:7" ht="51">
      <c r="A612" s="16" t="s">
        <v>204</v>
      </c>
      <c r="B612" s="19" t="s">
        <v>274</v>
      </c>
      <c r="C612" s="20" t="s">
        <v>66</v>
      </c>
      <c r="D612" s="20" t="s">
        <v>72</v>
      </c>
      <c r="E612" s="110" t="s">
        <v>518</v>
      </c>
      <c r="F612" s="110"/>
      <c r="G612" s="199">
        <f>G613</f>
        <v>484</v>
      </c>
    </row>
    <row r="613" spans="1:7" ht="38.25">
      <c r="A613" s="16" t="s">
        <v>92</v>
      </c>
      <c r="B613" s="19" t="s">
        <v>274</v>
      </c>
      <c r="C613" s="20" t="s">
        <v>66</v>
      </c>
      <c r="D613" s="20" t="s">
        <v>72</v>
      </c>
      <c r="E613" s="110" t="s">
        <v>518</v>
      </c>
      <c r="F613" s="110" t="s">
        <v>93</v>
      </c>
      <c r="G613" s="199">
        <f>G614</f>
        <v>484</v>
      </c>
    </row>
    <row r="614" spans="1:7" ht="12.75">
      <c r="A614" s="16" t="s">
        <v>208</v>
      </c>
      <c r="B614" s="19" t="s">
        <v>274</v>
      </c>
      <c r="C614" s="20" t="s">
        <v>66</v>
      </c>
      <c r="D614" s="20" t="s">
        <v>72</v>
      </c>
      <c r="E614" s="110" t="s">
        <v>518</v>
      </c>
      <c r="F614" s="110" t="s">
        <v>209</v>
      </c>
      <c r="G614" s="199">
        <f>982-498</f>
        <v>484</v>
      </c>
    </row>
    <row r="615" spans="1:7" ht="12.75">
      <c r="A615" s="16" t="s">
        <v>176</v>
      </c>
      <c r="B615" s="19" t="s">
        <v>274</v>
      </c>
      <c r="C615" s="20" t="s">
        <v>66</v>
      </c>
      <c r="D615" s="20" t="s">
        <v>72</v>
      </c>
      <c r="E615" s="110" t="s">
        <v>519</v>
      </c>
      <c r="F615" s="110"/>
      <c r="G615" s="199">
        <f>G616</f>
        <v>33.6</v>
      </c>
    </row>
    <row r="616" spans="1:7" ht="38.25">
      <c r="A616" s="16" t="s">
        <v>92</v>
      </c>
      <c r="B616" s="19" t="s">
        <v>274</v>
      </c>
      <c r="C616" s="20" t="s">
        <v>66</v>
      </c>
      <c r="D616" s="20" t="s">
        <v>72</v>
      </c>
      <c r="E616" s="110" t="s">
        <v>519</v>
      </c>
      <c r="F616" s="110" t="s">
        <v>93</v>
      </c>
      <c r="G616" s="199">
        <f>G617</f>
        <v>33.6</v>
      </c>
    </row>
    <row r="617" spans="1:7" ht="12.75">
      <c r="A617" s="16" t="s">
        <v>208</v>
      </c>
      <c r="B617" s="19" t="s">
        <v>274</v>
      </c>
      <c r="C617" s="20" t="s">
        <v>66</v>
      </c>
      <c r="D617" s="20" t="s">
        <v>72</v>
      </c>
      <c r="E617" s="110" t="s">
        <v>519</v>
      </c>
      <c r="F617" s="110" t="s">
        <v>209</v>
      </c>
      <c r="G617" s="199">
        <f>51.1-17.5</f>
        <v>33.6</v>
      </c>
    </row>
    <row r="618" spans="1:7" ht="12.75">
      <c r="A618" s="16" t="s">
        <v>520</v>
      </c>
      <c r="B618" s="19" t="s">
        <v>274</v>
      </c>
      <c r="C618" s="20" t="s">
        <v>66</v>
      </c>
      <c r="D618" s="20" t="s">
        <v>72</v>
      </c>
      <c r="E618" s="110" t="s">
        <v>521</v>
      </c>
      <c r="F618" s="110"/>
      <c r="G618" s="199">
        <f>G619+G626</f>
        <v>17399.799999999996</v>
      </c>
    </row>
    <row r="619" spans="1:7" ht="12.75">
      <c r="A619" s="16" t="s">
        <v>265</v>
      </c>
      <c r="B619" s="19" t="s">
        <v>274</v>
      </c>
      <c r="C619" s="20" t="s">
        <v>66</v>
      </c>
      <c r="D619" s="20" t="s">
        <v>72</v>
      </c>
      <c r="E619" s="110" t="s">
        <v>522</v>
      </c>
      <c r="F619" s="110"/>
      <c r="G619" s="199">
        <f>G620+G622+G624</f>
        <v>17164.299999999996</v>
      </c>
    </row>
    <row r="620" spans="1:7" ht="38.25">
      <c r="A620" s="16" t="s">
        <v>92</v>
      </c>
      <c r="B620" s="19" t="s">
        <v>274</v>
      </c>
      <c r="C620" s="20" t="s">
        <v>66</v>
      </c>
      <c r="D620" s="20" t="s">
        <v>72</v>
      </c>
      <c r="E620" s="110" t="s">
        <v>522</v>
      </c>
      <c r="F620" s="110" t="s">
        <v>93</v>
      </c>
      <c r="G620" s="199">
        <f>G621</f>
        <v>13239.399999999998</v>
      </c>
    </row>
    <row r="621" spans="1:7" ht="12.75">
      <c r="A621" s="16" t="s">
        <v>208</v>
      </c>
      <c r="B621" s="19" t="s">
        <v>274</v>
      </c>
      <c r="C621" s="20" t="s">
        <v>66</v>
      </c>
      <c r="D621" s="20" t="s">
        <v>72</v>
      </c>
      <c r="E621" s="110" t="s">
        <v>522</v>
      </c>
      <c r="F621" s="110" t="s">
        <v>209</v>
      </c>
      <c r="G621" s="199">
        <f>10452.4+2302.7+484.3</f>
        <v>13239.399999999998</v>
      </c>
    </row>
    <row r="622" spans="1:7" ht="25.5">
      <c r="A622" s="16" t="s">
        <v>333</v>
      </c>
      <c r="B622" s="19" t="s">
        <v>274</v>
      </c>
      <c r="C622" s="20" t="s">
        <v>66</v>
      </c>
      <c r="D622" s="20" t="s">
        <v>72</v>
      </c>
      <c r="E622" s="110" t="s">
        <v>522</v>
      </c>
      <c r="F622" s="110" t="s">
        <v>94</v>
      </c>
      <c r="G622" s="199">
        <f>G623</f>
        <v>3596.3999999999996</v>
      </c>
    </row>
    <row r="623" spans="1:7" ht="25.5">
      <c r="A623" s="16" t="s">
        <v>608</v>
      </c>
      <c r="B623" s="19" t="s">
        <v>274</v>
      </c>
      <c r="C623" s="20" t="s">
        <v>66</v>
      </c>
      <c r="D623" s="20" t="s">
        <v>72</v>
      </c>
      <c r="E623" s="110" t="s">
        <v>522</v>
      </c>
      <c r="F623" s="110" t="s">
        <v>91</v>
      </c>
      <c r="G623" s="199">
        <f>2850.1+746.3</f>
        <v>3596.3999999999996</v>
      </c>
    </row>
    <row r="624" spans="1:7" ht="12.75">
      <c r="A624" s="16" t="s">
        <v>110</v>
      </c>
      <c r="B624" s="19" t="s">
        <v>274</v>
      </c>
      <c r="C624" s="20" t="s">
        <v>66</v>
      </c>
      <c r="D624" s="20" t="s">
        <v>72</v>
      </c>
      <c r="E624" s="110" t="s">
        <v>522</v>
      </c>
      <c r="F624" s="110" t="s">
        <v>111</v>
      </c>
      <c r="G624" s="199">
        <f>G625</f>
        <v>328.5</v>
      </c>
    </row>
    <row r="625" spans="1:7" ht="12.75">
      <c r="A625" s="16" t="s">
        <v>113</v>
      </c>
      <c r="B625" s="19" t="s">
        <v>274</v>
      </c>
      <c r="C625" s="20" t="s">
        <v>66</v>
      </c>
      <c r="D625" s="20" t="s">
        <v>72</v>
      </c>
      <c r="E625" s="110" t="s">
        <v>522</v>
      </c>
      <c r="F625" s="110" t="s">
        <v>114</v>
      </c>
      <c r="G625" s="199">
        <f>372.6-44.1</f>
        <v>328.5</v>
      </c>
    </row>
    <row r="626" spans="1:7" ht="51">
      <c r="A626" s="16" t="s">
        <v>204</v>
      </c>
      <c r="B626" s="19" t="s">
        <v>274</v>
      </c>
      <c r="C626" s="20" t="s">
        <v>66</v>
      </c>
      <c r="D626" s="20" t="s">
        <v>72</v>
      </c>
      <c r="E626" s="110" t="s">
        <v>523</v>
      </c>
      <c r="F626" s="110"/>
      <c r="G626" s="199">
        <f>G627</f>
        <v>235.5</v>
      </c>
    </row>
    <row r="627" spans="1:7" ht="38.25">
      <c r="A627" s="16" t="s">
        <v>92</v>
      </c>
      <c r="B627" s="19" t="s">
        <v>274</v>
      </c>
      <c r="C627" s="20" t="s">
        <v>66</v>
      </c>
      <c r="D627" s="20" t="s">
        <v>72</v>
      </c>
      <c r="E627" s="110" t="s">
        <v>523</v>
      </c>
      <c r="F627" s="110" t="s">
        <v>93</v>
      </c>
      <c r="G627" s="199">
        <f>G628</f>
        <v>235.5</v>
      </c>
    </row>
    <row r="628" spans="1:7" ht="12.75">
      <c r="A628" s="16" t="s">
        <v>208</v>
      </c>
      <c r="B628" s="19" t="s">
        <v>274</v>
      </c>
      <c r="C628" s="20" t="s">
        <v>66</v>
      </c>
      <c r="D628" s="20" t="s">
        <v>72</v>
      </c>
      <c r="E628" s="110" t="s">
        <v>523</v>
      </c>
      <c r="F628" s="110" t="s">
        <v>209</v>
      </c>
      <c r="G628" s="199">
        <f>341.5-106</f>
        <v>235.5</v>
      </c>
    </row>
    <row r="629" spans="1:7" ht="25.5">
      <c r="A629" s="15" t="s">
        <v>134</v>
      </c>
      <c r="B629" s="37" t="s">
        <v>275</v>
      </c>
      <c r="C629" s="32"/>
      <c r="D629" s="32"/>
      <c r="E629" s="113"/>
      <c r="F629" s="113"/>
      <c r="G629" s="198">
        <f>G630+G694+G813+G821</f>
        <v>104913.5</v>
      </c>
    </row>
    <row r="630" spans="1:7" ht="12.75">
      <c r="A630" s="15" t="s">
        <v>8</v>
      </c>
      <c r="B630" s="37" t="s">
        <v>275</v>
      </c>
      <c r="C630" s="32" t="s">
        <v>66</v>
      </c>
      <c r="D630" s="32" t="s">
        <v>34</v>
      </c>
      <c r="E630" s="110"/>
      <c r="F630" s="110"/>
      <c r="G630" s="198">
        <f>G631+G665</f>
        <v>29950.3</v>
      </c>
    </row>
    <row r="631" spans="1:7" ht="12.75">
      <c r="A631" s="15" t="s">
        <v>304</v>
      </c>
      <c r="B631" s="37" t="s">
        <v>275</v>
      </c>
      <c r="C631" s="32" t="s">
        <v>66</v>
      </c>
      <c r="D631" s="32" t="s">
        <v>67</v>
      </c>
      <c r="E631" s="110"/>
      <c r="F631" s="110"/>
      <c r="G631" s="198">
        <f>G633+G644+G655</f>
        <v>28090.5</v>
      </c>
    </row>
    <row r="632" spans="1:7" ht="12.75">
      <c r="A632" s="16" t="s">
        <v>478</v>
      </c>
      <c r="B632" s="19" t="s">
        <v>275</v>
      </c>
      <c r="C632" s="20" t="s">
        <v>66</v>
      </c>
      <c r="D632" s="20" t="s">
        <v>67</v>
      </c>
      <c r="E632" s="115" t="s">
        <v>479</v>
      </c>
      <c r="F632" s="110"/>
      <c r="G632" s="199">
        <f>G633+G644</f>
        <v>2061.2</v>
      </c>
    </row>
    <row r="633" spans="1:7" ht="25.5">
      <c r="A633" s="29" t="str">
        <f>'МП пр.6'!A257</f>
        <v>Муниципальная программа  "Пожарная безопасность в Сусуманском городском округе на 2018- 2022 годы"</v>
      </c>
      <c r="B633" s="19" t="s">
        <v>275</v>
      </c>
      <c r="C633" s="20" t="s">
        <v>66</v>
      </c>
      <c r="D633" s="20" t="s">
        <v>67</v>
      </c>
      <c r="E633" s="115" t="str">
        <f>'МП пр.6'!B257</f>
        <v xml:space="preserve">7П 0 00 00000 </v>
      </c>
      <c r="F633" s="110"/>
      <c r="G633" s="199">
        <f>G634</f>
        <v>360</v>
      </c>
    </row>
    <row r="634" spans="1:7" ht="25.5">
      <c r="A634" s="29" t="str">
        <f>'МП пр.6'!A258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34" s="19" t="s">
        <v>275</v>
      </c>
      <c r="C634" s="20" t="s">
        <v>66</v>
      </c>
      <c r="D634" s="20" t="s">
        <v>67</v>
      </c>
      <c r="E634" s="115" t="str">
        <f>'МП пр.6'!B258</f>
        <v xml:space="preserve">7П 0 01 00000 </v>
      </c>
      <c r="F634" s="110"/>
      <c r="G634" s="199">
        <f>G635+G638+G641</f>
        <v>360</v>
      </c>
    </row>
    <row r="635" spans="1:7" ht="38.25">
      <c r="A635" s="29" t="str">
        <f>'МП пр.6'!A259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35" s="19" t="s">
        <v>275</v>
      </c>
      <c r="C635" s="20" t="s">
        <v>66</v>
      </c>
      <c r="D635" s="20" t="s">
        <v>67</v>
      </c>
      <c r="E635" s="115" t="str">
        <f>'МП пр.6'!B259</f>
        <v xml:space="preserve">7П 0 01 94100 </v>
      </c>
      <c r="F635" s="110"/>
      <c r="G635" s="199">
        <f>G636</f>
        <v>250</v>
      </c>
    </row>
    <row r="636" spans="1:7" ht="25.5">
      <c r="A636" s="16" t="s">
        <v>95</v>
      </c>
      <c r="B636" s="19" t="s">
        <v>275</v>
      </c>
      <c r="C636" s="20" t="s">
        <v>66</v>
      </c>
      <c r="D636" s="20" t="s">
        <v>67</v>
      </c>
      <c r="E636" s="115" t="s">
        <v>236</v>
      </c>
      <c r="F636" s="110" t="s">
        <v>96</v>
      </c>
      <c r="G636" s="199">
        <f>G637</f>
        <v>250</v>
      </c>
    </row>
    <row r="637" spans="1:7" ht="12.75">
      <c r="A637" s="16" t="s">
        <v>99</v>
      </c>
      <c r="B637" s="19" t="s">
        <v>275</v>
      </c>
      <c r="C637" s="20" t="s">
        <v>66</v>
      </c>
      <c r="D637" s="20" t="s">
        <v>67</v>
      </c>
      <c r="E637" s="115" t="s">
        <v>236</v>
      </c>
      <c r="F637" s="110" t="s">
        <v>100</v>
      </c>
      <c r="G637" s="199">
        <f>'МП пр.6'!G273</f>
        <v>250</v>
      </c>
    </row>
    <row r="638" spans="1:7" ht="12.75">
      <c r="A638" s="29" t="str">
        <f>'МП пр.6'!A284</f>
        <v>Обработка сгораемых конструкций огнезащитными составами</v>
      </c>
      <c r="B638" s="19" t="s">
        <v>275</v>
      </c>
      <c r="C638" s="20" t="s">
        <v>66</v>
      </c>
      <c r="D638" s="20" t="s">
        <v>67</v>
      </c>
      <c r="E638" s="115" t="str">
        <f>'МП пр.6'!B284</f>
        <v xml:space="preserve">7П 0 01 94200 </v>
      </c>
      <c r="F638" s="110"/>
      <c r="G638" s="199">
        <f>G639</f>
        <v>70</v>
      </c>
    </row>
    <row r="639" spans="1:7" ht="25.5">
      <c r="A639" s="16" t="s">
        <v>95</v>
      </c>
      <c r="B639" s="19" t="s">
        <v>275</v>
      </c>
      <c r="C639" s="20" t="s">
        <v>66</v>
      </c>
      <c r="D639" s="20" t="s">
        <v>67</v>
      </c>
      <c r="E639" s="115" t="s">
        <v>240</v>
      </c>
      <c r="F639" s="110" t="s">
        <v>96</v>
      </c>
      <c r="G639" s="199">
        <f>G640</f>
        <v>70</v>
      </c>
    </row>
    <row r="640" spans="1:7" ht="12.75">
      <c r="A640" s="16" t="s">
        <v>99</v>
      </c>
      <c r="B640" s="19" t="s">
        <v>275</v>
      </c>
      <c r="C640" s="20" t="s">
        <v>66</v>
      </c>
      <c r="D640" s="20" t="s">
        <v>67</v>
      </c>
      <c r="E640" s="115" t="s">
        <v>240</v>
      </c>
      <c r="F640" s="110" t="s">
        <v>100</v>
      </c>
      <c r="G640" s="199">
        <f>'МП пр.6'!G293</f>
        <v>70</v>
      </c>
    </row>
    <row r="641" spans="1:7" ht="12.75">
      <c r="A641" s="29" t="str">
        <f>'МП пр.6'!A299</f>
        <v>Приобретение и заправка огнетушителей, средств индивидуальной защиты</v>
      </c>
      <c r="B641" s="19" t="s">
        <v>275</v>
      </c>
      <c r="C641" s="20" t="s">
        <v>66</v>
      </c>
      <c r="D641" s="20" t="s">
        <v>67</v>
      </c>
      <c r="E641" s="115" t="str">
        <f>'МП пр.6'!B299</f>
        <v xml:space="preserve">7П 0 01 94300 </v>
      </c>
      <c r="F641" s="110"/>
      <c r="G641" s="199">
        <f>G642</f>
        <v>40</v>
      </c>
    </row>
    <row r="642" spans="1:7" ht="25.5">
      <c r="A642" s="16" t="s">
        <v>95</v>
      </c>
      <c r="B642" s="19" t="s">
        <v>275</v>
      </c>
      <c r="C642" s="20" t="s">
        <v>66</v>
      </c>
      <c r="D642" s="20" t="s">
        <v>67</v>
      </c>
      <c r="E642" s="115" t="s">
        <v>249</v>
      </c>
      <c r="F642" s="110" t="s">
        <v>96</v>
      </c>
      <c r="G642" s="199">
        <f>G643</f>
        <v>40</v>
      </c>
    </row>
    <row r="643" spans="1:7" ht="12.75">
      <c r="A643" s="16" t="s">
        <v>99</v>
      </c>
      <c r="B643" s="19" t="s">
        <v>275</v>
      </c>
      <c r="C643" s="20" t="s">
        <v>66</v>
      </c>
      <c r="D643" s="20" t="s">
        <v>67</v>
      </c>
      <c r="E643" s="115" t="s">
        <v>249</v>
      </c>
      <c r="F643" s="110" t="s">
        <v>100</v>
      </c>
      <c r="G643" s="199">
        <f>'МП пр.6'!G304</f>
        <v>40</v>
      </c>
    </row>
    <row r="644" spans="1:7" ht="25.5">
      <c r="A644" s="29" t="str">
        <f>'МП пр.6'!A384</f>
        <v>Муниципальная  программа  "Развитие образования в Сусуманском городском округе  на 2018- 2022 годы"</v>
      </c>
      <c r="B644" s="19" t="s">
        <v>275</v>
      </c>
      <c r="C644" s="20" t="s">
        <v>66</v>
      </c>
      <c r="D644" s="20" t="s">
        <v>67</v>
      </c>
      <c r="E644" s="110" t="str">
        <f>'МП пр.6'!B384</f>
        <v xml:space="preserve">7Р 0 00 00000 </v>
      </c>
      <c r="F644" s="110"/>
      <c r="G644" s="199">
        <f>G645</f>
        <v>1701.2</v>
      </c>
    </row>
    <row r="645" spans="1:7" ht="12.75">
      <c r="A645" s="16" t="str">
        <f>'МП пр.6'!A392</f>
        <v>Основное мероприятие "Управление развитием отрасли образования"</v>
      </c>
      <c r="B645" s="19" t="s">
        <v>275</v>
      </c>
      <c r="C645" s="20" t="s">
        <v>66</v>
      </c>
      <c r="D645" s="20" t="s">
        <v>67</v>
      </c>
      <c r="E645" s="110" t="str">
        <f>'МП пр.6'!B392</f>
        <v>7Р 0 02 00000</v>
      </c>
      <c r="F645" s="110"/>
      <c r="G645" s="199">
        <f>G646+G649+G652</f>
        <v>1701.2</v>
      </c>
    </row>
    <row r="646" spans="1:7" s="60" customFormat="1" ht="38.25">
      <c r="A646" s="232" t="str">
        <f>'МП пр.6'!A419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46" s="233" t="s">
        <v>275</v>
      </c>
      <c r="C646" s="234" t="s">
        <v>66</v>
      </c>
      <c r="D646" s="234" t="s">
        <v>67</v>
      </c>
      <c r="E646" s="236" t="str">
        <f>'МП пр.6'!B419</f>
        <v>7Р 0 02 74060</v>
      </c>
      <c r="F646" s="236"/>
      <c r="G646" s="237">
        <f>G647</f>
        <v>169.6</v>
      </c>
    </row>
    <row r="647" spans="1:7" s="60" customFormat="1" ht="25.5">
      <c r="A647" s="232" t="s">
        <v>95</v>
      </c>
      <c r="B647" s="233" t="s">
        <v>275</v>
      </c>
      <c r="C647" s="234" t="s">
        <v>66</v>
      </c>
      <c r="D647" s="234" t="s">
        <v>67</v>
      </c>
      <c r="E647" s="236" t="s">
        <v>339</v>
      </c>
      <c r="F647" s="236" t="s">
        <v>96</v>
      </c>
      <c r="G647" s="237">
        <f>G648</f>
        <v>169.6</v>
      </c>
    </row>
    <row r="648" spans="1:7" s="60" customFormat="1" ht="12.75">
      <c r="A648" s="232" t="s">
        <v>99</v>
      </c>
      <c r="B648" s="233" t="s">
        <v>275</v>
      </c>
      <c r="C648" s="234" t="s">
        <v>66</v>
      </c>
      <c r="D648" s="234" t="s">
        <v>67</v>
      </c>
      <c r="E648" s="236" t="s">
        <v>339</v>
      </c>
      <c r="F648" s="236" t="s">
        <v>100</v>
      </c>
      <c r="G648" s="237">
        <f>'МП пр.6'!G433</f>
        <v>169.6</v>
      </c>
    </row>
    <row r="649" spans="1:7" ht="38.25">
      <c r="A649" s="232" t="str">
        <f>'МП пр.6'!A434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49" s="233" t="s">
        <v>275</v>
      </c>
      <c r="C649" s="234" t="s">
        <v>66</v>
      </c>
      <c r="D649" s="234" t="s">
        <v>67</v>
      </c>
      <c r="E649" s="236" t="str">
        <f>'МП пр.6'!B434</f>
        <v>7Р 0 02 74070</v>
      </c>
      <c r="F649" s="236"/>
      <c r="G649" s="237">
        <f>G650</f>
        <v>470.4</v>
      </c>
    </row>
    <row r="650" spans="1:7" ht="25.5">
      <c r="A650" s="232" t="s">
        <v>95</v>
      </c>
      <c r="B650" s="233" t="s">
        <v>275</v>
      </c>
      <c r="C650" s="234" t="s">
        <v>66</v>
      </c>
      <c r="D650" s="234" t="s">
        <v>67</v>
      </c>
      <c r="E650" s="236" t="s">
        <v>340</v>
      </c>
      <c r="F650" s="236" t="s">
        <v>96</v>
      </c>
      <c r="G650" s="237">
        <f>G651</f>
        <v>470.4</v>
      </c>
    </row>
    <row r="651" spans="1:7" ht="12.75">
      <c r="A651" s="232" t="s">
        <v>99</v>
      </c>
      <c r="B651" s="233" t="s">
        <v>275</v>
      </c>
      <c r="C651" s="234" t="s">
        <v>66</v>
      </c>
      <c r="D651" s="234" t="s">
        <v>67</v>
      </c>
      <c r="E651" s="236" t="s">
        <v>340</v>
      </c>
      <c r="F651" s="236" t="s">
        <v>100</v>
      </c>
      <c r="G651" s="237">
        <f>'МП пр.6'!G448</f>
        <v>470.4</v>
      </c>
    </row>
    <row r="652" spans="1:7" ht="38.25">
      <c r="A652" s="232" t="str">
        <f>'МП пр.6'!A461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52" s="233" t="s">
        <v>275</v>
      </c>
      <c r="C652" s="234" t="s">
        <v>66</v>
      </c>
      <c r="D652" s="234" t="s">
        <v>67</v>
      </c>
      <c r="E652" s="236" t="str">
        <f>'МП пр.6'!B461</f>
        <v>7Р 0 02 75010</v>
      </c>
      <c r="F652" s="236"/>
      <c r="G652" s="237">
        <f>G653</f>
        <v>1061.2</v>
      </c>
    </row>
    <row r="653" spans="1:7" ht="25.5">
      <c r="A653" s="232" t="s">
        <v>95</v>
      </c>
      <c r="B653" s="233" t="s">
        <v>275</v>
      </c>
      <c r="C653" s="234" t="s">
        <v>66</v>
      </c>
      <c r="D653" s="234" t="s">
        <v>67</v>
      </c>
      <c r="E653" s="236" t="s">
        <v>342</v>
      </c>
      <c r="F653" s="236" t="s">
        <v>96</v>
      </c>
      <c r="G653" s="237">
        <f>G654</f>
        <v>1061.2</v>
      </c>
    </row>
    <row r="654" spans="1:7" ht="12.75">
      <c r="A654" s="232" t="s">
        <v>99</v>
      </c>
      <c r="B654" s="233" t="s">
        <v>275</v>
      </c>
      <c r="C654" s="234" t="s">
        <v>66</v>
      </c>
      <c r="D654" s="234" t="s">
        <v>67</v>
      </c>
      <c r="E654" s="236" t="s">
        <v>342</v>
      </c>
      <c r="F654" s="236" t="s">
        <v>100</v>
      </c>
      <c r="G654" s="237">
        <f>'МП пр.6'!G475</f>
        <v>1061.2</v>
      </c>
    </row>
    <row r="655" spans="1:7" ht="12.75">
      <c r="A655" s="16" t="s">
        <v>228</v>
      </c>
      <c r="B655" s="19" t="s">
        <v>275</v>
      </c>
      <c r="C655" s="20" t="s">
        <v>66</v>
      </c>
      <c r="D655" s="20" t="s">
        <v>67</v>
      </c>
      <c r="E655" s="110" t="s">
        <v>511</v>
      </c>
      <c r="F655" s="110"/>
      <c r="G655" s="199">
        <f>G656+G659+G662</f>
        <v>26029.3</v>
      </c>
    </row>
    <row r="656" spans="1:7" ht="12.75">
      <c r="A656" s="16" t="s">
        <v>185</v>
      </c>
      <c r="B656" s="19" t="s">
        <v>275</v>
      </c>
      <c r="C656" s="20" t="s">
        <v>66</v>
      </c>
      <c r="D656" s="20" t="s">
        <v>67</v>
      </c>
      <c r="E656" s="110" t="s">
        <v>512</v>
      </c>
      <c r="F656" s="110"/>
      <c r="G656" s="199">
        <f>G657</f>
        <v>25368.8</v>
      </c>
    </row>
    <row r="657" spans="1:7" ht="25.5">
      <c r="A657" s="16" t="s">
        <v>95</v>
      </c>
      <c r="B657" s="19" t="s">
        <v>275</v>
      </c>
      <c r="C657" s="20" t="s">
        <v>66</v>
      </c>
      <c r="D657" s="20" t="s">
        <v>67</v>
      </c>
      <c r="E657" s="110" t="s">
        <v>512</v>
      </c>
      <c r="F657" s="110" t="s">
        <v>96</v>
      </c>
      <c r="G657" s="199">
        <f>G658</f>
        <v>25368.8</v>
      </c>
    </row>
    <row r="658" spans="1:7" ht="12.75">
      <c r="A658" s="16" t="s">
        <v>99</v>
      </c>
      <c r="B658" s="19" t="s">
        <v>275</v>
      </c>
      <c r="C658" s="20" t="s">
        <v>66</v>
      </c>
      <c r="D658" s="20" t="s">
        <v>67</v>
      </c>
      <c r="E658" s="110" t="s">
        <v>512</v>
      </c>
      <c r="F658" s="110" t="s">
        <v>100</v>
      </c>
      <c r="G658" s="199">
        <f>23429.1+198.7+1741</f>
        <v>25368.8</v>
      </c>
    </row>
    <row r="659" spans="1:7" ht="51">
      <c r="A659" s="16" t="s">
        <v>204</v>
      </c>
      <c r="B659" s="19" t="s">
        <v>275</v>
      </c>
      <c r="C659" s="20" t="s">
        <v>66</v>
      </c>
      <c r="D659" s="20" t="s">
        <v>67</v>
      </c>
      <c r="E659" s="110" t="s">
        <v>513</v>
      </c>
      <c r="F659" s="110"/>
      <c r="G659" s="199">
        <f>G660</f>
        <v>590.5</v>
      </c>
    </row>
    <row r="660" spans="1:7" ht="25.5">
      <c r="A660" s="16" t="s">
        <v>95</v>
      </c>
      <c r="B660" s="19" t="s">
        <v>275</v>
      </c>
      <c r="C660" s="20" t="s">
        <v>66</v>
      </c>
      <c r="D660" s="20" t="s">
        <v>67</v>
      </c>
      <c r="E660" s="110" t="s">
        <v>513</v>
      </c>
      <c r="F660" s="110" t="s">
        <v>96</v>
      </c>
      <c r="G660" s="199">
        <f>G661</f>
        <v>590.5</v>
      </c>
    </row>
    <row r="661" spans="1:7" ht="12.75">
      <c r="A661" s="16" t="s">
        <v>99</v>
      </c>
      <c r="B661" s="19" t="s">
        <v>275</v>
      </c>
      <c r="C661" s="20" t="s">
        <v>66</v>
      </c>
      <c r="D661" s="20" t="s">
        <v>67</v>
      </c>
      <c r="E661" s="110" t="s">
        <v>513</v>
      </c>
      <c r="F661" s="110" t="s">
        <v>100</v>
      </c>
      <c r="G661" s="199">
        <f>700-109.5</f>
        <v>590.5</v>
      </c>
    </row>
    <row r="662" spans="1:7" ht="12.75">
      <c r="A662" s="16" t="s">
        <v>176</v>
      </c>
      <c r="B662" s="19" t="s">
        <v>275</v>
      </c>
      <c r="C662" s="20" t="s">
        <v>66</v>
      </c>
      <c r="D662" s="20" t="s">
        <v>67</v>
      </c>
      <c r="E662" s="110" t="s">
        <v>514</v>
      </c>
      <c r="F662" s="110"/>
      <c r="G662" s="199">
        <f>G663</f>
        <v>70</v>
      </c>
    </row>
    <row r="663" spans="1:7" ht="25.5">
      <c r="A663" s="16" t="s">
        <v>95</v>
      </c>
      <c r="B663" s="19" t="s">
        <v>275</v>
      </c>
      <c r="C663" s="20" t="s">
        <v>66</v>
      </c>
      <c r="D663" s="20" t="s">
        <v>67</v>
      </c>
      <c r="E663" s="110" t="s">
        <v>514</v>
      </c>
      <c r="F663" s="110" t="s">
        <v>96</v>
      </c>
      <c r="G663" s="199">
        <f>G664</f>
        <v>70</v>
      </c>
    </row>
    <row r="664" spans="1:7" ht="12.75">
      <c r="A664" s="16" t="s">
        <v>99</v>
      </c>
      <c r="B664" s="19" t="s">
        <v>275</v>
      </c>
      <c r="C664" s="20" t="s">
        <v>66</v>
      </c>
      <c r="D664" s="20" t="s">
        <v>67</v>
      </c>
      <c r="E664" s="110" t="s">
        <v>514</v>
      </c>
      <c r="F664" s="110" t="s">
        <v>100</v>
      </c>
      <c r="G664" s="199">
        <v>70</v>
      </c>
    </row>
    <row r="665" spans="1:7" ht="12.75">
      <c r="A665" s="14" t="s">
        <v>336</v>
      </c>
      <c r="B665" s="37" t="s">
        <v>275</v>
      </c>
      <c r="C665" s="32" t="s">
        <v>66</v>
      </c>
      <c r="D665" s="32" t="s">
        <v>66</v>
      </c>
      <c r="E665" s="113"/>
      <c r="F665" s="113"/>
      <c r="G665" s="199">
        <f>G667+G672+G690</f>
        <v>1859.8</v>
      </c>
    </row>
    <row r="666" spans="1:7" ht="12.75">
      <c r="A666" s="30" t="s">
        <v>478</v>
      </c>
      <c r="B666" s="19" t="s">
        <v>275</v>
      </c>
      <c r="C666" s="20" t="s">
        <v>66</v>
      </c>
      <c r="D666" s="20" t="s">
        <v>66</v>
      </c>
      <c r="E666" s="115" t="s">
        <v>479</v>
      </c>
      <c r="F666" s="110"/>
      <c r="G666" s="199">
        <f>G667+G672</f>
        <v>1824.8</v>
      </c>
    </row>
    <row r="667" spans="1:7" ht="25.5">
      <c r="A667" s="29" t="str">
        <f>'МП пр.6'!A45</f>
        <v>Муниципальная программа "Патриотическое воспитание  жителей Сусуманского городского округа  на 2018- 2022 годы"</v>
      </c>
      <c r="B667" s="19" t="s">
        <v>275</v>
      </c>
      <c r="C667" s="20" t="s">
        <v>66</v>
      </c>
      <c r="D667" s="20" t="s">
        <v>66</v>
      </c>
      <c r="E667" s="115" t="str">
        <f>'МП пр.6'!B45</f>
        <v xml:space="preserve">7В 0 00 00000 </v>
      </c>
      <c r="F667" s="110"/>
      <c r="G667" s="199">
        <f>G668</f>
        <v>1524.8</v>
      </c>
    </row>
    <row r="668" spans="1:7" ht="25.5">
      <c r="A668" s="29" t="str">
        <f>'МП пр.6'!A46</f>
        <v>Основное мероприятие "Организация работы по совершенствованию системы патриотического воспитания жителей"</v>
      </c>
      <c r="B668" s="19" t="s">
        <v>275</v>
      </c>
      <c r="C668" s="20" t="s">
        <v>66</v>
      </c>
      <c r="D668" s="20" t="s">
        <v>66</v>
      </c>
      <c r="E668" s="115" t="str">
        <f>'МП пр.6'!B46</f>
        <v xml:space="preserve">7В 0 01 00000 </v>
      </c>
      <c r="F668" s="110"/>
      <c r="G668" s="199">
        <f>G669</f>
        <v>1524.8</v>
      </c>
    </row>
    <row r="669" spans="1:7" ht="12.75">
      <c r="A669" s="29" t="str">
        <f>'МП пр.6'!A47</f>
        <v>Мероприятия патриотической направленности</v>
      </c>
      <c r="B669" s="19" t="s">
        <v>275</v>
      </c>
      <c r="C669" s="20" t="s">
        <v>66</v>
      </c>
      <c r="D669" s="20" t="s">
        <v>66</v>
      </c>
      <c r="E669" s="115" t="str">
        <f>'МП пр.6'!B47</f>
        <v xml:space="preserve">7В 0 01 92400 </v>
      </c>
      <c r="F669" s="110"/>
      <c r="G669" s="199">
        <f>G670</f>
        <v>1524.8</v>
      </c>
    </row>
    <row r="670" spans="1:7" ht="25.5">
      <c r="A670" s="16" t="s">
        <v>333</v>
      </c>
      <c r="B670" s="19" t="s">
        <v>275</v>
      </c>
      <c r="C670" s="20" t="s">
        <v>66</v>
      </c>
      <c r="D670" s="20" t="s">
        <v>66</v>
      </c>
      <c r="E670" s="115" t="s">
        <v>244</v>
      </c>
      <c r="F670" s="110" t="s">
        <v>94</v>
      </c>
      <c r="G670" s="199">
        <f>G671</f>
        <v>1524.8</v>
      </c>
    </row>
    <row r="671" spans="1:7" ht="25.5">
      <c r="A671" s="16" t="s">
        <v>608</v>
      </c>
      <c r="B671" s="19" t="s">
        <v>275</v>
      </c>
      <c r="C671" s="20" t="s">
        <v>66</v>
      </c>
      <c r="D671" s="20" t="s">
        <v>66</v>
      </c>
      <c r="E671" s="115" t="s">
        <v>244</v>
      </c>
      <c r="F671" s="110" t="s">
        <v>91</v>
      </c>
      <c r="G671" s="199">
        <f>'МП пр.6'!G52</f>
        <v>1524.8</v>
      </c>
    </row>
    <row r="672" spans="1:7" ht="25.5">
      <c r="A672" s="29" t="str">
        <f>'МП пр.6'!A207</f>
        <v>Муниципальная программа  "Развитие молодежной политики в Сусуманском городском округе  на 2018-2022 годы"</v>
      </c>
      <c r="B672" s="19" t="s">
        <v>275</v>
      </c>
      <c r="C672" s="20" t="s">
        <v>66</v>
      </c>
      <c r="D672" s="20" t="s">
        <v>66</v>
      </c>
      <c r="E672" s="115" t="str">
        <f>'МП пр.6'!B207</f>
        <v xml:space="preserve">7М 0 00 00000 </v>
      </c>
      <c r="F672" s="110"/>
      <c r="G672" s="199">
        <f>G673+G677</f>
        <v>300</v>
      </c>
    </row>
    <row r="673" spans="1:7" ht="12.75">
      <c r="A673" s="29" t="str">
        <f>'МП пр.6'!A208</f>
        <v>Основное мероприятие "Организационная работа"</v>
      </c>
      <c r="B673" s="19" t="s">
        <v>275</v>
      </c>
      <c r="C673" s="20" t="s">
        <v>66</v>
      </c>
      <c r="D673" s="20" t="s">
        <v>66</v>
      </c>
      <c r="E673" s="115" t="str">
        <f>'МП пр.6'!B208</f>
        <v xml:space="preserve">7М 0 01 00000 </v>
      </c>
      <c r="F673" s="110"/>
      <c r="G673" s="199">
        <f>G674</f>
        <v>50</v>
      </c>
    </row>
    <row r="674" spans="1:7" ht="25.5">
      <c r="A674" s="29" t="str">
        <f>'МП пр.6'!A209</f>
        <v>Материально- техническое и методологическое обеспечение в сфере молодежной политики</v>
      </c>
      <c r="B674" s="19" t="s">
        <v>275</v>
      </c>
      <c r="C674" s="20" t="s">
        <v>66</v>
      </c>
      <c r="D674" s="20" t="s">
        <v>66</v>
      </c>
      <c r="E674" s="115" t="str">
        <f>'МП пр.6'!B209</f>
        <v xml:space="preserve">7М 0 01 92530 </v>
      </c>
      <c r="F674" s="110"/>
      <c r="G674" s="199">
        <f>G675</f>
        <v>50</v>
      </c>
    </row>
    <row r="675" spans="1:7" ht="25.5">
      <c r="A675" s="16" t="s">
        <v>333</v>
      </c>
      <c r="B675" s="19" t="s">
        <v>275</v>
      </c>
      <c r="C675" s="20" t="s">
        <v>66</v>
      </c>
      <c r="D675" s="20" t="s">
        <v>66</v>
      </c>
      <c r="E675" s="115" t="s">
        <v>415</v>
      </c>
      <c r="F675" s="110" t="s">
        <v>94</v>
      </c>
      <c r="G675" s="199">
        <f>G676</f>
        <v>50</v>
      </c>
    </row>
    <row r="676" spans="1:7" ht="25.5">
      <c r="A676" s="16" t="s">
        <v>608</v>
      </c>
      <c r="B676" s="19" t="s">
        <v>275</v>
      </c>
      <c r="C676" s="20" t="s">
        <v>66</v>
      </c>
      <c r="D676" s="20" t="s">
        <v>66</v>
      </c>
      <c r="E676" s="115" t="s">
        <v>415</v>
      </c>
      <c r="F676" s="110" t="s">
        <v>91</v>
      </c>
      <c r="G676" s="199">
        <f>'МП пр.6'!G214</f>
        <v>50</v>
      </c>
    </row>
    <row r="677" spans="1:7" ht="12.75">
      <c r="A677" s="29" t="str">
        <f>'МП пр.6'!A215</f>
        <v>Основное мероприятие "Культурно- массовая работа"</v>
      </c>
      <c r="B677" s="19" t="s">
        <v>275</v>
      </c>
      <c r="C677" s="20" t="s">
        <v>66</v>
      </c>
      <c r="D677" s="20" t="s">
        <v>66</v>
      </c>
      <c r="E677" s="115" t="str">
        <f>'МП пр.6'!B215</f>
        <v xml:space="preserve">7М 0 02 00000 </v>
      </c>
      <c r="F677" s="110"/>
      <c r="G677" s="199">
        <f>G678+G681+G684+G687</f>
        <v>250</v>
      </c>
    </row>
    <row r="678" spans="1:7" ht="12.75">
      <c r="A678" s="29" t="str">
        <f>'МП пр.6'!A216</f>
        <v>Мероприятия, проводимые с участием молодежи</v>
      </c>
      <c r="B678" s="19" t="s">
        <v>275</v>
      </c>
      <c r="C678" s="20" t="s">
        <v>66</v>
      </c>
      <c r="D678" s="20" t="s">
        <v>66</v>
      </c>
      <c r="E678" s="115" t="str">
        <f>'МП пр.6'!B216</f>
        <v xml:space="preserve">7М 0 02 92600 </v>
      </c>
      <c r="F678" s="110"/>
      <c r="G678" s="199">
        <f>G679</f>
        <v>95</v>
      </c>
    </row>
    <row r="679" spans="1:7" ht="25.5">
      <c r="A679" s="16" t="s">
        <v>333</v>
      </c>
      <c r="B679" s="19" t="s">
        <v>275</v>
      </c>
      <c r="C679" s="20" t="s">
        <v>66</v>
      </c>
      <c r="D679" s="20" t="s">
        <v>66</v>
      </c>
      <c r="E679" s="115" t="s">
        <v>252</v>
      </c>
      <c r="F679" s="110" t="s">
        <v>94</v>
      </c>
      <c r="G679" s="199">
        <f>G680</f>
        <v>95</v>
      </c>
    </row>
    <row r="680" spans="1:7" ht="25.5">
      <c r="A680" s="16" t="s">
        <v>608</v>
      </c>
      <c r="B680" s="19" t="s">
        <v>275</v>
      </c>
      <c r="C680" s="20" t="s">
        <v>66</v>
      </c>
      <c r="D680" s="20" t="s">
        <v>66</v>
      </c>
      <c r="E680" s="115" t="s">
        <v>252</v>
      </c>
      <c r="F680" s="110" t="s">
        <v>91</v>
      </c>
      <c r="G680" s="199">
        <f>'МП пр.6'!G221</f>
        <v>95</v>
      </c>
    </row>
    <row r="681" spans="1:7" ht="12.75">
      <c r="A681" s="29" t="str">
        <f>'МП пр.6'!A222</f>
        <v>Участие в областных и районных мероприятиях, семинарах, сборах, конкурсах</v>
      </c>
      <c r="B681" s="19" t="s">
        <v>275</v>
      </c>
      <c r="C681" s="20" t="s">
        <v>66</v>
      </c>
      <c r="D681" s="20" t="s">
        <v>66</v>
      </c>
      <c r="E681" s="115" t="str">
        <f>'МП пр.6'!B222</f>
        <v xml:space="preserve">7М 0 02 92700 </v>
      </c>
      <c r="F681" s="110"/>
      <c r="G681" s="199">
        <f>G682</f>
        <v>100</v>
      </c>
    </row>
    <row r="682" spans="1:7" ht="38.25">
      <c r="A682" s="29" t="s">
        <v>92</v>
      </c>
      <c r="B682" s="19" t="s">
        <v>275</v>
      </c>
      <c r="C682" s="20" t="s">
        <v>66</v>
      </c>
      <c r="D682" s="20" t="s">
        <v>66</v>
      </c>
      <c r="E682" s="115" t="s">
        <v>253</v>
      </c>
      <c r="F682" s="110" t="s">
        <v>93</v>
      </c>
      <c r="G682" s="199">
        <f>G683</f>
        <v>100</v>
      </c>
    </row>
    <row r="683" spans="1:7" ht="12.75">
      <c r="A683" s="16" t="s">
        <v>208</v>
      </c>
      <c r="B683" s="19" t="s">
        <v>275</v>
      </c>
      <c r="C683" s="20" t="s">
        <v>66</v>
      </c>
      <c r="D683" s="20" t="s">
        <v>66</v>
      </c>
      <c r="E683" s="115" t="s">
        <v>253</v>
      </c>
      <c r="F683" s="110" t="s">
        <v>209</v>
      </c>
      <c r="G683" s="199">
        <f>'МП пр.6'!G227</f>
        <v>100</v>
      </c>
    </row>
    <row r="684" spans="1:7" ht="12.75">
      <c r="A684" s="29" t="str">
        <f>'МП пр.6'!A228</f>
        <v>Работа с молодыми семьями</v>
      </c>
      <c r="B684" s="19" t="s">
        <v>275</v>
      </c>
      <c r="C684" s="20" t="s">
        <v>66</v>
      </c>
      <c r="D684" s="20" t="s">
        <v>66</v>
      </c>
      <c r="E684" s="115" t="str">
        <f>'МП пр.6'!B228</f>
        <v>7М 0 02 92800</v>
      </c>
      <c r="F684" s="110"/>
      <c r="G684" s="199">
        <f>G685</f>
        <v>35</v>
      </c>
    </row>
    <row r="685" spans="1:7" ht="25.5">
      <c r="A685" s="16" t="s">
        <v>333</v>
      </c>
      <c r="B685" s="19" t="s">
        <v>275</v>
      </c>
      <c r="C685" s="20" t="s">
        <v>66</v>
      </c>
      <c r="D685" s="20" t="s">
        <v>66</v>
      </c>
      <c r="E685" s="115" t="s">
        <v>254</v>
      </c>
      <c r="F685" s="110" t="s">
        <v>94</v>
      </c>
      <c r="G685" s="199">
        <f>G686</f>
        <v>35</v>
      </c>
    </row>
    <row r="686" spans="1:7" ht="25.5">
      <c r="A686" s="16" t="s">
        <v>608</v>
      </c>
      <c r="B686" s="19" t="s">
        <v>275</v>
      </c>
      <c r="C686" s="20" t="s">
        <v>66</v>
      </c>
      <c r="D686" s="20" t="s">
        <v>66</v>
      </c>
      <c r="E686" s="115" t="s">
        <v>254</v>
      </c>
      <c r="F686" s="110" t="s">
        <v>91</v>
      </c>
      <c r="G686" s="199">
        <f>'МП пр.6'!G233</f>
        <v>35</v>
      </c>
    </row>
    <row r="687" spans="1:7" ht="12.75">
      <c r="A687" s="29" t="str">
        <f>'МП пр.6'!A234</f>
        <v>Работа по пропаганде здорового образа жизни и профилактике правонарушений</v>
      </c>
      <c r="B687" s="19" t="s">
        <v>275</v>
      </c>
      <c r="C687" s="20" t="s">
        <v>66</v>
      </c>
      <c r="D687" s="20" t="s">
        <v>66</v>
      </c>
      <c r="E687" s="115" t="str">
        <f>'МП пр.6'!B234</f>
        <v>7М 0 02 93000</v>
      </c>
      <c r="F687" s="110"/>
      <c r="G687" s="199">
        <f>G688</f>
        <v>20</v>
      </c>
    </row>
    <row r="688" spans="1:7" ht="25.5">
      <c r="A688" s="16" t="s">
        <v>333</v>
      </c>
      <c r="B688" s="19" t="s">
        <v>275</v>
      </c>
      <c r="C688" s="20" t="s">
        <v>66</v>
      </c>
      <c r="D688" s="20" t="s">
        <v>66</v>
      </c>
      <c r="E688" s="115" t="s">
        <v>255</v>
      </c>
      <c r="F688" s="110" t="s">
        <v>94</v>
      </c>
      <c r="G688" s="199">
        <f>G689</f>
        <v>20</v>
      </c>
    </row>
    <row r="689" spans="1:7" ht="25.5">
      <c r="A689" s="16" t="s">
        <v>608</v>
      </c>
      <c r="B689" s="19" t="s">
        <v>275</v>
      </c>
      <c r="C689" s="20" t="s">
        <v>66</v>
      </c>
      <c r="D689" s="20" t="s">
        <v>66</v>
      </c>
      <c r="E689" s="115" t="s">
        <v>255</v>
      </c>
      <c r="F689" s="110" t="s">
        <v>91</v>
      </c>
      <c r="G689" s="199">
        <f>'МП пр.6'!G238</f>
        <v>20</v>
      </c>
    </row>
    <row r="690" spans="1:7" ht="12.75">
      <c r="A690" s="16" t="s">
        <v>48</v>
      </c>
      <c r="B690" s="19" t="s">
        <v>275</v>
      </c>
      <c r="C690" s="20" t="s">
        <v>66</v>
      </c>
      <c r="D690" s="20" t="s">
        <v>66</v>
      </c>
      <c r="E690" s="110" t="s">
        <v>524</v>
      </c>
      <c r="F690" s="110"/>
      <c r="G690" s="199">
        <f>G691</f>
        <v>35</v>
      </c>
    </row>
    <row r="691" spans="1:7" ht="12.75">
      <c r="A691" s="16" t="s">
        <v>264</v>
      </c>
      <c r="B691" s="19" t="s">
        <v>275</v>
      </c>
      <c r="C691" s="20" t="s">
        <v>66</v>
      </c>
      <c r="D691" s="20" t="s">
        <v>66</v>
      </c>
      <c r="E691" s="110" t="s">
        <v>525</v>
      </c>
      <c r="F691" s="110"/>
      <c r="G691" s="199">
        <f>G692</f>
        <v>35</v>
      </c>
    </row>
    <row r="692" spans="1:7" ht="25.5">
      <c r="A692" s="16" t="s">
        <v>333</v>
      </c>
      <c r="B692" s="19" t="s">
        <v>275</v>
      </c>
      <c r="C692" s="20" t="s">
        <v>66</v>
      </c>
      <c r="D692" s="20" t="s">
        <v>66</v>
      </c>
      <c r="E692" s="110" t="s">
        <v>525</v>
      </c>
      <c r="F692" s="110" t="s">
        <v>94</v>
      </c>
      <c r="G692" s="199">
        <f>G693</f>
        <v>35</v>
      </c>
    </row>
    <row r="693" spans="1:7" ht="25.5">
      <c r="A693" s="16" t="s">
        <v>608</v>
      </c>
      <c r="B693" s="19" t="s">
        <v>275</v>
      </c>
      <c r="C693" s="20" t="s">
        <v>66</v>
      </c>
      <c r="D693" s="20" t="s">
        <v>66</v>
      </c>
      <c r="E693" s="110" t="s">
        <v>525</v>
      </c>
      <c r="F693" s="110" t="s">
        <v>91</v>
      </c>
      <c r="G693" s="199">
        <v>35</v>
      </c>
    </row>
    <row r="694" spans="1:7" ht="12.75">
      <c r="A694" s="15" t="s">
        <v>122</v>
      </c>
      <c r="B694" s="37" t="s">
        <v>275</v>
      </c>
      <c r="C694" s="32" t="s">
        <v>70</v>
      </c>
      <c r="D694" s="32" t="s">
        <v>34</v>
      </c>
      <c r="E694" s="113"/>
      <c r="F694" s="113"/>
      <c r="G694" s="198">
        <f>G695+G759</f>
        <v>44904.2</v>
      </c>
    </row>
    <row r="695" spans="1:7" ht="12.75">
      <c r="A695" s="15" t="s">
        <v>12</v>
      </c>
      <c r="B695" s="37" t="s">
        <v>275</v>
      </c>
      <c r="C695" s="32" t="s">
        <v>70</v>
      </c>
      <c r="D695" s="32" t="s">
        <v>63</v>
      </c>
      <c r="E695" s="113"/>
      <c r="F695" s="113"/>
      <c r="G695" s="198">
        <f>G697+G717+G731+G741+G751</f>
        <v>30683.899999999998</v>
      </c>
    </row>
    <row r="696" spans="1:7" ht="12.75">
      <c r="A696" s="16" t="s">
        <v>478</v>
      </c>
      <c r="B696" s="19" t="s">
        <v>275</v>
      </c>
      <c r="C696" s="20" t="s">
        <v>70</v>
      </c>
      <c r="D696" s="20" t="s">
        <v>63</v>
      </c>
      <c r="E696" s="115" t="s">
        <v>479</v>
      </c>
      <c r="F696" s="110"/>
      <c r="G696" s="199">
        <f>G697+G717</f>
        <v>2106.7999999999997</v>
      </c>
    </row>
    <row r="697" spans="1:7" ht="25.5">
      <c r="A697" s="29" t="str">
        <f>'МП пр.6'!A118</f>
        <v>Муниципальная программа "Развитие культуры в Сусуманском городском округе на 2018- 2022 годы"</v>
      </c>
      <c r="B697" s="19" t="s">
        <v>275</v>
      </c>
      <c r="C697" s="20" t="s">
        <v>70</v>
      </c>
      <c r="D697" s="20" t="s">
        <v>63</v>
      </c>
      <c r="E697" s="115" t="str">
        <f>'МП пр.6'!B118</f>
        <v xml:space="preserve">7Е 0 00 00000 </v>
      </c>
      <c r="F697" s="110"/>
      <c r="G697" s="199">
        <f>G698+G709+G705+G713</f>
        <v>1693.1</v>
      </c>
    </row>
    <row r="698" spans="1:7" ht="25.5">
      <c r="A698" s="16" t="str">
        <f>'МП пр.6'!A119</f>
        <v>Основное мероприятие "Комплектование книжных фондов библиотек Сусуманского городского округа"</v>
      </c>
      <c r="B698" s="19" t="s">
        <v>275</v>
      </c>
      <c r="C698" s="20" t="s">
        <v>70</v>
      </c>
      <c r="D698" s="20" t="s">
        <v>63</v>
      </c>
      <c r="E698" s="115" t="str">
        <f>'МП пр.6'!B119</f>
        <v xml:space="preserve">7Е 0 01 00000 </v>
      </c>
      <c r="F698" s="110"/>
      <c r="G698" s="199">
        <f>G699+G702</f>
        <v>51.4</v>
      </c>
    </row>
    <row r="699" spans="1:7" ht="12.75">
      <c r="A699" s="16" t="str">
        <f>'МП пр.6'!A120</f>
        <v>Приобретение литературно- художественных изданий</v>
      </c>
      <c r="B699" s="19" t="s">
        <v>275</v>
      </c>
      <c r="C699" s="20" t="s">
        <v>70</v>
      </c>
      <c r="D699" s="20" t="s">
        <v>63</v>
      </c>
      <c r="E699" s="110" t="str">
        <f>'МП пр.6'!B120</f>
        <v>7Е 0 01 73160</v>
      </c>
      <c r="F699" s="110"/>
      <c r="G699" s="199">
        <f>G700</f>
        <v>41.4</v>
      </c>
    </row>
    <row r="700" spans="1:7" ht="25.5">
      <c r="A700" s="16" t="s">
        <v>95</v>
      </c>
      <c r="B700" s="19" t="s">
        <v>275</v>
      </c>
      <c r="C700" s="20" t="s">
        <v>70</v>
      </c>
      <c r="D700" s="20" t="s">
        <v>63</v>
      </c>
      <c r="E700" s="110" t="s">
        <v>314</v>
      </c>
      <c r="F700" s="110" t="s">
        <v>96</v>
      </c>
      <c r="G700" s="199">
        <f>G701</f>
        <v>41.4</v>
      </c>
    </row>
    <row r="701" spans="1:7" ht="12.75">
      <c r="A701" s="16" t="s">
        <v>99</v>
      </c>
      <c r="B701" s="19" t="s">
        <v>275</v>
      </c>
      <c r="C701" s="20" t="s">
        <v>70</v>
      </c>
      <c r="D701" s="20" t="s">
        <v>63</v>
      </c>
      <c r="E701" s="110" t="s">
        <v>314</v>
      </c>
      <c r="F701" s="110" t="s">
        <v>100</v>
      </c>
      <c r="G701" s="199">
        <f>'МП пр.6'!G125</f>
        <v>41.4</v>
      </c>
    </row>
    <row r="702" spans="1:7" ht="12.75">
      <c r="A702" s="16" t="str">
        <f>'МП пр.6'!A126</f>
        <v>Приобретение литературно- художественных изданий за счет средств местного бюджета</v>
      </c>
      <c r="B702" s="19" t="s">
        <v>275</v>
      </c>
      <c r="C702" s="20" t="s">
        <v>70</v>
      </c>
      <c r="D702" s="20" t="s">
        <v>63</v>
      </c>
      <c r="E702" s="110" t="str">
        <f>'МП пр.6'!B126</f>
        <v>7Е 0 01 S3160</v>
      </c>
      <c r="F702" s="110"/>
      <c r="G702" s="199">
        <f>G703</f>
        <v>10</v>
      </c>
    </row>
    <row r="703" spans="1:7" ht="25.5">
      <c r="A703" s="16" t="s">
        <v>95</v>
      </c>
      <c r="B703" s="19" t="s">
        <v>275</v>
      </c>
      <c r="C703" s="20" t="s">
        <v>70</v>
      </c>
      <c r="D703" s="20" t="s">
        <v>63</v>
      </c>
      <c r="E703" s="110" t="s">
        <v>315</v>
      </c>
      <c r="F703" s="110" t="s">
        <v>96</v>
      </c>
      <c r="G703" s="199">
        <f>G704</f>
        <v>10</v>
      </c>
    </row>
    <row r="704" spans="1:7" ht="12.75">
      <c r="A704" s="16" t="s">
        <v>99</v>
      </c>
      <c r="B704" s="19" t="s">
        <v>275</v>
      </c>
      <c r="C704" s="20" t="s">
        <v>70</v>
      </c>
      <c r="D704" s="20" t="s">
        <v>63</v>
      </c>
      <c r="E704" s="110" t="s">
        <v>315</v>
      </c>
      <c r="F704" s="110" t="s">
        <v>100</v>
      </c>
      <c r="G704" s="199">
        <f>'МП пр.6'!G131</f>
        <v>10</v>
      </c>
    </row>
    <row r="705" spans="1:7" ht="12.75">
      <c r="A705" s="29" t="str">
        <f>'МП пр.6'!A132</f>
        <v>Основное мероприятие "Сохранение культурного наследия и творческого потенциала"</v>
      </c>
      <c r="B705" s="19" t="s">
        <v>275</v>
      </c>
      <c r="C705" s="20" t="s">
        <v>70</v>
      </c>
      <c r="D705" s="20" t="s">
        <v>63</v>
      </c>
      <c r="E705" s="115" t="str">
        <f>'МП пр.6'!B132</f>
        <v xml:space="preserve">7Е 0 02 00000 </v>
      </c>
      <c r="F705" s="110"/>
      <c r="G705" s="199">
        <f>G706</f>
        <v>74.5</v>
      </c>
    </row>
    <row r="706" spans="1:7" ht="12.75">
      <c r="A706" s="16" t="str">
        <f>'МП пр.6'!A133</f>
        <v>Укрепление материально- технической базы учреждений культуры</v>
      </c>
      <c r="B706" s="19" t="s">
        <v>275</v>
      </c>
      <c r="C706" s="20" t="s">
        <v>70</v>
      </c>
      <c r="D706" s="20" t="s">
        <v>63</v>
      </c>
      <c r="E706" s="115" t="str">
        <f>'МП пр.6'!B133</f>
        <v xml:space="preserve">7Е 0 02 92510 </v>
      </c>
      <c r="F706" s="110"/>
      <c r="G706" s="199">
        <f>G707</f>
        <v>74.5</v>
      </c>
    </row>
    <row r="707" spans="1:7" ht="25.5">
      <c r="A707" s="16" t="s">
        <v>95</v>
      </c>
      <c r="B707" s="19" t="s">
        <v>275</v>
      </c>
      <c r="C707" s="20" t="s">
        <v>70</v>
      </c>
      <c r="D707" s="20" t="s">
        <v>63</v>
      </c>
      <c r="E707" s="115" t="s">
        <v>360</v>
      </c>
      <c r="F707" s="110" t="s">
        <v>96</v>
      </c>
      <c r="G707" s="199">
        <f>G708</f>
        <v>74.5</v>
      </c>
    </row>
    <row r="708" spans="1:7" ht="12.75">
      <c r="A708" s="16" t="s">
        <v>99</v>
      </c>
      <c r="B708" s="19" t="s">
        <v>275</v>
      </c>
      <c r="C708" s="20" t="s">
        <v>70</v>
      </c>
      <c r="D708" s="20" t="s">
        <v>63</v>
      </c>
      <c r="E708" s="115" t="s">
        <v>360</v>
      </c>
      <c r="F708" s="110" t="s">
        <v>100</v>
      </c>
      <c r="G708" s="199">
        <f>'МП пр.6'!G138</f>
        <v>74.5</v>
      </c>
    </row>
    <row r="709" spans="1:7" ht="38.25">
      <c r="A709" s="16" t="str">
        <f>'МП пр.6'!A148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709" s="19" t="s">
        <v>275</v>
      </c>
      <c r="C709" s="20" t="s">
        <v>70</v>
      </c>
      <c r="D709" s="20" t="s">
        <v>63</v>
      </c>
      <c r="E709" s="115" t="str">
        <f>'МП пр.6'!B148</f>
        <v xml:space="preserve">7Е 0 03 00000 </v>
      </c>
      <c r="F709" s="110"/>
      <c r="G709" s="199">
        <f>G710</f>
        <v>1317.1999999999998</v>
      </c>
    </row>
    <row r="710" spans="1:7" ht="38.25">
      <c r="A710" s="16" t="str">
        <f>'МП пр.6'!A149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710" s="19" t="s">
        <v>275</v>
      </c>
      <c r="C710" s="20" t="s">
        <v>70</v>
      </c>
      <c r="D710" s="20" t="s">
        <v>63</v>
      </c>
      <c r="E710" s="115" t="str">
        <f>'МП пр.6'!B149</f>
        <v xml:space="preserve">7Е 0 03 75010 </v>
      </c>
      <c r="F710" s="110"/>
      <c r="G710" s="199">
        <f>G711</f>
        <v>1317.1999999999998</v>
      </c>
    </row>
    <row r="711" spans="1:7" ht="25.5">
      <c r="A711" s="16" t="s">
        <v>95</v>
      </c>
      <c r="B711" s="19" t="s">
        <v>275</v>
      </c>
      <c r="C711" s="20" t="s">
        <v>70</v>
      </c>
      <c r="D711" s="20" t="s">
        <v>63</v>
      </c>
      <c r="E711" s="115" t="s">
        <v>317</v>
      </c>
      <c r="F711" s="110" t="s">
        <v>96</v>
      </c>
      <c r="G711" s="199">
        <f>G712</f>
        <v>1317.1999999999998</v>
      </c>
    </row>
    <row r="712" spans="1:7" ht="12.75">
      <c r="A712" s="16" t="s">
        <v>99</v>
      </c>
      <c r="B712" s="19" t="s">
        <v>275</v>
      </c>
      <c r="C712" s="20" t="s">
        <v>70</v>
      </c>
      <c r="D712" s="20" t="s">
        <v>63</v>
      </c>
      <c r="E712" s="115" t="s">
        <v>317</v>
      </c>
      <c r="F712" s="110" t="s">
        <v>100</v>
      </c>
      <c r="G712" s="199">
        <f>'МП пр.6'!G154</f>
        <v>1317.1999999999998</v>
      </c>
    </row>
    <row r="713" spans="1:7" ht="25.5">
      <c r="A713" s="16" t="str">
        <f>'МП пр.6'!A155</f>
        <v>Основное мероприятие "Формирование доступной среды в учреждениях культуры и искусства"</v>
      </c>
      <c r="B713" s="19" t="s">
        <v>275</v>
      </c>
      <c r="C713" s="20" t="s">
        <v>70</v>
      </c>
      <c r="D713" s="20" t="s">
        <v>63</v>
      </c>
      <c r="E713" s="115" t="str">
        <f>'МП пр.6'!B155</f>
        <v xml:space="preserve">7Е 0 04 00000 </v>
      </c>
      <c r="F713" s="110"/>
      <c r="G713" s="199">
        <f>G714</f>
        <v>250</v>
      </c>
    </row>
    <row r="714" spans="1:7" ht="25.5">
      <c r="A714" s="16" t="str">
        <f>'МП пр.6'!A156</f>
        <v>Адаптация социально- значимых объектов для инвалидов и маломобильных групп населения</v>
      </c>
      <c r="B714" s="19" t="s">
        <v>275</v>
      </c>
      <c r="C714" s="20" t="s">
        <v>70</v>
      </c>
      <c r="D714" s="20" t="s">
        <v>63</v>
      </c>
      <c r="E714" s="115" t="str">
        <f>'МП пр.6'!B156</f>
        <v xml:space="preserve">7Е 0 04 91500 </v>
      </c>
      <c r="F714" s="110"/>
      <c r="G714" s="199">
        <f>G715</f>
        <v>250</v>
      </c>
    </row>
    <row r="715" spans="1:7" ht="25.5">
      <c r="A715" s="16" t="s">
        <v>95</v>
      </c>
      <c r="B715" s="19" t="s">
        <v>275</v>
      </c>
      <c r="C715" s="20" t="s">
        <v>70</v>
      </c>
      <c r="D715" s="20" t="s">
        <v>63</v>
      </c>
      <c r="E715" s="115" t="str">
        <f>'МП пр.6'!B157</f>
        <v xml:space="preserve">7Е 0 04 91500 </v>
      </c>
      <c r="F715" s="110" t="s">
        <v>96</v>
      </c>
      <c r="G715" s="199">
        <f>G716</f>
        <v>250</v>
      </c>
    </row>
    <row r="716" spans="1:7" ht="12.75">
      <c r="A716" s="16" t="s">
        <v>99</v>
      </c>
      <c r="B716" s="19" t="s">
        <v>275</v>
      </c>
      <c r="C716" s="20" t="s">
        <v>70</v>
      </c>
      <c r="D716" s="20" t="s">
        <v>63</v>
      </c>
      <c r="E716" s="115" t="str">
        <f>'МП пр.6'!B158</f>
        <v xml:space="preserve">7Е 0 04 91500 </v>
      </c>
      <c r="F716" s="110" t="s">
        <v>100</v>
      </c>
      <c r="G716" s="199">
        <f>'МП пр.6'!G161</f>
        <v>250</v>
      </c>
    </row>
    <row r="717" spans="1:7" ht="25.5">
      <c r="A717" s="29" t="str">
        <f>'МП пр.6'!A257</f>
        <v>Муниципальная программа  "Пожарная безопасность в Сусуманском городском округе на 2018- 2022 годы"</v>
      </c>
      <c r="B717" s="19" t="s">
        <v>275</v>
      </c>
      <c r="C717" s="20" t="s">
        <v>70</v>
      </c>
      <c r="D717" s="20" t="s">
        <v>63</v>
      </c>
      <c r="E717" s="115" t="str">
        <f>'МП пр.6'!B257</f>
        <v xml:space="preserve">7П 0 00 00000 </v>
      </c>
      <c r="F717" s="110"/>
      <c r="G717" s="199">
        <f>G718</f>
        <v>413.7</v>
      </c>
    </row>
    <row r="718" spans="1:7" ht="25.5">
      <c r="A718" s="29" t="str">
        <f>'МП пр.6'!A258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18" s="19" t="s">
        <v>275</v>
      </c>
      <c r="C718" s="20" t="s">
        <v>70</v>
      </c>
      <c r="D718" s="20" t="s">
        <v>63</v>
      </c>
      <c r="E718" s="115" t="str">
        <f>'МП пр.6'!B258</f>
        <v xml:space="preserve">7П 0 01 00000 </v>
      </c>
      <c r="F718" s="110"/>
      <c r="G718" s="199">
        <f>G719+G722+G725+G728</f>
        <v>413.7</v>
      </c>
    </row>
    <row r="719" spans="1:7" ht="38.25">
      <c r="A719" s="29" t="str">
        <f>'МП пр.6'!A259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719" s="19" t="s">
        <v>275</v>
      </c>
      <c r="C719" s="20" t="s">
        <v>70</v>
      </c>
      <c r="D719" s="20" t="s">
        <v>63</v>
      </c>
      <c r="E719" s="115" t="str">
        <f>'МП пр.6'!B259</f>
        <v xml:space="preserve">7П 0 01 94100 </v>
      </c>
      <c r="F719" s="110"/>
      <c r="G719" s="199">
        <f>G720</f>
        <v>295</v>
      </c>
    </row>
    <row r="720" spans="1:7" ht="25.5">
      <c r="A720" s="16" t="s">
        <v>95</v>
      </c>
      <c r="B720" s="19" t="s">
        <v>275</v>
      </c>
      <c r="C720" s="20" t="s">
        <v>70</v>
      </c>
      <c r="D720" s="20" t="s">
        <v>63</v>
      </c>
      <c r="E720" s="115" t="s">
        <v>236</v>
      </c>
      <c r="F720" s="110" t="s">
        <v>96</v>
      </c>
      <c r="G720" s="199">
        <f>G721</f>
        <v>295</v>
      </c>
    </row>
    <row r="721" spans="1:7" ht="12.75">
      <c r="A721" s="16" t="s">
        <v>99</v>
      </c>
      <c r="B721" s="19" t="s">
        <v>275</v>
      </c>
      <c r="C721" s="20" t="s">
        <v>70</v>
      </c>
      <c r="D721" s="20" t="s">
        <v>63</v>
      </c>
      <c r="E721" s="115" t="s">
        <v>236</v>
      </c>
      <c r="F721" s="110" t="s">
        <v>100</v>
      </c>
      <c r="G721" s="199">
        <f>'МП пр.6'!G278</f>
        <v>295</v>
      </c>
    </row>
    <row r="722" spans="1:7" ht="12.75">
      <c r="A722" s="29" t="str">
        <f>'МП пр.6'!A284</f>
        <v>Обработка сгораемых конструкций огнезащитными составами</v>
      </c>
      <c r="B722" s="19" t="s">
        <v>275</v>
      </c>
      <c r="C722" s="20" t="s">
        <v>70</v>
      </c>
      <c r="D722" s="20" t="s">
        <v>63</v>
      </c>
      <c r="E722" s="115" t="str">
        <f>'МП пр.6'!B284</f>
        <v xml:space="preserve">7П 0 01 94200 </v>
      </c>
      <c r="F722" s="110"/>
      <c r="G722" s="199">
        <f>G723</f>
        <v>80</v>
      </c>
    </row>
    <row r="723" spans="1:7" ht="25.5">
      <c r="A723" s="16" t="s">
        <v>95</v>
      </c>
      <c r="B723" s="19" t="s">
        <v>275</v>
      </c>
      <c r="C723" s="20" t="s">
        <v>70</v>
      </c>
      <c r="D723" s="20" t="s">
        <v>63</v>
      </c>
      <c r="E723" s="115" t="s">
        <v>240</v>
      </c>
      <c r="F723" s="110" t="s">
        <v>96</v>
      </c>
      <c r="G723" s="199">
        <f>G724</f>
        <v>80</v>
      </c>
    </row>
    <row r="724" spans="1:7" ht="12.75">
      <c r="A724" s="16" t="s">
        <v>99</v>
      </c>
      <c r="B724" s="19" t="s">
        <v>275</v>
      </c>
      <c r="C724" s="20" t="s">
        <v>70</v>
      </c>
      <c r="D724" s="20" t="s">
        <v>63</v>
      </c>
      <c r="E724" s="115" t="s">
        <v>240</v>
      </c>
      <c r="F724" s="110" t="s">
        <v>100</v>
      </c>
      <c r="G724" s="199">
        <f>'МП пр.6'!G298</f>
        <v>80</v>
      </c>
    </row>
    <row r="725" spans="1:7" ht="12.75">
      <c r="A725" s="29" t="str">
        <f>'МП пр.6'!A299</f>
        <v>Приобретение и заправка огнетушителей, средств индивидуальной защиты</v>
      </c>
      <c r="B725" s="19" t="s">
        <v>275</v>
      </c>
      <c r="C725" s="20" t="s">
        <v>70</v>
      </c>
      <c r="D725" s="20" t="s">
        <v>63</v>
      </c>
      <c r="E725" s="115" t="str">
        <f>'МП пр.6'!B299</f>
        <v xml:space="preserve">7П 0 01 94300 </v>
      </c>
      <c r="F725" s="110"/>
      <c r="G725" s="199">
        <f>G726</f>
        <v>18.7</v>
      </c>
    </row>
    <row r="726" spans="1:7" ht="25.5">
      <c r="A726" s="16" t="s">
        <v>95</v>
      </c>
      <c r="B726" s="19" t="s">
        <v>275</v>
      </c>
      <c r="C726" s="20" t="s">
        <v>70</v>
      </c>
      <c r="D726" s="20" t="s">
        <v>63</v>
      </c>
      <c r="E726" s="115" t="s">
        <v>249</v>
      </c>
      <c r="F726" s="110" t="s">
        <v>96</v>
      </c>
      <c r="G726" s="199">
        <f>G727</f>
        <v>18.7</v>
      </c>
    </row>
    <row r="727" spans="1:7" ht="12.75">
      <c r="A727" s="16" t="s">
        <v>99</v>
      </c>
      <c r="B727" s="19" t="s">
        <v>275</v>
      </c>
      <c r="C727" s="20" t="s">
        <v>70</v>
      </c>
      <c r="D727" s="20" t="s">
        <v>63</v>
      </c>
      <c r="E727" s="115" t="s">
        <v>249</v>
      </c>
      <c r="F727" s="110" t="s">
        <v>100</v>
      </c>
      <c r="G727" s="199">
        <f>'МП пр.6'!G309</f>
        <v>18.7</v>
      </c>
    </row>
    <row r="728" spans="1:7" ht="25.5">
      <c r="A728" s="29" t="str">
        <f>'МП пр.6'!A338</f>
        <v>Проведение проверок исправности и ремонт систем противопожарного водоснабжения, приобретение и обслуживание гидрантов</v>
      </c>
      <c r="B728" s="19" t="s">
        <v>275</v>
      </c>
      <c r="C728" s="20" t="s">
        <v>70</v>
      </c>
      <c r="D728" s="20" t="s">
        <v>63</v>
      </c>
      <c r="E728" s="115" t="str">
        <f>'МП пр.6'!B338</f>
        <v xml:space="preserve">7П 0 01 94500 </v>
      </c>
      <c r="F728" s="110"/>
      <c r="G728" s="199">
        <f>G729</f>
        <v>20</v>
      </c>
    </row>
    <row r="729" spans="1:7" ht="25.5">
      <c r="A729" s="16" t="s">
        <v>95</v>
      </c>
      <c r="B729" s="19" t="s">
        <v>275</v>
      </c>
      <c r="C729" s="20" t="s">
        <v>70</v>
      </c>
      <c r="D729" s="20" t="s">
        <v>63</v>
      </c>
      <c r="E729" s="115" t="s">
        <v>238</v>
      </c>
      <c r="F729" s="110" t="s">
        <v>96</v>
      </c>
      <c r="G729" s="199">
        <f>G730</f>
        <v>20</v>
      </c>
    </row>
    <row r="730" spans="1:7" ht="12.75">
      <c r="A730" s="16" t="s">
        <v>99</v>
      </c>
      <c r="B730" s="19" t="s">
        <v>275</v>
      </c>
      <c r="C730" s="20" t="s">
        <v>70</v>
      </c>
      <c r="D730" s="20" t="s">
        <v>63</v>
      </c>
      <c r="E730" s="115" t="s">
        <v>238</v>
      </c>
      <c r="F730" s="110" t="s">
        <v>100</v>
      </c>
      <c r="G730" s="199">
        <f>'МП пр.6'!G356</f>
        <v>20</v>
      </c>
    </row>
    <row r="731" spans="1:7" ht="12.75">
      <c r="A731" s="16" t="s">
        <v>136</v>
      </c>
      <c r="B731" s="19" t="s">
        <v>275</v>
      </c>
      <c r="C731" s="20" t="s">
        <v>70</v>
      </c>
      <c r="D731" s="20" t="s">
        <v>63</v>
      </c>
      <c r="E731" s="110" t="s">
        <v>527</v>
      </c>
      <c r="F731" s="110"/>
      <c r="G731" s="199">
        <f>G732+G735+G738</f>
        <v>11580</v>
      </c>
    </row>
    <row r="732" spans="1:7" ht="12.75">
      <c r="A732" s="16" t="s">
        <v>185</v>
      </c>
      <c r="B732" s="19" t="s">
        <v>275</v>
      </c>
      <c r="C732" s="20" t="s">
        <v>70</v>
      </c>
      <c r="D732" s="20" t="s">
        <v>63</v>
      </c>
      <c r="E732" s="110" t="s">
        <v>528</v>
      </c>
      <c r="F732" s="110"/>
      <c r="G732" s="199">
        <f>G733</f>
        <v>11391.7</v>
      </c>
    </row>
    <row r="733" spans="1:7" ht="25.5">
      <c r="A733" s="16" t="s">
        <v>95</v>
      </c>
      <c r="B733" s="19" t="s">
        <v>275</v>
      </c>
      <c r="C733" s="20" t="s">
        <v>70</v>
      </c>
      <c r="D733" s="20" t="s">
        <v>63</v>
      </c>
      <c r="E733" s="110" t="s">
        <v>528</v>
      </c>
      <c r="F733" s="110" t="s">
        <v>96</v>
      </c>
      <c r="G733" s="199">
        <f>G734</f>
        <v>11391.7</v>
      </c>
    </row>
    <row r="734" spans="1:7" ht="12.75">
      <c r="A734" s="16" t="s">
        <v>99</v>
      </c>
      <c r="B734" s="19" t="s">
        <v>275</v>
      </c>
      <c r="C734" s="20" t="s">
        <v>70</v>
      </c>
      <c r="D734" s="20" t="s">
        <v>63</v>
      </c>
      <c r="E734" s="110" t="s">
        <v>528</v>
      </c>
      <c r="F734" s="110" t="s">
        <v>100</v>
      </c>
      <c r="G734" s="199">
        <f>11191.7+200</f>
        <v>11391.7</v>
      </c>
    </row>
    <row r="735" spans="1:7" ht="51">
      <c r="A735" s="16" t="s">
        <v>204</v>
      </c>
      <c r="B735" s="19" t="s">
        <v>275</v>
      </c>
      <c r="C735" s="20" t="s">
        <v>70</v>
      </c>
      <c r="D735" s="20" t="s">
        <v>63</v>
      </c>
      <c r="E735" s="110" t="s">
        <v>529</v>
      </c>
      <c r="F735" s="110"/>
      <c r="G735" s="199">
        <f>G736</f>
        <v>176.3</v>
      </c>
    </row>
    <row r="736" spans="1:7" ht="25.5">
      <c r="A736" s="16" t="s">
        <v>95</v>
      </c>
      <c r="B736" s="19" t="s">
        <v>275</v>
      </c>
      <c r="C736" s="20" t="s">
        <v>70</v>
      </c>
      <c r="D736" s="20" t="s">
        <v>63</v>
      </c>
      <c r="E736" s="110" t="s">
        <v>529</v>
      </c>
      <c r="F736" s="110" t="s">
        <v>96</v>
      </c>
      <c r="G736" s="199">
        <f>G737</f>
        <v>176.3</v>
      </c>
    </row>
    <row r="737" spans="1:7" ht="12.75">
      <c r="A737" s="16" t="s">
        <v>99</v>
      </c>
      <c r="B737" s="19" t="s">
        <v>275</v>
      </c>
      <c r="C737" s="20" t="s">
        <v>70</v>
      </c>
      <c r="D737" s="20" t="s">
        <v>63</v>
      </c>
      <c r="E737" s="110" t="s">
        <v>529</v>
      </c>
      <c r="F737" s="110" t="s">
        <v>100</v>
      </c>
      <c r="G737" s="199">
        <f>400-223.7</f>
        <v>176.3</v>
      </c>
    </row>
    <row r="738" spans="1:7" ht="12.75">
      <c r="A738" s="16" t="s">
        <v>176</v>
      </c>
      <c r="B738" s="19" t="s">
        <v>275</v>
      </c>
      <c r="C738" s="20" t="s">
        <v>70</v>
      </c>
      <c r="D738" s="20" t="s">
        <v>63</v>
      </c>
      <c r="E738" s="110" t="s">
        <v>530</v>
      </c>
      <c r="F738" s="110"/>
      <c r="G738" s="199">
        <f>G739</f>
        <v>12</v>
      </c>
    </row>
    <row r="739" spans="1:7" ht="25.5">
      <c r="A739" s="16" t="s">
        <v>95</v>
      </c>
      <c r="B739" s="19" t="s">
        <v>275</v>
      </c>
      <c r="C739" s="20" t="s">
        <v>70</v>
      </c>
      <c r="D739" s="20" t="s">
        <v>63</v>
      </c>
      <c r="E739" s="110" t="s">
        <v>530</v>
      </c>
      <c r="F739" s="110" t="s">
        <v>96</v>
      </c>
      <c r="G739" s="199">
        <f>G740</f>
        <v>12</v>
      </c>
    </row>
    <row r="740" spans="1:7" ht="12.75">
      <c r="A740" s="16" t="s">
        <v>99</v>
      </c>
      <c r="B740" s="19" t="s">
        <v>275</v>
      </c>
      <c r="C740" s="20" t="s">
        <v>70</v>
      </c>
      <c r="D740" s="20" t="s">
        <v>63</v>
      </c>
      <c r="E740" s="110" t="s">
        <v>530</v>
      </c>
      <c r="F740" s="110" t="s">
        <v>100</v>
      </c>
      <c r="G740" s="199">
        <v>12</v>
      </c>
    </row>
    <row r="741" spans="1:7" ht="25.5">
      <c r="A741" s="16" t="s">
        <v>531</v>
      </c>
      <c r="B741" s="19" t="s">
        <v>275</v>
      </c>
      <c r="C741" s="20" t="s">
        <v>70</v>
      </c>
      <c r="D741" s="20" t="s">
        <v>63</v>
      </c>
      <c r="E741" s="110" t="s">
        <v>532</v>
      </c>
      <c r="F741" s="110"/>
      <c r="G741" s="199">
        <f>G742+G745+G748</f>
        <v>15716.399999999998</v>
      </c>
    </row>
    <row r="742" spans="1:7" ht="12.75">
      <c r="A742" s="16" t="s">
        <v>185</v>
      </c>
      <c r="B742" s="19" t="s">
        <v>275</v>
      </c>
      <c r="C742" s="20" t="s">
        <v>70</v>
      </c>
      <c r="D742" s="20" t="s">
        <v>63</v>
      </c>
      <c r="E742" s="110" t="s">
        <v>533</v>
      </c>
      <c r="F742" s="110"/>
      <c r="G742" s="199">
        <f>G743</f>
        <v>15555.099999999999</v>
      </c>
    </row>
    <row r="743" spans="1:7" ht="25.5">
      <c r="A743" s="16" t="s">
        <v>95</v>
      </c>
      <c r="B743" s="19" t="s">
        <v>275</v>
      </c>
      <c r="C743" s="20" t="s">
        <v>70</v>
      </c>
      <c r="D743" s="20" t="s">
        <v>63</v>
      </c>
      <c r="E743" s="110" t="s">
        <v>533</v>
      </c>
      <c r="F743" s="110" t="s">
        <v>96</v>
      </c>
      <c r="G743" s="199">
        <f>G744</f>
        <v>15555.099999999999</v>
      </c>
    </row>
    <row r="744" spans="1:7" ht="12.75">
      <c r="A744" s="16" t="s">
        <v>99</v>
      </c>
      <c r="B744" s="19" t="s">
        <v>275</v>
      </c>
      <c r="C744" s="20" t="s">
        <v>70</v>
      </c>
      <c r="D744" s="20" t="s">
        <v>63</v>
      </c>
      <c r="E744" s="110" t="s">
        <v>533</v>
      </c>
      <c r="F744" s="110" t="s">
        <v>100</v>
      </c>
      <c r="G744" s="199">
        <f>15390.8+164.3</f>
        <v>15555.099999999999</v>
      </c>
    </row>
    <row r="745" spans="1:7" ht="51">
      <c r="A745" s="16" t="s">
        <v>204</v>
      </c>
      <c r="B745" s="19" t="s">
        <v>275</v>
      </c>
      <c r="C745" s="20" t="s">
        <v>70</v>
      </c>
      <c r="D745" s="20" t="s">
        <v>63</v>
      </c>
      <c r="E745" s="110" t="s">
        <v>534</v>
      </c>
      <c r="F745" s="110"/>
      <c r="G745" s="199">
        <f>G746</f>
        <v>129.3</v>
      </c>
    </row>
    <row r="746" spans="1:7" ht="25.5">
      <c r="A746" s="16" t="s">
        <v>95</v>
      </c>
      <c r="B746" s="19" t="s">
        <v>275</v>
      </c>
      <c r="C746" s="20" t="s">
        <v>70</v>
      </c>
      <c r="D746" s="20" t="s">
        <v>63</v>
      </c>
      <c r="E746" s="110" t="s">
        <v>534</v>
      </c>
      <c r="F746" s="110" t="s">
        <v>96</v>
      </c>
      <c r="G746" s="199">
        <f>G747</f>
        <v>129.3</v>
      </c>
    </row>
    <row r="747" spans="1:7" ht="12.75">
      <c r="A747" s="16" t="s">
        <v>99</v>
      </c>
      <c r="B747" s="19" t="s">
        <v>275</v>
      </c>
      <c r="C747" s="20" t="s">
        <v>70</v>
      </c>
      <c r="D747" s="20" t="s">
        <v>63</v>
      </c>
      <c r="E747" s="110" t="s">
        <v>534</v>
      </c>
      <c r="F747" s="110" t="s">
        <v>100</v>
      </c>
      <c r="G747" s="199">
        <f>320-190.7</f>
        <v>129.3</v>
      </c>
    </row>
    <row r="748" spans="1:7" ht="12.75">
      <c r="A748" s="16" t="s">
        <v>176</v>
      </c>
      <c r="B748" s="19" t="s">
        <v>275</v>
      </c>
      <c r="C748" s="20" t="s">
        <v>70</v>
      </c>
      <c r="D748" s="20" t="s">
        <v>63</v>
      </c>
      <c r="E748" s="110" t="s">
        <v>535</v>
      </c>
      <c r="F748" s="110"/>
      <c r="G748" s="199">
        <f>G749</f>
        <v>32</v>
      </c>
    </row>
    <row r="749" spans="1:7" ht="25.5">
      <c r="A749" s="16" t="s">
        <v>95</v>
      </c>
      <c r="B749" s="19" t="s">
        <v>275</v>
      </c>
      <c r="C749" s="20" t="s">
        <v>70</v>
      </c>
      <c r="D749" s="20" t="s">
        <v>63</v>
      </c>
      <c r="E749" s="110" t="s">
        <v>535</v>
      </c>
      <c r="F749" s="110" t="s">
        <v>96</v>
      </c>
      <c r="G749" s="199">
        <f>G750</f>
        <v>32</v>
      </c>
    </row>
    <row r="750" spans="1:7" ht="12.75">
      <c r="A750" s="16" t="s">
        <v>99</v>
      </c>
      <c r="B750" s="19" t="s">
        <v>275</v>
      </c>
      <c r="C750" s="20" t="s">
        <v>70</v>
      </c>
      <c r="D750" s="20" t="s">
        <v>63</v>
      </c>
      <c r="E750" s="110" t="s">
        <v>535</v>
      </c>
      <c r="F750" s="110" t="s">
        <v>100</v>
      </c>
      <c r="G750" s="199">
        <v>32</v>
      </c>
    </row>
    <row r="751" spans="1:7" ht="12.75">
      <c r="A751" s="16" t="s">
        <v>78</v>
      </c>
      <c r="B751" s="19" t="s">
        <v>275</v>
      </c>
      <c r="C751" s="20" t="s">
        <v>70</v>
      </c>
      <c r="D751" s="20" t="s">
        <v>63</v>
      </c>
      <c r="E751" s="110" t="s">
        <v>536</v>
      </c>
      <c r="F751" s="110"/>
      <c r="G751" s="199">
        <f>G752</f>
        <v>1280.6999999999998</v>
      </c>
    </row>
    <row r="752" spans="1:7" ht="25.5">
      <c r="A752" s="16" t="s">
        <v>537</v>
      </c>
      <c r="B752" s="19" t="s">
        <v>275</v>
      </c>
      <c r="C752" s="20" t="s">
        <v>70</v>
      </c>
      <c r="D752" s="20" t="s">
        <v>63</v>
      </c>
      <c r="E752" s="110" t="s">
        <v>538</v>
      </c>
      <c r="F752" s="110"/>
      <c r="G752" s="199">
        <f>G753+G755+G757</f>
        <v>1280.6999999999998</v>
      </c>
    </row>
    <row r="753" spans="1:7" ht="38.25">
      <c r="A753" s="16" t="s">
        <v>92</v>
      </c>
      <c r="B753" s="19" t="s">
        <v>275</v>
      </c>
      <c r="C753" s="20" t="s">
        <v>70</v>
      </c>
      <c r="D753" s="20" t="s">
        <v>63</v>
      </c>
      <c r="E753" s="110" t="s">
        <v>538</v>
      </c>
      <c r="F753" s="110" t="s">
        <v>93</v>
      </c>
      <c r="G753" s="199">
        <f>G754</f>
        <v>1054.1</v>
      </c>
    </row>
    <row r="754" spans="1:7" ht="12.75">
      <c r="A754" s="16" t="s">
        <v>208</v>
      </c>
      <c r="B754" s="19" t="s">
        <v>275</v>
      </c>
      <c r="C754" s="20" t="s">
        <v>70</v>
      </c>
      <c r="D754" s="20" t="s">
        <v>63</v>
      </c>
      <c r="E754" s="110" t="s">
        <v>538</v>
      </c>
      <c r="F754" s="110" t="s">
        <v>209</v>
      </c>
      <c r="G754" s="199">
        <f>1261-206.9</f>
        <v>1054.1</v>
      </c>
    </row>
    <row r="755" spans="1:7" ht="25.5">
      <c r="A755" s="16" t="s">
        <v>333</v>
      </c>
      <c r="B755" s="19" t="s">
        <v>275</v>
      </c>
      <c r="C755" s="20" t="s">
        <v>70</v>
      </c>
      <c r="D755" s="20" t="s">
        <v>63</v>
      </c>
      <c r="E755" s="110" t="s">
        <v>538</v>
      </c>
      <c r="F755" s="110" t="s">
        <v>94</v>
      </c>
      <c r="G755" s="199">
        <f>G756</f>
        <v>224.5</v>
      </c>
    </row>
    <row r="756" spans="1:7" ht="25.5">
      <c r="A756" s="16" t="s">
        <v>608</v>
      </c>
      <c r="B756" s="19" t="s">
        <v>275</v>
      </c>
      <c r="C756" s="20" t="s">
        <v>70</v>
      </c>
      <c r="D756" s="20" t="s">
        <v>63</v>
      </c>
      <c r="E756" s="110" t="s">
        <v>538</v>
      </c>
      <c r="F756" s="110" t="s">
        <v>91</v>
      </c>
      <c r="G756" s="199">
        <f>279.3-54.8</f>
        <v>224.5</v>
      </c>
    </row>
    <row r="757" spans="1:7" ht="12.75">
      <c r="A757" s="16" t="s">
        <v>110</v>
      </c>
      <c r="B757" s="19" t="s">
        <v>275</v>
      </c>
      <c r="C757" s="20" t="s">
        <v>70</v>
      </c>
      <c r="D757" s="20" t="s">
        <v>63</v>
      </c>
      <c r="E757" s="110" t="s">
        <v>538</v>
      </c>
      <c r="F757" s="110" t="s">
        <v>111</v>
      </c>
      <c r="G757" s="199">
        <f>G758</f>
        <v>2.0999999999999996</v>
      </c>
    </row>
    <row r="758" spans="1:7" ht="12.75">
      <c r="A758" s="16" t="s">
        <v>113</v>
      </c>
      <c r="B758" s="19" t="s">
        <v>275</v>
      </c>
      <c r="C758" s="20" t="s">
        <v>70</v>
      </c>
      <c r="D758" s="20" t="s">
        <v>63</v>
      </c>
      <c r="E758" s="110" t="s">
        <v>538</v>
      </c>
      <c r="F758" s="110" t="s">
        <v>114</v>
      </c>
      <c r="G758" s="199">
        <f>10-7.9</f>
        <v>2.0999999999999996</v>
      </c>
    </row>
    <row r="759" spans="1:7" ht="12.75">
      <c r="A759" s="15" t="s">
        <v>83</v>
      </c>
      <c r="B759" s="37" t="s">
        <v>275</v>
      </c>
      <c r="C759" s="32" t="s">
        <v>70</v>
      </c>
      <c r="D759" s="32" t="s">
        <v>65</v>
      </c>
      <c r="E759" s="113"/>
      <c r="F759" s="113"/>
      <c r="G759" s="198">
        <f>G761+G768+G773+G778+G799</f>
        <v>14220.3</v>
      </c>
    </row>
    <row r="760" spans="1:7" ht="12.75">
      <c r="A760" s="16" t="s">
        <v>478</v>
      </c>
      <c r="B760" s="19" t="s">
        <v>275</v>
      </c>
      <c r="C760" s="20" t="s">
        <v>70</v>
      </c>
      <c r="D760" s="20" t="s">
        <v>65</v>
      </c>
      <c r="E760" s="115" t="s">
        <v>479</v>
      </c>
      <c r="F760" s="110"/>
      <c r="G760" s="199">
        <f>G761+G768+G773</f>
        <v>313.5</v>
      </c>
    </row>
    <row r="761" spans="1:7" ht="25.5">
      <c r="A761" s="29" t="str">
        <f>'МП пр.6'!A118</f>
        <v>Муниципальная программа "Развитие культуры в Сусуманском городском округе на 2018- 2022 годы"</v>
      </c>
      <c r="B761" s="19" t="s">
        <v>275</v>
      </c>
      <c r="C761" s="20" t="s">
        <v>70</v>
      </c>
      <c r="D761" s="20" t="s">
        <v>65</v>
      </c>
      <c r="E761" s="115" t="str">
        <f>'МП пр.6'!B118</f>
        <v xml:space="preserve">7Е 0 00 00000 </v>
      </c>
      <c r="F761" s="110"/>
      <c r="G761" s="199">
        <f>G762</f>
        <v>261.6</v>
      </c>
    </row>
    <row r="762" spans="1:7" ht="12.75">
      <c r="A762" s="29" t="str">
        <f>'МП пр.6'!A132</f>
        <v>Основное мероприятие "Сохранение культурного наследия и творческого потенциала"</v>
      </c>
      <c r="B762" s="19" t="s">
        <v>275</v>
      </c>
      <c r="C762" s="20" t="s">
        <v>70</v>
      </c>
      <c r="D762" s="20" t="s">
        <v>65</v>
      </c>
      <c r="E762" s="115" t="str">
        <f>'МП пр.6'!B132</f>
        <v xml:space="preserve">7Е 0 02 00000 </v>
      </c>
      <c r="F762" s="110"/>
      <c r="G762" s="199">
        <f>G763</f>
        <v>261.6</v>
      </c>
    </row>
    <row r="763" spans="1:7" ht="12.75">
      <c r="A763" s="16" t="str">
        <f>'МП пр.6'!A139</f>
        <v>Проведение и участие в конкурсах, фестивалях, выставках, концертах, мастер- классах</v>
      </c>
      <c r="B763" s="19" t="s">
        <v>275</v>
      </c>
      <c r="C763" s="20" t="s">
        <v>70</v>
      </c>
      <c r="D763" s="20" t="s">
        <v>65</v>
      </c>
      <c r="E763" s="115" t="str">
        <f>'МП пр.6'!B139</f>
        <v xml:space="preserve">7Е 0 02 96120 </v>
      </c>
      <c r="F763" s="113"/>
      <c r="G763" s="199">
        <f>G764+G766</f>
        <v>261.6</v>
      </c>
    </row>
    <row r="764" spans="1:7" ht="38.25">
      <c r="A764" s="16" t="s">
        <v>92</v>
      </c>
      <c r="B764" s="19" t="s">
        <v>275</v>
      </c>
      <c r="C764" s="20" t="s">
        <v>70</v>
      </c>
      <c r="D764" s="20" t="s">
        <v>65</v>
      </c>
      <c r="E764" s="115" t="s">
        <v>348</v>
      </c>
      <c r="F764" s="110" t="s">
        <v>93</v>
      </c>
      <c r="G764" s="199">
        <f>G765</f>
        <v>53.2</v>
      </c>
    </row>
    <row r="765" spans="1:7" ht="12.75">
      <c r="A765" s="16" t="s">
        <v>208</v>
      </c>
      <c r="B765" s="19" t="s">
        <v>275</v>
      </c>
      <c r="C765" s="20" t="s">
        <v>70</v>
      </c>
      <c r="D765" s="20" t="s">
        <v>65</v>
      </c>
      <c r="E765" s="115" t="s">
        <v>348</v>
      </c>
      <c r="F765" s="110" t="s">
        <v>209</v>
      </c>
      <c r="G765" s="199">
        <f>'МП пр.6'!G144</f>
        <v>53.2</v>
      </c>
    </row>
    <row r="766" spans="1:7" ht="25.5">
      <c r="A766" s="16" t="s">
        <v>333</v>
      </c>
      <c r="B766" s="19" t="s">
        <v>275</v>
      </c>
      <c r="C766" s="20" t="s">
        <v>70</v>
      </c>
      <c r="D766" s="20" t="s">
        <v>65</v>
      </c>
      <c r="E766" s="115" t="s">
        <v>348</v>
      </c>
      <c r="F766" s="110" t="s">
        <v>94</v>
      </c>
      <c r="G766" s="199">
        <f>G767</f>
        <v>208.4</v>
      </c>
    </row>
    <row r="767" spans="1:7" ht="25.5">
      <c r="A767" s="16" t="s">
        <v>608</v>
      </c>
      <c r="B767" s="19" t="s">
        <v>275</v>
      </c>
      <c r="C767" s="20" t="s">
        <v>70</v>
      </c>
      <c r="D767" s="20" t="s">
        <v>65</v>
      </c>
      <c r="E767" s="115" t="s">
        <v>348</v>
      </c>
      <c r="F767" s="110" t="s">
        <v>91</v>
      </c>
      <c r="G767" s="199">
        <f>'МП пр.6'!G147</f>
        <v>208.4</v>
      </c>
    </row>
    <row r="768" spans="1:7" ht="25.5">
      <c r="A768" s="29" t="str">
        <f>'МП пр.6'!A257</f>
        <v>Муниципальная программа  "Пожарная безопасность в Сусуманском городском округе на 2018- 2022 годы"</v>
      </c>
      <c r="B768" s="19" t="s">
        <v>275</v>
      </c>
      <c r="C768" s="20" t="s">
        <v>70</v>
      </c>
      <c r="D768" s="20" t="s">
        <v>65</v>
      </c>
      <c r="E768" s="115" t="str">
        <f>'МП пр.6'!B257</f>
        <v xml:space="preserve">7П 0 00 00000 </v>
      </c>
      <c r="F768" s="110"/>
      <c r="G768" s="199">
        <f>G769</f>
        <v>36.4</v>
      </c>
    </row>
    <row r="769" spans="1:7" ht="25.5">
      <c r="A769" s="29" t="str">
        <f>'МП пр.6'!A258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69" s="19" t="s">
        <v>275</v>
      </c>
      <c r="C769" s="20" t="s">
        <v>70</v>
      </c>
      <c r="D769" s="20" t="s">
        <v>65</v>
      </c>
      <c r="E769" s="115" t="str">
        <f>'МП пр.6'!B258</f>
        <v xml:space="preserve">7П 0 01 00000 </v>
      </c>
      <c r="F769" s="110"/>
      <c r="G769" s="199">
        <f>G770</f>
        <v>36.4</v>
      </c>
    </row>
    <row r="770" spans="1:7" ht="12.75">
      <c r="A770" s="29" t="str">
        <f>'МП пр.6'!A299</f>
        <v>Приобретение и заправка огнетушителей, средств индивидуальной защиты</v>
      </c>
      <c r="B770" s="19" t="s">
        <v>275</v>
      </c>
      <c r="C770" s="20" t="s">
        <v>70</v>
      </c>
      <c r="D770" s="20" t="s">
        <v>65</v>
      </c>
      <c r="E770" s="115" t="str">
        <f>'МП пр.6'!B299</f>
        <v xml:space="preserve">7П 0 01 94300 </v>
      </c>
      <c r="F770" s="110"/>
      <c r="G770" s="199">
        <f>G771</f>
        <v>36.4</v>
      </c>
    </row>
    <row r="771" spans="1:7" ht="25.5">
      <c r="A771" s="16" t="s">
        <v>333</v>
      </c>
      <c r="B771" s="19" t="s">
        <v>275</v>
      </c>
      <c r="C771" s="20" t="s">
        <v>70</v>
      </c>
      <c r="D771" s="20" t="s">
        <v>65</v>
      </c>
      <c r="E771" s="115" t="s">
        <v>249</v>
      </c>
      <c r="F771" s="110" t="s">
        <v>94</v>
      </c>
      <c r="G771" s="199">
        <f>G772</f>
        <v>36.4</v>
      </c>
    </row>
    <row r="772" spans="1:7" ht="25.5">
      <c r="A772" s="16" t="s">
        <v>608</v>
      </c>
      <c r="B772" s="19" t="s">
        <v>275</v>
      </c>
      <c r="C772" s="20" t="s">
        <v>70</v>
      </c>
      <c r="D772" s="20" t="s">
        <v>65</v>
      </c>
      <c r="E772" s="115" t="s">
        <v>249</v>
      </c>
      <c r="F772" s="110" t="s">
        <v>91</v>
      </c>
      <c r="G772" s="199">
        <f>'МП пр.6'!G313</f>
        <v>36.4</v>
      </c>
    </row>
    <row r="773" spans="1:7" ht="38.25">
      <c r="A773" s="16" t="str">
        <f>'МП пр.6'!A653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773" s="19" t="s">
        <v>275</v>
      </c>
      <c r="C773" s="20" t="s">
        <v>70</v>
      </c>
      <c r="D773" s="20" t="s">
        <v>65</v>
      </c>
      <c r="E773" s="110" t="str">
        <f>'МП пр.6'!B653</f>
        <v>7L 0 00 00000</v>
      </c>
      <c r="F773" s="111"/>
      <c r="G773" s="199">
        <f>G774</f>
        <v>15.5</v>
      </c>
    </row>
    <row r="774" spans="1:7" ht="12.75">
      <c r="A774" s="16" t="str">
        <f>'МП пр.6'!A674</f>
        <v>Основное мероприятие "Гармонизация межнациональных отношений"</v>
      </c>
      <c r="B774" s="20" t="s">
        <v>275</v>
      </c>
      <c r="C774" s="20" t="s">
        <v>70</v>
      </c>
      <c r="D774" s="20" t="s">
        <v>65</v>
      </c>
      <c r="E774" s="110" t="str">
        <f>'МП пр.6'!B674</f>
        <v>7L 0 03 00000</v>
      </c>
      <c r="F774" s="111"/>
      <c r="G774" s="199">
        <f>G775</f>
        <v>15.5</v>
      </c>
    </row>
    <row r="775" spans="1:7" ht="25.5">
      <c r="A775" s="16" t="str">
        <f>'МП пр.6'!A681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775" s="20" t="s">
        <v>275</v>
      </c>
      <c r="C775" s="20" t="s">
        <v>70</v>
      </c>
      <c r="D775" s="20" t="s">
        <v>65</v>
      </c>
      <c r="E775" s="110" t="str">
        <f>'МП пр.6'!B681</f>
        <v>7L 0 03 97200</v>
      </c>
      <c r="F775" s="111"/>
      <c r="G775" s="199">
        <f>G776</f>
        <v>15.5</v>
      </c>
    </row>
    <row r="776" spans="1:7" ht="25.5">
      <c r="A776" s="16" t="s">
        <v>333</v>
      </c>
      <c r="B776" s="20" t="s">
        <v>275</v>
      </c>
      <c r="C776" s="20" t="s">
        <v>70</v>
      </c>
      <c r="D776" s="20" t="s">
        <v>65</v>
      </c>
      <c r="E776" s="110" t="s">
        <v>454</v>
      </c>
      <c r="F776" s="110" t="s">
        <v>94</v>
      </c>
      <c r="G776" s="199">
        <f>G777</f>
        <v>15.5</v>
      </c>
    </row>
    <row r="777" spans="1:7" ht="25.5">
      <c r="A777" s="16" t="s">
        <v>608</v>
      </c>
      <c r="B777" s="20" t="s">
        <v>275</v>
      </c>
      <c r="C777" s="20" t="s">
        <v>70</v>
      </c>
      <c r="D777" s="20" t="s">
        <v>65</v>
      </c>
      <c r="E777" s="110" t="s">
        <v>454</v>
      </c>
      <c r="F777" s="110" t="s">
        <v>91</v>
      </c>
      <c r="G777" s="199">
        <f>'МП пр.6'!G691</f>
        <v>15.5</v>
      </c>
    </row>
    <row r="778" spans="1:7" ht="25.5">
      <c r="A778" s="16" t="s">
        <v>277</v>
      </c>
      <c r="B778" s="19" t="s">
        <v>275</v>
      </c>
      <c r="C778" s="20" t="s">
        <v>70</v>
      </c>
      <c r="D778" s="20" t="s">
        <v>65</v>
      </c>
      <c r="E778" s="110" t="s">
        <v>175</v>
      </c>
      <c r="F778" s="110"/>
      <c r="G778" s="199">
        <f>G779</f>
        <v>6886.900000000001</v>
      </c>
    </row>
    <row r="779" spans="1:7" ht="12.75">
      <c r="A779" s="16" t="s">
        <v>47</v>
      </c>
      <c r="B779" s="19" t="s">
        <v>275</v>
      </c>
      <c r="C779" s="20" t="s">
        <v>70</v>
      </c>
      <c r="D779" s="20" t="s">
        <v>65</v>
      </c>
      <c r="E779" s="110" t="s">
        <v>181</v>
      </c>
      <c r="F779" s="110"/>
      <c r="G779" s="199">
        <f>G780+G786+G791+G794+G783</f>
        <v>6886.900000000001</v>
      </c>
    </row>
    <row r="780" spans="1:7" ht="12.75">
      <c r="A780" s="16" t="s">
        <v>177</v>
      </c>
      <c r="B780" s="19" t="s">
        <v>275</v>
      </c>
      <c r="C780" s="20" t="s">
        <v>70</v>
      </c>
      <c r="D780" s="20" t="s">
        <v>65</v>
      </c>
      <c r="E780" s="110" t="s">
        <v>182</v>
      </c>
      <c r="F780" s="110"/>
      <c r="G780" s="199">
        <f>G781</f>
        <v>5775.1</v>
      </c>
    </row>
    <row r="781" spans="1:7" ht="38.25">
      <c r="A781" s="16" t="s">
        <v>92</v>
      </c>
      <c r="B781" s="19" t="s">
        <v>275</v>
      </c>
      <c r="C781" s="20" t="s">
        <v>70</v>
      </c>
      <c r="D781" s="20" t="s">
        <v>65</v>
      </c>
      <c r="E781" s="110" t="s">
        <v>182</v>
      </c>
      <c r="F781" s="110" t="s">
        <v>93</v>
      </c>
      <c r="G781" s="199">
        <f>G782</f>
        <v>5775.1</v>
      </c>
    </row>
    <row r="782" spans="1:7" ht="12.75">
      <c r="A782" s="16" t="s">
        <v>89</v>
      </c>
      <c r="B782" s="19" t="s">
        <v>275</v>
      </c>
      <c r="C782" s="20" t="s">
        <v>70</v>
      </c>
      <c r="D782" s="20" t="s">
        <v>65</v>
      </c>
      <c r="E782" s="110" t="s">
        <v>182</v>
      </c>
      <c r="F782" s="110" t="s">
        <v>90</v>
      </c>
      <c r="G782" s="199">
        <f>5775.1</f>
        <v>5775.1</v>
      </c>
    </row>
    <row r="783" spans="1:7" ht="25.5">
      <c r="A783" s="203" t="s">
        <v>745</v>
      </c>
      <c r="B783" s="20" t="s">
        <v>275</v>
      </c>
      <c r="C783" s="20" t="s">
        <v>70</v>
      </c>
      <c r="D783" s="20" t="s">
        <v>65</v>
      </c>
      <c r="E783" s="110" t="s">
        <v>746</v>
      </c>
      <c r="F783" s="110"/>
      <c r="G783" s="199">
        <f>G784</f>
        <v>127</v>
      </c>
    </row>
    <row r="784" spans="1:7" ht="38.25">
      <c r="A784" s="16" t="s">
        <v>92</v>
      </c>
      <c r="B784" s="20" t="s">
        <v>275</v>
      </c>
      <c r="C784" s="20" t="s">
        <v>70</v>
      </c>
      <c r="D784" s="20" t="s">
        <v>65</v>
      </c>
      <c r="E784" s="110" t="s">
        <v>746</v>
      </c>
      <c r="F784" s="110" t="s">
        <v>93</v>
      </c>
      <c r="G784" s="199">
        <f>G785</f>
        <v>127</v>
      </c>
    </row>
    <row r="785" spans="1:7" ht="12.75">
      <c r="A785" s="16" t="s">
        <v>89</v>
      </c>
      <c r="B785" s="20" t="s">
        <v>275</v>
      </c>
      <c r="C785" s="20" t="s">
        <v>70</v>
      </c>
      <c r="D785" s="20" t="s">
        <v>65</v>
      </c>
      <c r="E785" s="110" t="s">
        <v>746</v>
      </c>
      <c r="F785" s="110" t="s">
        <v>90</v>
      </c>
      <c r="G785" s="199">
        <f>100+27</f>
        <v>127</v>
      </c>
    </row>
    <row r="786" spans="1:7" ht="12.75">
      <c r="A786" s="16" t="s">
        <v>178</v>
      </c>
      <c r="B786" s="19" t="s">
        <v>275</v>
      </c>
      <c r="C786" s="20" t="s">
        <v>70</v>
      </c>
      <c r="D786" s="20" t="s">
        <v>65</v>
      </c>
      <c r="E786" s="110" t="s">
        <v>183</v>
      </c>
      <c r="F786" s="110"/>
      <c r="G786" s="199">
        <f>G787+G789</f>
        <v>387.70000000000005</v>
      </c>
    </row>
    <row r="787" spans="1:7" ht="25.5">
      <c r="A787" s="16" t="s">
        <v>333</v>
      </c>
      <c r="B787" s="19" t="s">
        <v>275</v>
      </c>
      <c r="C787" s="20" t="s">
        <v>70</v>
      </c>
      <c r="D787" s="20" t="s">
        <v>65</v>
      </c>
      <c r="E787" s="110" t="s">
        <v>183</v>
      </c>
      <c r="F787" s="110" t="s">
        <v>94</v>
      </c>
      <c r="G787" s="199">
        <f>G788</f>
        <v>329.6</v>
      </c>
    </row>
    <row r="788" spans="1:7" ht="25.5">
      <c r="A788" s="16" t="s">
        <v>608</v>
      </c>
      <c r="B788" s="19" t="s">
        <v>275</v>
      </c>
      <c r="C788" s="20" t="s">
        <v>70</v>
      </c>
      <c r="D788" s="20" t="s">
        <v>65</v>
      </c>
      <c r="E788" s="110" t="s">
        <v>183</v>
      </c>
      <c r="F788" s="110" t="s">
        <v>91</v>
      </c>
      <c r="G788" s="199">
        <v>329.6</v>
      </c>
    </row>
    <row r="789" spans="1:7" ht="12.75">
      <c r="A789" s="16" t="s">
        <v>110</v>
      </c>
      <c r="B789" s="19" t="s">
        <v>275</v>
      </c>
      <c r="C789" s="20" t="s">
        <v>70</v>
      </c>
      <c r="D789" s="20" t="s">
        <v>65</v>
      </c>
      <c r="E789" s="110" t="s">
        <v>183</v>
      </c>
      <c r="F789" s="110" t="s">
        <v>111</v>
      </c>
      <c r="G789" s="199">
        <f>G790</f>
        <v>58.099999999999994</v>
      </c>
    </row>
    <row r="790" spans="1:7" ht="12.75">
      <c r="A790" s="16" t="s">
        <v>113</v>
      </c>
      <c r="B790" s="19" t="s">
        <v>275</v>
      </c>
      <c r="C790" s="20" t="s">
        <v>70</v>
      </c>
      <c r="D790" s="20" t="s">
        <v>65</v>
      </c>
      <c r="E790" s="110" t="s">
        <v>183</v>
      </c>
      <c r="F790" s="110" t="s">
        <v>114</v>
      </c>
      <c r="G790" s="199">
        <f>79.1-21</f>
        <v>58.099999999999994</v>
      </c>
    </row>
    <row r="791" spans="1:7" ht="51">
      <c r="A791" s="16" t="s">
        <v>204</v>
      </c>
      <c r="B791" s="19" t="s">
        <v>275</v>
      </c>
      <c r="C791" s="20" t="s">
        <v>70</v>
      </c>
      <c r="D791" s="20" t="s">
        <v>65</v>
      </c>
      <c r="E791" s="110" t="s">
        <v>462</v>
      </c>
      <c r="F791" s="110"/>
      <c r="G791" s="199">
        <f>G792</f>
        <v>281.1</v>
      </c>
    </row>
    <row r="792" spans="1:7" ht="38.25">
      <c r="A792" s="16" t="s">
        <v>92</v>
      </c>
      <c r="B792" s="19" t="s">
        <v>275</v>
      </c>
      <c r="C792" s="20" t="s">
        <v>70</v>
      </c>
      <c r="D792" s="20" t="s">
        <v>65</v>
      </c>
      <c r="E792" s="110" t="s">
        <v>462</v>
      </c>
      <c r="F792" s="110" t="s">
        <v>93</v>
      </c>
      <c r="G792" s="199">
        <f>G793</f>
        <v>281.1</v>
      </c>
    </row>
    <row r="793" spans="1:7" ht="12.75">
      <c r="A793" s="16" t="s">
        <v>89</v>
      </c>
      <c r="B793" s="19" t="s">
        <v>275</v>
      </c>
      <c r="C793" s="20" t="s">
        <v>70</v>
      </c>
      <c r="D793" s="20" t="s">
        <v>65</v>
      </c>
      <c r="E793" s="110" t="s">
        <v>462</v>
      </c>
      <c r="F793" s="110" t="s">
        <v>90</v>
      </c>
      <c r="G793" s="199">
        <f>325-32.7-11.2</f>
        <v>281.1</v>
      </c>
    </row>
    <row r="794" spans="1:7" ht="12.75">
      <c r="A794" s="16" t="s">
        <v>176</v>
      </c>
      <c r="B794" s="19" t="s">
        <v>275</v>
      </c>
      <c r="C794" s="20" t="s">
        <v>70</v>
      </c>
      <c r="D794" s="20" t="s">
        <v>65</v>
      </c>
      <c r="E794" s="110" t="s">
        <v>463</v>
      </c>
      <c r="F794" s="110"/>
      <c r="G794" s="199">
        <f>G795+G797</f>
        <v>316</v>
      </c>
    </row>
    <row r="795" spans="1:7" ht="38.25">
      <c r="A795" s="16" t="s">
        <v>92</v>
      </c>
      <c r="B795" s="19" t="s">
        <v>275</v>
      </c>
      <c r="C795" s="20" t="s">
        <v>70</v>
      </c>
      <c r="D795" s="20" t="s">
        <v>65</v>
      </c>
      <c r="E795" s="110" t="s">
        <v>463</v>
      </c>
      <c r="F795" s="110" t="s">
        <v>93</v>
      </c>
      <c r="G795" s="199">
        <f>G796</f>
        <v>32</v>
      </c>
    </row>
    <row r="796" spans="1:7" ht="12.75">
      <c r="A796" s="16" t="s">
        <v>89</v>
      </c>
      <c r="B796" s="19" t="s">
        <v>275</v>
      </c>
      <c r="C796" s="20" t="s">
        <v>70</v>
      </c>
      <c r="D796" s="20" t="s">
        <v>65</v>
      </c>
      <c r="E796" s="110" t="s">
        <v>463</v>
      </c>
      <c r="F796" s="110" t="s">
        <v>90</v>
      </c>
      <c r="G796" s="199">
        <f>11+21</f>
        <v>32</v>
      </c>
    </row>
    <row r="797" spans="1:7" ht="12.75">
      <c r="A797" s="16" t="s">
        <v>101</v>
      </c>
      <c r="B797" s="19" t="s">
        <v>275</v>
      </c>
      <c r="C797" s="20" t="s">
        <v>70</v>
      </c>
      <c r="D797" s="20" t="s">
        <v>65</v>
      </c>
      <c r="E797" s="110" t="s">
        <v>463</v>
      </c>
      <c r="F797" s="142">
        <v>300</v>
      </c>
      <c r="G797" s="199">
        <f>G798</f>
        <v>284</v>
      </c>
    </row>
    <row r="798" spans="1:7" ht="12.75">
      <c r="A798" s="150" t="s">
        <v>116</v>
      </c>
      <c r="B798" s="19" t="s">
        <v>275</v>
      </c>
      <c r="C798" s="20" t="s">
        <v>70</v>
      </c>
      <c r="D798" s="20" t="s">
        <v>65</v>
      </c>
      <c r="E798" s="110" t="s">
        <v>463</v>
      </c>
      <c r="F798" s="142">
        <v>320</v>
      </c>
      <c r="G798" s="199">
        <f>272.8+11.2</f>
        <v>284</v>
      </c>
    </row>
    <row r="799" spans="1:7" ht="12.75">
      <c r="A799" s="16" t="s">
        <v>515</v>
      </c>
      <c r="B799" s="19" t="s">
        <v>275</v>
      </c>
      <c r="C799" s="20" t="s">
        <v>70</v>
      </c>
      <c r="D799" s="20" t="s">
        <v>65</v>
      </c>
      <c r="E799" s="110" t="s">
        <v>516</v>
      </c>
      <c r="F799" s="110"/>
      <c r="G799" s="199">
        <f>G800+G807+G810</f>
        <v>7019.9</v>
      </c>
    </row>
    <row r="800" spans="1:7" ht="12.75">
      <c r="A800" s="16" t="s">
        <v>263</v>
      </c>
      <c r="B800" s="19" t="s">
        <v>275</v>
      </c>
      <c r="C800" s="20" t="s">
        <v>70</v>
      </c>
      <c r="D800" s="20" t="s">
        <v>65</v>
      </c>
      <c r="E800" s="110" t="s">
        <v>517</v>
      </c>
      <c r="F800" s="110"/>
      <c r="G800" s="199">
        <f>G801+G803+G805</f>
        <v>6688.9</v>
      </c>
    </row>
    <row r="801" spans="1:7" ht="38.25">
      <c r="A801" s="16" t="s">
        <v>92</v>
      </c>
      <c r="B801" s="19" t="s">
        <v>275</v>
      </c>
      <c r="C801" s="20" t="s">
        <v>70</v>
      </c>
      <c r="D801" s="20" t="s">
        <v>65</v>
      </c>
      <c r="E801" s="110" t="s">
        <v>517</v>
      </c>
      <c r="F801" s="110" t="s">
        <v>93</v>
      </c>
      <c r="G801" s="199">
        <f>G802</f>
        <v>6225.4</v>
      </c>
    </row>
    <row r="802" spans="1:7" ht="12.75">
      <c r="A802" s="16" t="s">
        <v>208</v>
      </c>
      <c r="B802" s="19" t="s">
        <v>275</v>
      </c>
      <c r="C802" s="20" t="s">
        <v>70</v>
      </c>
      <c r="D802" s="20" t="s">
        <v>65</v>
      </c>
      <c r="E802" s="110" t="s">
        <v>517</v>
      </c>
      <c r="F802" s="110" t="s">
        <v>209</v>
      </c>
      <c r="G802" s="199">
        <f>5978.9+246.5</f>
        <v>6225.4</v>
      </c>
    </row>
    <row r="803" spans="1:7" ht="25.5">
      <c r="A803" s="16" t="s">
        <v>333</v>
      </c>
      <c r="B803" s="19" t="s">
        <v>275</v>
      </c>
      <c r="C803" s="20" t="s">
        <v>70</v>
      </c>
      <c r="D803" s="20" t="s">
        <v>65</v>
      </c>
      <c r="E803" s="110" t="s">
        <v>517</v>
      </c>
      <c r="F803" s="110" t="s">
        <v>94</v>
      </c>
      <c r="G803" s="199">
        <f>G804</f>
        <v>453.5</v>
      </c>
    </row>
    <row r="804" spans="1:7" ht="25.5">
      <c r="A804" s="16" t="s">
        <v>608</v>
      </c>
      <c r="B804" s="19" t="s">
        <v>275</v>
      </c>
      <c r="C804" s="20" t="s">
        <v>70</v>
      </c>
      <c r="D804" s="20" t="s">
        <v>65</v>
      </c>
      <c r="E804" s="110" t="s">
        <v>517</v>
      </c>
      <c r="F804" s="110" t="s">
        <v>91</v>
      </c>
      <c r="G804" s="199">
        <f>386+67.5</f>
        <v>453.5</v>
      </c>
    </row>
    <row r="805" spans="1:7" ht="12.75">
      <c r="A805" s="16" t="s">
        <v>110</v>
      </c>
      <c r="B805" s="19" t="s">
        <v>275</v>
      </c>
      <c r="C805" s="20" t="s">
        <v>70</v>
      </c>
      <c r="D805" s="20" t="s">
        <v>65</v>
      </c>
      <c r="E805" s="110" t="s">
        <v>517</v>
      </c>
      <c r="F805" s="110" t="s">
        <v>111</v>
      </c>
      <c r="G805" s="199">
        <f>G806</f>
        <v>10</v>
      </c>
    </row>
    <row r="806" spans="1:7" ht="12.75">
      <c r="A806" s="16" t="s">
        <v>113</v>
      </c>
      <c r="B806" s="19" t="s">
        <v>275</v>
      </c>
      <c r="C806" s="20" t="s">
        <v>70</v>
      </c>
      <c r="D806" s="20" t="s">
        <v>65</v>
      </c>
      <c r="E806" s="110" t="s">
        <v>517</v>
      </c>
      <c r="F806" s="110" t="s">
        <v>114</v>
      </c>
      <c r="G806" s="199">
        <v>10</v>
      </c>
    </row>
    <row r="807" spans="1:7" ht="51">
      <c r="A807" s="16" t="s">
        <v>204</v>
      </c>
      <c r="B807" s="19" t="s">
        <v>275</v>
      </c>
      <c r="C807" s="20" t="s">
        <v>70</v>
      </c>
      <c r="D807" s="20" t="s">
        <v>65</v>
      </c>
      <c r="E807" s="110" t="s">
        <v>518</v>
      </c>
      <c r="F807" s="110"/>
      <c r="G807" s="199">
        <f>G808</f>
        <v>330</v>
      </c>
    </row>
    <row r="808" spans="1:7" ht="38.25">
      <c r="A808" s="16" t="s">
        <v>92</v>
      </c>
      <c r="B808" s="19" t="s">
        <v>275</v>
      </c>
      <c r="C808" s="20" t="s">
        <v>70</v>
      </c>
      <c r="D808" s="20" t="s">
        <v>65</v>
      </c>
      <c r="E808" s="110" t="s">
        <v>518</v>
      </c>
      <c r="F808" s="110" t="s">
        <v>93</v>
      </c>
      <c r="G808" s="199">
        <f>G809</f>
        <v>330</v>
      </c>
    </row>
    <row r="809" spans="1:7" ht="12.75">
      <c r="A809" s="16" t="s">
        <v>208</v>
      </c>
      <c r="B809" s="19" t="s">
        <v>275</v>
      </c>
      <c r="C809" s="20" t="s">
        <v>70</v>
      </c>
      <c r="D809" s="20" t="s">
        <v>65</v>
      </c>
      <c r="E809" s="110" t="s">
        <v>518</v>
      </c>
      <c r="F809" s="110" t="s">
        <v>209</v>
      </c>
      <c r="G809" s="199">
        <f>600-270</f>
        <v>330</v>
      </c>
    </row>
    <row r="810" spans="1:7" ht="12.75">
      <c r="A810" s="16" t="s">
        <v>176</v>
      </c>
      <c r="B810" s="19" t="s">
        <v>275</v>
      </c>
      <c r="C810" s="20" t="s">
        <v>70</v>
      </c>
      <c r="D810" s="20" t="s">
        <v>65</v>
      </c>
      <c r="E810" s="110" t="s">
        <v>519</v>
      </c>
      <c r="F810" s="110"/>
      <c r="G810" s="199">
        <f>G811</f>
        <v>1</v>
      </c>
    </row>
    <row r="811" spans="1:7" ht="38.25">
      <c r="A811" s="16" t="s">
        <v>92</v>
      </c>
      <c r="B811" s="19" t="s">
        <v>275</v>
      </c>
      <c r="C811" s="20" t="s">
        <v>70</v>
      </c>
      <c r="D811" s="20" t="s">
        <v>65</v>
      </c>
      <c r="E811" s="110" t="s">
        <v>519</v>
      </c>
      <c r="F811" s="110" t="s">
        <v>93</v>
      </c>
      <c r="G811" s="199">
        <f>G812</f>
        <v>1</v>
      </c>
    </row>
    <row r="812" spans="1:7" ht="12.75">
      <c r="A812" s="16" t="s">
        <v>208</v>
      </c>
      <c r="B812" s="19" t="s">
        <v>275</v>
      </c>
      <c r="C812" s="20" t="s">
        <v>70</v>
      </c>
      <c r="D812" s="20" t="s">
        <v>65</v>
      </c>
      <c r="E812" s="110" t="s">
        <v>519</v>
      </c>
      <c r="F812" s="110" t="s">
        <v>209</v>
      </c>
      <c r="G812" s="199">
        <f>15-14</f>
        <v>1</v>
      </c>
    </row>
    <row r="813" spans="1:7" ht="12.75">
      <c r="A813" s="15" t="s">
        <v>59</v>
      </c>
      <c r="B813" s="37" t="s">
        <v>275</v>
      </c>
      <c r="C813" s="32" t="s">
        <v>68</v>
      </c>
      <c r="D813" s="32" t="s">
        <v>34</v>
      </c>
      <c r="E813" s="113"/>
      <c r="F813" s="113"/>
      <c r="G813" s="198">
        <f>G814</f>
        <v>67.7</v>
      </c>
    </row>
    <row r="814" spans="1:7" ht="12.75">
      <c r="A814" s="23" t="s">
        <v>58</v>
      </c>
      <c r="B814" s="37" t="s">
        <v>275</v>
      </c>
      <c r="C814" s="32" t="s">
        <v>68</v>
      </c>
      <c r="D814" s="32" t="s">
        <v>67</v>
      </c>
      <c r="E814" s="113"/>
      <c r="F814" s="113"/>
      <c r="G814" s="198">
        <f>G816</f>
        <v>67.7</v>
      </c>
    </row>
    <row r="815" spans="1:7" ht="12.75">
      <c r="A815" s="46" t="s">
        <v>478</v>
      </c>
      <c r="B815" s="19" t="s">
        <v>275</v>
      </c>
      <c r="C815" s="20" t="s">
        <v>68</v>
      </c>
      <c r="D815" s="20" t="s">
        <v>67</v>
      </c>
      <c r="E815" s="115" t="s">
        <v>479</v>
      </c>
      <c r="F815" s="110"/>
      <c r="G815" s="199">
        <f>G816</f>
        <v>67.7</v>
      </c>
    </row>
    <row r="816" spans="1:7" ht="25.5">
      <c r="A816" s="29" t="str">
        <f>'МП пр.6'!A162</f>
        <v>Муниципальная программа "Обеспечение жильем молодых семей  в Сусуманском городском округе  на 2018- 2022 годы"</v>
      </c>
      <c r="B816" s="19" t="s">
        <v>275</v>
      </c>
      <c r="C816" s="20" t="s">
        <v>68</v>
      </c>
      <c r="D816" s="20" t="s">
        <v>67</v>
      </c>
      <c r="E816" s="115" t="str">
        <f>'МП пр.6'!B162</f>
        <v xml:space="preserve">7Ж 0 00 00000 </v>
      </c>
      <c r="F816" s="110"/>
      <c r="G816" s="199">
        <f>G817</f>
        <v>67.7</v>
      </c>
    </row>
    <row r="817" spans="1:7" ht="12.75">
      <c r="A817" s="29" t="str">
        <f>'МП пр.6'!A163</f>
        <v>Основное мероприятие "Улучшение жилищных условий молодых семей"</v>
      </c>
      <c r="B817" s="19" t="s">
        <v>275</v>
      </c>
      <c r="C817" s="20" t="s">
        <v>68</v>
      </c>
      <c r="D817" s="20" t="s">
        <v>67</v>
      </c>
      <c r="E817" s="115" t="str">
        <f>'МП пр.6'!B163</f>
        <v xml:space="preserve">7Ж 0 01 00000 </v>
      </c>
      <c r="F817" s="110"/>
      <c r="G817" s="199">
        <f>G818</f>
        <v>67.7</v>
      </c>
    </row>
    <row r="818" spans="1:7" ht="25.5">
      <c r="A818" s="29" t="str">
        <f>'МП пр.6'!A164</f>
        <v>Дополнительная социальная выплата молодым семьям при рождении (усыновлении) каждого ребенка</v>
      </c>
      <c r="B818" s="19" t="s">
        <v>275</v>
      </c>
      <c r="C818" s="20" t="s">
        <v>68</v>
      </c>
      <c r="D818" s="20" t="s">
        <v>67</v>
      </c>
      <c r="E818" s="115" t="str">
        <f>'МП пр.6'!B165</f>
        <v>7Ж 0 01 73070</v>
      </c>
      <c r="F818" s="110"/>
      <c r="G818" s="199">
        <f>G819</f>
        <v>67.7</v>
      </c>
    </row>
    <row r="819" spans="1:7" ht="12.75">
      <c r="A819" s="16" t="s">
        <v>101</v>
      </c>
      <c r="B819" s="19" t="s">
        <v>275</v>
      </c>
      <c r="C819" s="20" t="s">
        <v>68</v>
      </c>
      <c r="D819" s="20" t="s">
        <v>67</v>
      </c>
      <c r="E819" s="115" t="str">
        <f>'МП пр.6'!B166</f>
        <v>7Ж 0 01 73070</v>
      </c>
      <c r="F819" s="110" t="s">
        <v>102</v>
      </c>
      <c r="G819" s="199">
        <f>G820</f>
        <v>67.7</v>
      </c>
    </row>
    <row r="820" spans="1:7" ht="12.75">
      <c r="A820" s="16" t="s">
        <v>116</v>
      </c>
      <c r="B820" s="19" t="s">
        <v>275</v>
      </c>
      <c r="C820" s="20" t="s">
        <v>68</v>
      </c>
      <c r="D820" s="20" t="s">
        <v>67</v>
      </c>
      <c r="E820" s="115" t="str">
        <f>'МП пр.6'!B167</f>
        <v>7Ж 0 01 73070</v>
      </c>
      <c r="F820" s="110" t="s">
        <v>115</v>
      </c>
      <c r="G820" s="199">
        <f>'МП пр.6'!G169</f>
        <v>67.7</v>
      </c>
    </row>
    <row r="821" spans="1:7" ht="12.75">
      <c r="A821" s="15" t="s">
        <v>80</v>
      </c>
      <c r="B821" s="37" t="s">
        <v>275</v>
      </c>
      <c r="C821" s="32" t="s">
        <v>71</v>
      </c>
      <c r="D821" s="32" t="s">
        <v>34</v>
      </c>
      <c r="E821" s="110"/>
      <c r="F821" s="110"/>
      <c r="G821" s="198">
        <f>G822</f>
        <v>29991.300000000003</v>
      </c>
    </row>
    <row r="822" spans="1:7" ht="12.75">
      <c r="A822" s="15" t="s">
        <v>81</v>
      </c>
      <c r="B822" s="37" t="s">
        <v>275</v>
      </c>
      <c r="C822" s="32" t="s">
        <v>71</v>
      </c>
      <c r="D822" s="32" t="s">
        <v>63</v>
      </c>
      <c r="E822" s="113"/>
      <c r="F822" s="113"/>
      <c r="G822" s="198">
        <f>G823+G857+G867</f>
        <v>29991.300000000003</v>
      </c>
    </row>
    <row r="823" spans="1:7" ht="12.75">
      <c r="A823" s="46" t="s">
        <v>478</v>
      </c>
      <c r="B823" s="19" t="s">
        <v>275</v>
      </c>
      <c r="C823" s="20" t="s">
        <v>71</v>
      </c>
      <c r="D823" s="20" t="s">
        <v>63</v>
      </c>
      <c r="E823" s="115" t="s">
        <v>479</v>
      </c>
      <c r="F823" s="110"/>
      <c r="G823" s="199">
        <f>G824+G846+G841</f>
        <v>1843.6000000000001</v>
      </c>
    </row>
    <row r="824" spans="1:7" ht="25.5">
      <c r="A824" s="29" t="str">
        <f>'МП пр.6'!A257</f>
        <v>Муниципальная программа  "Пожарная безопасность в Сусуманском городском округе на 2018- 2022 годы"</v>
      </c>
      <c r="B824" s="19" t="s">
        <v>275</v>
      </c>
      <c r="C824" s="20" t="s">
        <v>71</v>
      </c>
      <c r="D824" s="20" t="s">
        <v>63</v>
      </c>
      <c r="E824" s="115" t="str">
        <f>'МП пр.6'!B257</f>
        <v xml:space="preserve">7П 0 00 00000 </v>
      </c>
      <c r="F824" s="110"/>
      <c r="G824" s="199">
        <f>G825</f>
        <v>305.7</v>
      </c>
    </row>
    <row r="825" spans="1:7" ht="25.5">
      <c r="A825" s="29" t="str">
        <f>'МП пр.6'!A258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25" s="19" t="s">
        <v>275</v>
      </c>
      <c r="C825" s="20" t="s">
        <v>71</v>
      </c>
      <c r="D825" s="20" t="s">
        <v>63</v>
      </c>
      <c r="E825" s="115" t="str">
        <f>'МП пр.6'!B258</f>
        <v xml:space="preserve">7П 0 01 00000 </v>
      </c>
      <c r="F825" s="110"/>
      <c r="G825" s="199">
        <f>G826+G829+G835+G838+G832</f>
        <v>305.7</v>
      </c>
    </row>
    <row r="826" spans="1:7" ht="38.25">
      <c r="A826" s="29" t="str">
        <f>'МП пр.6'!A259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26" s="19" t="s">
        <v>275</v>
      </c>
      <c r="C826" s="20" t="s">
        <v>71</v>
      </c>
      <c r="D826" s="20" t="s">
        <v>63</v>
      </c>
      <c r="E826" s="115" t="str">
        <f>'МП пр.6'!B259</f>
        <v xml:space="preserve">7П 0 01 94100 </v>
      </c>
      <c r="F826" s="110"/>
      <c r="G826" s="199">
        <f>G827</f>
        <v>180</v>
      </c>
    </row>
    <row r="827" spans="1:7" ht="25.5">
      <c r="A827" s="16" t="s">
        <v>95</v>
      </c>
      <c r="B827" s="19" t="s">
        <v>275</v>
      </c>
      <c r="C827" s="20" t="s">
        <v>71</v>
      </c>
      <c r="D827" s="20" t="s">
        <v>63</v>
      </c>
      <c r="E827" s="115" t="s">
        <v>236</v>
      </c>
      <c r="F827" s="110" t="s">
        <v>96</v>
      </c>
      <c r="G827" s="199">
        <f>G828</f>
        <v>180</v>
      </c>
    </row>
    <row r="828" spans="1:7" ht="12.75">
      <c r="A828" s="16" t="s">
        <v>99</v>
      </c>
      <c r="B828" s="19" t="s">
        <v>275</v>
      </c>
      <c r="C828" s="20" t="s">
        <v>71</v>
      </c>
      <c r="D828" s="20" t="s">
        <v>63</v>
      </c>
      <c r="E828" s="115" t="s">
        <v>236</v>
      </c>
      <c r="F828" s="110" t="s">
        <v>100</v>
      </c>
      <c r="G828" s="199">
        <f>'МП пр.6'!G283</f>
        <v>180</v>
      </c>
    </row>
    <row r="829" spans="1:7" ht="12.75">
      <c r="A829" s="29" t="str">
        <f>'МП пр.6'!A299</f>
        <v>Приобретение и заправка огнетушителей, средств индивидуальной защиты</v>
      </c>
      <c r="B829" s="19" t="s">
        <v>275</v>
      </c>
      <c r="C829" s="20" t="s">
        <v>71</v>
      </c>
      <c r="D829" s="20" t="s">
        <v>63</v>
      </c>
      <c r="E829" s="115" t="str">
        <f>'МП пр.6'!B299</f>
        <v xml:space="preserve">7П 0 01 94300 </v>
      </c>
      <c r="F829" s="110"/>
      <c r="G829" s="199">
        <f>G830</f>
        <v>33.6</v>
      </c>
    </row>
    <row r="830" spans="1:7" ht="25.5">
      <c r="A830" s="16" t="s">
        <v>95</v>
      </c>
      <c r="B830" s="19" t="s">
        <v>275</v>
      </c>
      <c r="C830" s="20" t="s">
        <v>71</v>
      </c>
      <c r="D830" s="20" t="s">
        <v>63</v>
      </c>
      <c r="E830" s="115" t="s">
        <v>249</v>
      </c>
      <c r="F830" s="110" t="s">
        <v>96</v>
      </c>
      <c r="G830" s="199">
        <f>G831</f>
        <v>33.6</v>
      </c>
    </row>
    <row r="831" spans="1:7" ht="12.75">
      <c r="A831" s="16" t="s">
        <v>99</v>
      </c>
      <c r="B831" s="19" t="s">
        <v>275</v>
      </c>
      <c r="C831" s="20" t="s">
        <v>71</v>
      </c>
      <c r="D831" s="20" t="s">
        <v>63</v>
      </c>
      <c r="E831" s="115" t="s">
        <v>249</v>
      </c>
      <c r="F831" s="110" t="s">
        <v>100</v>
      </c>
      <c r="G831" s="199">
        <f>'МП пр.6'!G318</f>
        <v>33.6</v>
      </c>
    </row>
    <row r="832" spans="1:7" ht="12.75">
      <c r="A832" s="16" t="str">
        <f>'МП пр.6'!A319</f>
        <v>Проведение замеров сопротивления изоляции электросетей и электрооборудования</v>
      </c>
      <c r="B832" s="19" t="s">
        <v>275</v>
      </c>
      <c r="C832" s="20" t="s">
        <v>71</v>
      </c>
      <c r="D832" s="20" t="s">
        <v>63</v>
      </c>
      <c r="E832" s="115" t="str">
        <f>'МП пр.6'!B333</f>
        <v xml:space="preserve">7П 0 01 94400 </v>
      </c>
      <c r="F832" s="110"/>
      <c r="G832" s="199">
        <f>G833</f>
        <v>50</v>
      </c>
    </row>
    <row r="833" spans="1:7" ht="25.5">
      <c r="A833" s="16" t="str">
        <f>'МП пр.6'!A335</f>
        <v>Предоставление субсидий бюджетным, автономным учреждениям и иным некоммерческим организациям</v>
      </c>
      <c r="B833" s="19" t="s">
        <v>275</v>
      </c>
      <c r="C833" s="20" t="s">
        <v>71</v>
      </c>
      <c r="D833" s="20" t="s">
        <v>63</v>
      </c>
      <c r="E833" s="115" t="str">
        <f>'МП пр.6'!B334</f>
        <v xml:space="preserve">7П 0 01 94400 </v>
      </c>
      <c r="F833" s="142">
        <v>600</v>
      </c>
      <c r="G833" s="199">
        <f>G834</f>
        <v>50</v>
      </c>
    </row>
    <row r="834" spans="1:7" ht="12.75">
      <c r="A834" s="16" t="str">
        <f>'МП пр.6'!A336</f>
        <v>Субсидии бюджетным учреждениям</v>
      </c>
      <c r="B834" s="19" t="s">
        <v>275</v>
      </c>
      <c r="C834" s="20" t="s">
        <v>71</v>
      </c>
      <c r="D834" s="20" t="s">
        <v>63</v>
      </c>
      <c r="E834" s="115" t="str">
        <f>'МП пр.6'!B335</f>
        <v xml:space="preserve">7П 0 01 94400 </v>
      </c>
      <c r="F834" s="142">
        <v>610</v>
      </c>
      <c r="G834" s="199">
        <f>'МП пр.6'!G337</f>
        <v>50</v>
      </c>
    </row>
    <row r="835" spans="1:7" ht="25.5">
      <c r="A835" s="29" t="str">
        <f>'МП пр.6'!A338</f>
        <v>Проведение проверок исправности и ремонт систем противопожарного водоснабжения, приобретение и обслуживание гидрантов</v>
      </c>
      <c r="B835" s="19" t="s">
        <v>275</v>
      </c>
      <c r="C835" s="20" t="s">
        <v>71</v>
      </c>
      <c r="D835" s="20" t="s">
        <v>63</v>
      </c>
      <c r="E835" s="115" t="str">
        <f>'МП пр.6'!B338</f>
        <v xml:space="preserve">7П 0 01 94500 </v>
      </c>
      <c r="F835" s="110"/>
      <c r="G835" s="199">
        <f>G836</f>
        <v>21.099999999999994</v>
      </c>
    </row>
    <row r="836" spans="1:7" ht="25.5">
      <c r="A836" s="16" t="s">
        <v>95</v>
      </c>
      <c r="B836" s="19" t="s">
        <v>275</v>
      </c>
      <c r="C836" s="20" t="s">
        <v>71</v>
      </c>
      <c r="D836" s="20" t="s">
        <v>63</v>
      </c>
      <c r="E836" s="115" t="s">
        <v>238</v>
      </c>
      <c r="F836" s="110" t="s">
        <v>96</v>
      </c>
      <c r="G836" s="199">
        <f>G837</f>
        <v>21.099999999999994</v>
      </c>
    </row>
    <row r="837" spans="1:7" ht="12.75">
      <c r="A837" s="16" t="s">
        <v>99</v>
      </c>
      <c r="B837" s="19" t="s">
        <v>275</v>
      </c>
      <c r="C837" s="20" t="s">
        <v>71</v>
      </c>
      <c r="D837" s="20" t="s">
        <v>63</v>
      </c>
      <c r="E837" s="115" t="s">
        <v>238</v>
      </c>
      <c r="F837" s="110" t="s">
        <v>100</v>
      </c>
      <c r="G837" s="199">
        <f>'МП пр.6'!G361</f>
        <v>21.099999999999994</v>
      </c>
    </row>
    <row r="838" spans="1:7" ht="12.75">
      <c r="A838" s="29" t="str">
        <f>'МП пр.6'!A378</f>
        <v>Изготовление планов эвакуации</v>
      </c>
      <c r="B838" s="19" t="s">
        <v>275</v>
      </c>
      <c r="C838" s="20" t="s">
        <v>71</v>
      </c>
      <c r="D838" s="20" t="s">
        <v>63</v>
      </c>
      <c r="E838" s="115" t="str">
        <f>'МП пр.6'!B378</f>
        <v xml:space="preserve">7П 0 01 94700 </v>
      </c>
      <c r="F838" s="110"/>
      <c r="G838" s="199">
        <f>G839</f>
        <v>21</v>
      </c>
    </row>
    <row r="839" spans="1:7" ht="25.5">
      <c r="A839" s="16" t="s">
        <v>95</v>
      </c>
      <c r="B839" s="19" t="s">
        <v>275</v>
      </c>
      <c r="C839" s="20" t="s">
        <v>71</v>
      </c>
      <c r="D839" s="20" t="s">
        <v>63</v>
      </c>
      <c r="E839" s="115" t="s">
        <v>421</v>
      </c>
      <c r="F839" s="110" t="s">
        <v>96</v>
      </c>
      <c r="G839" s="199">
        <f>G840</f>
        <v>21</v>
      </c>
    </row>
    <row r="840" spans="1:7" ht="12.75">
      <c r="A840" s="16" t="s">
        <v>99</v>
      </c>
      <c r="B840" s="19" t="s">
        <v>275</v>
      </c>
      <c r="C840" s="20" t="s">
        <v>71</v>
      </c>
      <c r="D840" s="20" t="s">
        <v>63</v>
      </c>
      <c r="E840" s="115" t="s">
        <v>421</v>
      </c>
      <c r="F840" s="110" t="s">
        <v>100</v>
      </c>
      <c r="G840" s="199">
        <f>'МП пр.6'!G383</f>
        <v>21</v>
      </c>
    </row>
    <row r="841" spans="1:7" ht="25.5">
      <c r="A841" s="131" t="s">
        <v>433</v>
      </c>
      <c r="B841" s="126" t="s">
        <v>275</v>
      </c>
      <c r="C841" s="123" t="s">
        <v>71</v>
      </c>
      <c r="D841" s="123" t="s">
        <v>63</v>
      </c>
      <c r="E841" s="126" t="s">
        <v>156</v>
      </c>
      <c r="F841" s="123"/>
      <c r="G841" s="199">
        <f>G842</f>
        <v>300</v>
      </c>
    </row>
    <row r="842" spans="1:7" ht="25.5">
      <c r="A842" s="131" t="s">
        <v>193</v>
      </c>
      <c r="B842" s="126" t="s">
        <v>275</v>
      </c>
      <c r="C842" s="123" t="s">
        <v>71</v>
      </c>
      <c r="D842" s="123" t="s">
        <v>63</v>
      </c>
      <c r="E842" s="126" t="s">
        <v>311</v>
      </c>
      <c r="F842" s="123"/>
      <c r="G842" s="199">
        <f>G843</f>
        <v>300</v>
      </c>
    </row>
    <row r="843" spans="1:7" ht="12.75">
      <c r="A843" s="131" t="s">
        <v>165</v>
      </c>
      <c r="B843" s="126" t="s">
        <v>275</v>
      </c>
      <c r="C843" s="123" t="s">
        <v>71</v>
      </c>
      <c r="D843" s="123" t="s">
        <v>63</v>
      </c>
      <c r="E843" s="126" t="s">
        <v>312</v>
      </c>
      <c r="F843" s="123"/>
      <c r="G843" s="199">
        <f>G844</f>
        <v>300</v>
      </c>
    </row>
    <row r="844" spans="1:7" ht="25.5">
      <c r="A844" s="122" t="s">
        <v>95</v>
      </c>
      <c r="B844" s="126" t="s">
        <v>275</v>
      </c>
      <c r="C844" s="123" t="s">
        <v>71</v>
      </c>
      <c r="D844" s="123" t="s">
        <v>63</v>
      </c>
      <c r="E844" s="126" t="s">
        <v>312</v>
      </c>
      <c r="F844" s="123" t="s">
        <v>96</v>
      </c>
      <c r="G844" s="199">
        <f>G845</f>
        <v>300</v>
      </c>
    </row>
    <row r="845" spans="1:7" ht="12.75">
      <c r="A845" s="122" t="s">
        <v>99</v>
      </c>
      <c r="B845" s="126" t="s">
        <v>275</v>
      </c>
      <c r="C845" s="123" t="s">
        <v>71</v>
      </c>
      <c r="D845" s="123" t="s">
        <v>63</v>
      </c>
      <c r="E845" s="126" t="s">
        <v>312</v>
      </c>
      <c r="F845" s="123" t="s">
        <v>100</v>
      </c>
      <c r="G845" s="199">
        <f>'МП пр.6'!G547</f>
        <v>300</v>
      </c>
    </row>
    <row r="846" spans="1:7" ht="25.5">
      <c r="A846" s="29" t="str">
        <f>'МП пр.6'!A555</f>
        <v>Муниципальная программа "Развитие физической культуры и спорта в Сусуманском городском округе на 2018- 2022 годы"</v>
      </c>
      <c r="B846" s="19" t="s">
        <v>275</v>
      </c>
      <c r="C846" s="20" t="s">
        <v>71</v>
      </c>
      <c r="D846" s="20" t="s">
        <v>63</v>
      </c>
      <c r="E846" s="115" t="str">
        <f>'МП пр.6'!B555</f>
        <v xml:space="preserve">7Ф 0 00 00000 </v>
      </c>
      <c r="F846" s="110"/>
      <c r="G846" s="199">
        <f>G847</f>
        <v>1237.9</v>
      </c>
    </row>
    <row r="847" spans="1:7" ht="25.5">
      <c r="A847" s="29" t="str">
        <f>'МП пр.6'!A556</f>
        <v>Основное мероприятие "Приобщение различных слоев населения к регулярным занятиям физической культурой и спортом"</v>
      </c>
      <c r="B847" s="19" t="s">
        <v>275</v>
      </c>
      <c r="C847" s="20" t="s">
        <v>71</v>
      </c>
      <c r="D847" s="20" t="s">
        <v>63</v>
      </c>
      <c r="E847" s="115" t="str">
        <f>'МП пр.6'!B556</f>
        <v xml:space="preserve">7Ф 0 01 00000 </v>
      </c>
      <c r="F847" s="110"/>
      <c r="G847" s="199">
        <f>G851+G854+G848</f>
        <v>1237.9</v>
      </c>
    </row>
    <row r="848" spans="1:7" ht="37.9" customHeight="1">
      <c r="A848" s="29" t="str">
        <f>'МП пр.6'!A557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48" s="19" t="s">
        <v>275</v>
      </c>
      <c r="C848" s="20" t="s">
        <v>71</v>
      </c>
      <c r="D848" s="20" t="s">
        <v>63</v>
      </c>
      <c r="E848" s="115" t="str">
        <f>'МП пр.6'!B558</f>
        <v xml:space="preserve">7Ф 0 01 75010 </v>
      </c>
      <c r="F848" s="110"/>
      <c r="G848" s="199">
        <f>G849</f>
        <v>87.9</v>
      </c>
    </row>
    <row r="849" spans="1:7" ht="25.5">
      <c r="A849" s="16" t="s">
        <v>95</v>
      </c>
      <c r="B849" s="19" t="s">
        <v>275</v>
      </c>
      <c r="C849" s="20" t="s">
        <v>71</v>
      </c>
      <c r="D849" s="20" t="s">
        <v>63</v>
      </c>
      <c r="E849" s="115" t="str">
        <f>'МП пр.6'!B559</f>
        <v xml:space="preserve">7Ф 0 01 75010 </v>
      </c>
      <c r="F849" s="110" t="s">
        <v>96</v>
      </c>
      <c r="G849" s="199">
        <f>G850</f>
        <v>87.9</v>
      </c>
    </row>
    <row r="850" spans="1:7" ht="12.75">
      <c r="A850" s="16" t="s">
        <v>99</v>
      </c>
      <c r="B850" s="19" t="s">
        <v>275</v>
      </c>
      <c r="C850" s="20" t="s">
        <v>71</v>
      </c>
      <c r="D850" s="20" t="s">
        <v>63</v>
      </c>
      <c r="E850" s="115" t="str">
        <f>'МП пр.6'!B560</f>
        <v xml:space="preserve">7Ф 0 01 75010 </v>
      </c>
      <c r="F850" s="110" t="s">
        <v>100</v>
      </c>
      <c r="G850" s="199">
        <f>'МП пр.6'!G562</f>
        <v>87.9</v>
      </c>
    </row>
    <row r="851" spans="1:7" ht="12.75">
      <c r="A851" s="29" t="str">
        <f>'МП пр.6'!A563</f>
        <v>Укрепление материально- технической базы</v>
      </c>
      <c r="B851" s="19" t="s">
        <v>275</v>
      </c>
      <c r="C851" s="20" t="s">
        <v>71</v>
      </c>
      <c r="D851" s="20" t="s">
        <v>63</v>
      </c>
      <c r="E851" s="115" t="str">
        <f>'МП пр.6'!B563</f>
        <v xml:space="preserve">7Ф 0 01 92500 </v>
      </c>
      <c r="F851" s="110"/>
      <c r="G851" s="199">
        <f>G852</f>
        <v>300</v>
      </c>
    </row>
    <row r="852" spans="1:7" ht="25.5">
      <c r="A852" s="16" t="s">
        <v>95</v>
      </c>
      <c r="B852" s="19" t="s">
        <v>275</v>
      </c>
      <c r="C852" s="20" t="s">
        <v>71</v>
      </c>
      <c r="D852" s="20" t="s">
        <v>63</v>
      </c>
      <c r="E852" s="115" t="s">
        <v>260</v>
      </c>
      <c r="F852" s="110" t="s">
        <v>96</v>
      </c>
      <c r="G852" s="199">
        <f>G853</f>
        <v>300</v>
      </c>
    </row>
    <row r="853" spans="1:7" ht="12.75">
      <c r="A853" s="16" t="s">
        <v>99</v>
      </c>
      <c r="B853" s="19" t="s">
        <v>275</v>
      </c>
      <c r="C853" s="20" t="s">
        <v>71</v>
      </c>
      <c r="D853" s="20" t="s">
        <v>63</v>
      </c>
      <c r="E853" s="115" t="s">
        <v>260</v>
      </c>
      <c r="F853" s="110" t="s">
        <v>100</v>
      </c>
      <c r="G853" s="199">
        <f>'МП пр.6'!G568</f>
        <v>300</v>
      </c>
    </row>
    <row r="854" spans="1:7" ht="12.75">
      <c r="A854" s="29" t="str">
        <f>'МП пр.6'!A569</f>
        <v>Оздоровительная, спортивно- массовая работа с населением, проведение мероприятий</v>
      </c>
      <c r="B854" s="19" t="s">
        <v>275</v>
      </c>
      <c r="C854" s="20" t="s">
        <v>71</v>
      </c>
      <c r="D854" s="20" t="s">
        <v>63</v>
      </c>
      <c r="E854" s="115" t="str">
        <f>'МП пр.6'!B569</f>
        <v xml:space="preserve">7Ф 0 01 93100 </v>
      </c>
      <c r="F854" s="110"/>
      <c r="G854" s="199">
        <f>G855</f>
        <v>850</v>
      </c>
    </row>
    <row r="855" spans="1:7" ht="25.5">
      <c r="A855" s="16" t="s">
        <v>95</v>
      </c>
      <c r="B855" s="19" t="s">
        <v>275</v>
      </c>
      <c r="C855" s="20" t="s">
        <v>71</v>
      </c>
      <c r="D855" s="20" t="s">
        <v>63</v>
      </c>
      <c r="E855" s="115" t="s">
        <v>259</v>
      </c>
      <c r="F855" s="110" t="s">
        <v>96</v>
      </c>
      <c r="G855" s="199">
        <f>G856</f>
        <v>850</v>
      </c>
    </row>
    <row r="856" spans="1:7" ht="12.75">
      <c r="A856" s="16" t="s">
        <v>99</v>
      </c>
      <c r="B856" s="19" t="s">
        <v>275</v>
      </c>
      <c r="C856" s="20" t="s">
        <v>71</v>
      </c>
      <c r="D856" s="20" t="s">
        <v>63</v>
      </c>
      <c r="E856" s="115" t="s">
        <v>259</v>
      </c>
      <c r="F856" s="110" t="s">
        <v>100</v>
      </c>
      <c r="G856" s="199">
        <f>'МП пр.6'!G574</f>
        <v>850</v>
      </c>
    </row>
    <row r="857" spans="1:7" ht="25.5">
      <c r="A857" s="16" t="s">
        <v>540</v>
      </c>
      <c r="B857" s="19" t="s">
        <v>275</v>
      </c>
      <c r="C857" s="20" t="s">
        <v>71</v>
      </c>
      <c r="D857" s="20" t="s">
        <v>63</v>
      </c>
      <c r="E857" s="110" t="s">
        <v>541</v>
      </c>
      <c r="F857" s="110"/>
      <c r="G857" s="199">
        <f>G858+G861+G864</f>
        <v>27628.300000000003</v>
      </c>
    </row>
    <row r="858" spans="1:7" ht="12.75">
      <c r="A858" s="16" t="s">
        <v>185</v>
      </c>
      <c r="B858" s="19" t="s">
        <v>275</v>
      </c>
      <c r="C858" s="20" t="s">
        <v>71</v>
      </c>
      <c r="D858" s="20" t="s">
        <v>63</v>
      </c>
      <c r="E858" s="110" t="s">
        <v>542</v>
      </c>
      <c r="F858" s="110"/>
      <c r="G858" s="199">
        <f>G859</f>
        <v>27456.600000000002</v>
      </c>
    </row>
    <row r="859" spans="1:7" ht="25.5">
      <c r="A859" s="16" t="s">
        <v>95</v>
      </c>
      <c r="B859" s="19" t="s">
        <v>275</v>
      </c>
      <c r="C859" s="20" t="s">
        <v>71</v>
      </c>
      <c r="D859" s="20" t="s">
        <v>63</v>
      </c>
      <c r="E859" s="110" t="s">
        <v>542</v>
      </c>
      <c r="F859" s="110" t="s">
        <v>96</v>
      </c>
      <c r="G859" s="199">
        <f>G860</f>
        <v>27456.600000000002</v>
      </c>
    </row>
    <row r="860" spans="1:7" ht="12.75">
      <c r="A860" s="16" t="s">
        <v>99</v>
      </c>
      <c r="B860" s="19" t="s">
        <v>275</v>
      </c>
      <c r="C860" s="20" t="s">
        <v>71</v>
      </c>
      <c r="D860" s="20" t="s">
        <v>63</v>
      </c>
      <c r="E860" s="110" t="s">
        <v>542</v>
      </c>
      <c r="F860" s="110" t="s">
        <v>100</v>
      </c>
      <c r="G860" s="199">
        <f>26538.4+918.2</f>
        <v>27456.600000000002</v>
      </c>
    </row>
    <row r="861" spans="1:7" ht="51">
      <c r="A861" s="16" t="s">
        <v>204</v>
      </c>
      <c r="B861" s="19" t="s">
        <v>275</v>
      </c>
      <c r="C861" s="20" t="s">
        <v>71</v>
      </c>
      <c r="D861" s="20" t="s">
        <v>63</v>
      </c>
      <c r="E861" s="110" t="s">
        <v>543</v>
      </c>
      <c r="F861" s="110"/>
      <c r="G861" s="199">
        <f>G862</f>
        <v>159.7</v>
      </c>
    </row>
    <row r="862" spans="1:7" ht="25.5">
      <c r="A862" s="16" t="s">
        <v>95</v>
      </c>
      <c r="B862" s="19" t="s">
        <v>275</v>
      </c>
      <c r="C862" s="20" t="s">
        <v>71</v>
      </c>
      <c r="D862" s="20" t="s">
        <v>63</v>
      </c>
      <c r="E862" s="110" t="s">
        <v>543</v>
      </c>
      <c r="F862" s="110" t="s">
        <v>96</v>
      </c>
      <c r="G862" s="199">
        <f>G863</f>
        <v>159.7</v>
      </c>
    </row>
    <row r="863" spans="1:7" ht="12.75">
      <c r="A863" s="16" t="s">
        <v>99</v>
      </c>
      <c r="B863" s="19" t="s">
        <v>275</v>
      </c>
      <c r="C863" s="20" t="s">
        <v>71</v>
      </c>
      <c r="D863" s="20" t="s">
        <v>63</v>
      </c>
      <c r="E863" s="110" t="s">
        <v>543</v>
      </c>
      <c r="F863" s="110" t="s">
        <v>100</v>
      </c>
      <c r="G863" s="199">
        <f>275-115.3</f>
        <v>159.7</v>
      </c>
    </row>
    <row r="864" spans="1:7" ht="12.75">
      <c r="A864" s="16" t="s">
        <v>176</v>
      </c>
      <c r="B864" s="19" t="s">
        <v>275</v>
      </c>
      <c r="C864" s="20" t="s">
        <v>71</v>
      </c>
      <c r="D864" s="20" t="s">
        <v>63</v>
      </c>
      <c r="E864" s="110" t="s">
        <v>544</v>
      </c>
      <c r="F864" s="110"/>
      <c r="G864" s="199">
        <f>G865</f>
        <v>12</v>
      </c>
    </row>
    <row r="865" spans="1:7" ht="25.5">
      <c r="A865" s="16" t="s">
        <v>95</v>
      </c>
      <c r="B865" s="19" t="s">
        <v>275</v>
      </c>
      <c r="C865" s="20" t="s">
        <v>71</v>
      </c>
      <c r="D865" s="20" t="s">
        <v>63</v>
      </c>
      <c r="E865" s="110" t="s">
        <v>544</v>
      </c>
      <c r="F865" s="110" t="s">
        <v>96</v>
      </c>
      <c r="G865" s="199">
        <f>G866</f>
        <v>12</v>
      </c>
    </row>
    <row r="866" spans="1:7" ht="12.75">
      <c r="A866" s="16" t="s">
        <v>99</v>
      </c>
      <c r="B866" s="19" t="s">
        <v>275</v>
      </c>
      <c r="C866" s="20" t="s">
        <v>71</v>
      </c>
      <c r="D866" s="20" t="s">
        <v>63</v>
      </c>
      <c r="E866" s="110" t="s">
        <v>544</v>
      </c>
      <c r="F866" s="110" t="s">
        <v>100</v>
      </c>
      <c r="G866" s="199">
        <f>37-25</f>
        <v>12</v>
      </c>
    </row>
    <row r="867" spans="1:7" ht="12.75">
      <c r="A867" s="16" t="s">
        <v>28</v>
      </c>
      <c r="B867" s="19" t="s">
        <v>275</v>
      </c>
      <c r="C867" s="20" t="s">
        <v>71</v>
      </c>
      <c r="D867" s="20" t="s">
        <v>63</v>
      </c>
      <c r="E867" s="110" t="s">
        <v>545</v>
      </c>
      <c r="F867" s="110"/>
      <c r="G867" s="199">
        <f>G868</f>
        <v>519.4</v>
      </c>
    </row>
    <row r="868" spans="1:7" ht="12.75">
      <c r="A868" s="204" t="s">
        <v>546</v>
      </c>
      <c r="B868" s="19" t="s">
        <v>275</v>
      </c>
      <c r="C868" s="20" t="s">
        <v>71</v>
      </c>
      <c r="D868" s="20" t="s">
        <v>63</v>
      </c>
      <c r="E868" s="110" t="s">
        <v>547</v>
      </c>
      <c r="F868" s="110"/>
      <c r="G868" s="199">
        <f>G869</f>
        <v>519.4</v>
      </c>
    </row>
    <row r="869" spans="1:7" ht="25.5">
      <c r="A869" s="16" t="s">
        <v>95</v>
      </c>
      <c r="B869" s="19" t="s">
        <v>275</v>
      </c>
      <c r="C869" s="20" t="s">
        <v>71</v>
      </c>
      <c r="D869" s="20" t="s">
        <v>63</v>
      </c>
      <c r="E869" s="110" t="s">
        <v>547</v>
      </c>
      <c r="F869" s="110" t="s">
        <v>96</v>
      </c>
      <c r="G869" s="199">
        <f>G870</f>
        <v>519.4</v>
      </c>
    </row>
    <row r="870" spans="1:7" ht="12.75">
      <c r="A870" s="16" t="s">
        <v>99</v>
      </c>
      <c r="B870" s="19" t="s">
        <v>275</v>
      </c>
      <c r="C870" s="20" t="s">
        <v>71</v>
      </c>
      <c r="D870" s="20" t="s">
        <v>63</v>
      </c>
      <c r="E870" s="110" t="s">
        <v>547</v>
      </c>
      <c r="F870" s="110" t="s">
        <v>100</v>
      </c>
      <c r="G870" s="199">
        <f>200+146+173.4</f>
        <v>519.4</v>
      </c>
    </row>
    <row r="871" spans="1:7" ht="25.5">
      <c r="A871" s="15" t="s">
        <v>320</v>
      </c>
      <c r="B871" s="37" t="s">
        <v>276</v>
      </c>
      <c r="C871" s="32"/>
      <c r="D871" s="32"/>
      <c r="E871" s="113"/>
      <c r="F871" s="113"/>
      <c r="G871" s="198">
        <f>G887+G918+G992+G872</f>
        <v>56895.1</v>
      </c>
    </row>
    <row r="872" spans="1:7" ht="12.75">
      <c r="A872" s="120" t="s">
        <v>2</v>
      </c>
      <c r="B872" s="121" t="s">
        <v>276</v>
      </c>
      <c r="C872" s="121" t="s">
        <v>63</v>
      </c>
      <c r="D872" s="121" t="s">
        <v>34</v>
      </c>
      <c r="E872" s="121"/>
      <c r="F872" s="121"/>
      <c r="G872" s="198">
        <f>G873+G882</f>
        <v>883.6</v>
      </c>
    </row>
    <row r="873" spans="1:7" ht="38.25">
      <c r="A873" s="120" t="s">
        <v>17</v>
      </c>
      <c r="B873" s="121" t="s">
        <v>276</v>
      </c>
      <c r="C873" s="121" t="s">
        <v>63</v>
      </c>
      <c r="D873" s="121" t="s">
        <v>65</v>
      </c>
      <c r="E873" s="121"/>
      <c r="F873" s="121"/>
      <c r="G873" s="198">
        <f>G874</f>
        <v>881.5</v>
      </c>
    </row>
    <row r="874" spans="1:7" ht="25.5">
      <c r="A874" s="122" t="s">
        <v>277</v>
      </c>
      <c r="B874" s="123" t="s">
        <v>276</v>
      </c>
      <c r="C874" s="123" t="s">
        <v>63</v>
      </c>
      <c r="D874" s="123" t="s">
        <v>65</v>
      </c>
      <c r="E874" s="123" t="s">
        <v>175</v>
      </c>
      <c r="F874" s="121"/>
      <c r="G874" s="199">
        <f>G875</f>
        <v>881.5</v>
      </c>
    </row>
    <row r="875" spans="1:7" ht="12.75">
      <c r="A875" s="122" t="s">
        <v>47</v>
      </c>
      <c r="B875" s="123" t="s">
        <v>276</v>
      </c>
      <c r="C875" s="123" t="s">
        <v>63</v>
      </c>
      <c r="D875" s="123" t="s">
        <v>65</v>
      </c>
      <c r="E875" s="123" t="s">
        <v>181</v>
      </c>
      <c r="F875" s="121"/>
      <c r="G875" s="199">
        <f>G876</f>
        <v>881.5</v>
      </c>
    </row>
    <row r="876" spans="1:7" ht="12.75">
      <c r="A876" s="122" t="s">
        <v>178</v>
      </c>
      <c r="B876" s="123" t="s">
        <v>276</v>
      </c>
      <c r="C876" s="123" t="s">
        <v>63</v>
      </c>
      <c r="D876" s="123" t="s">
        <v>65</v>
      </c>
      <c r="E876" s="123" t="s">
        <v>183</v>
      </c>
      <c r="F876" s="123"/>
      <c r="G876" s="199">
        <f>G879+G877</f>
        <v>881.5</v>
      </c>
    </row>
    <row r="877" spans="1:7" ht="25.5">
      <c r="A877" s="122" t="s">
        <v>333</v>
      </c>
      <c r="B877" s="123" t="s">
        <v>276</v>
      </c>
      <c r="C877" s="123" t="s">
        <v>63</v>
      </c>
      <c r="D877" s="123" t="s">
        <v>65</v>
      </c>
      <c r="E877" s="123" t="s">
        <v>183</v>
      </c>
      <c r="F877" s="123" t="s">
        <v>94</v>
      </c>
      <c r="G877" s="199">
        <f>G878</f>
        <v>275.2</v>
      </c>
    </row>
    <row r="878" spans="1:7" ht="25.5">
      <c r="A878" s="16" t="s">
        <v>608</v>
      </c>
      <c r="B878" s="123" t="s">
        <v>276</v>
      </c>
      <c r="C878" s="123" t="s">
        <v>63</v>
      </c>
      <c r="D878" s="123" t="s">
        <v>65</v>
      </c>
      <c r="E878" s="123" t="s">
        <v>183</v>
      </c>
      <c r="F878" s="123" t="s">
        <v>91</v>
      </c>
      <c r="G878" s="199">
        <f>200+180-5-99.8</f>
        <v>275.2</v>
      </c>
    </row>
    <row r="879" spans="1:7" ht="12.75">
      <c r="A879" s="122" t="s">
        <v>110</v>
      </c>
      <c r="B879" s="123" t="s">
        <v>276</v>
      </c>
      <c r="C879" s="123" t="s">
        <v>63</v>
      </c>
      <c r="D879" s="123" t="s">
        <v>65</v>
      </c>
      <c r="E879" s="123" t="s">
        <v>183</v>
      </c>
      <c r="F879" s="123" t="s">
        <v>111</v>
      </c>
      <c r="G879" s="199">
        <f>G881+G880</f>
        <v>606.3</v>
      </c>
    </row>
    <row r="880" spans="1:7" ht="12.75">
      <c r="A880" s="150" t="s">
        <v>651</v>
      </c>
      <c r="B880" s="123" t="s">
        <v>276</v>
      </c>
      <c r="C880" s="123" t="s">
        <v>63</v>
      </c>
      <c r="D880" s="123" t="s">
        <v>65</v>
      </c>
      <c r="E880" s="123" t="s">
        <v>183</v>
      </c>
      <c r="F880" s="154">
        <v>830</v>
      </c>
      <c r="G880" s="199">
        <f>150+426.5</f>
        <v>576.5</v>
      </c>
    </row>
    <row r="881" spans="1:7" ht="12.75">
      <c r="A881" s="122" t="s">
        <v>113</v>
      </c>
      <c r="B881" s="123" t="s">
        <v>276</v>
      </c>
      <c r="C881" s="123" t="s">
        <v>63</v>
      </c>
      <c r="D881" s="123" t="s">
        <v>65</v>
      </c>
      <c r="E881" s="123" t="s">
        <v>183</v>
      </c>
      <c r="F881" s="123" t="s">
        <v>114</v>
      </c>
      <c r="G881" s="199">
        <v>29.8</v>
      </c>
    </row>
    <row r="882" spans="1:7" ht="12.75">
      <c r="A882" s="120" t="s">
        <v>60</v>
      </c>
      <c r="B882" s="124" t="s">
        <v>276</v>
      </c>
      <c r="C882" s="121" t="s">
        <v>63</v>
      </c>
      <c r="D882" s="121" t="s">
        <v>84</v>
      </c>
      <c r="E882" s="123"/>
      <c r="F882" s="123"/>
      <c r="G882" s="198">
        <f>G883</f>
        <v>2.1000000000000014</v>
      </c>
    </row>
    <row r="883" spans="1:7" ht="25.5">
      <c r="A883" s="125" t="s">
        <v>169</v>
      </c>
      <c r="B883" s="126" t="s">
        <v>276</v>
      </c>
      <c r="C883" s="123" t="s">
        <v>63</v>
      </c>
      <c r="D883" s="123" t="s">
        <v>84</v>
      </c>
      <c r="E883" s="123" t="s">
        <v>498</v>
      </c>
      <c r="F883" s="123"/>
      <c r="G883" s="199">
        <f>G884</f>
        <v>2.1000000000000014</v>
      </c>
    </row>
    <row r="884" spans="1:7" ht="25.5">
      <c r="A884" s="125" t="s">
        <v>591</v>
      </c>
      <c r="B884" s="123" t="s">
        <v>276</v>
      </c>
      <c r="C884" s="123" t="s">
        <v>63</v>
      </c>
      <c r="D884" s="123" t="s">
        <v>84</v>
      </c>
      <c r="E884" s="123" t="s">
        <v>500</v>
      </c>
      <c r="F884" s="123"/>
      <c r="G884" s="199">
        <f>G885</f>
        <v>2.1000000000000014</v>
      </c>
    </row>
    <row r="885" spans="1:7" ht="25.5">
      <c r="A885" s="122" t="s">
        <v>333</v>
      </c>
      <c r="B885" s="123" t="s">
        <v>276</v>
      </c>
      <c r="C885" s="123" t="s">
        <v>63</v>
      </c>
      <c r="D885" s="123" t="s">
        <v>84</v>
      </c>
      <c r="E885" s="123" t="s">
        <v>500</v>
      </c>
      <c r="F885" s="123" t="s">
        <v>94</v>
      </c>
      <c r="G885" s="199">
        <f>G886</f>
        <v>2.1000000000000014</v>
      </c>
    </row>
    <row r="886" spans="1:7" ht="25.5">
      <c r="A886" s="16" t="s">
        <v>608</v>
      </c>
      <c r="B886" s="123" t="s">
        <v>276</v>
      </c>
      <c r="C886" s="123" t="s">
        <v>63</v>
      </c>
      <c r="D886" s="123" t="s">
        <v>84</v>
      </c>
      <c r="E886" s="123" t="s">
        <v>500</v>
      </c>
      <c r="F886" s="123" t="s">
        <v>91</v>
      </c>
      <c r="G886" s="199">
        <f>41-38.9</f>
        <v>2.1000000000000014</v>
      </c>
    </row>
    <row r="887" spans="1:7" ht="12.75">
      <c r="A887" s="15" t="s">
        <v>5</v>
      </c>
      <c r="B887" s="37" t="s">
        <v>276</v>
      </c>
      <c r="C887" s="37" t="s">
        <v>65</v>
      </c>
      <c r="D887" s="37" t="s">
        <v>34</v>
      </c>
      <c r="E887" s="113"/>
      <c r="F887" s="113"/>
      <c r="G887" s="198">
        <f>G899+G888</f>
        <v>9032.7</v>
      </c>
    </row>
    <row r="888" spans="1:7" ht="12.75">
      <c r="A888" s="15" t="s">
        <v>321</v>
      </c>
      <c r="B888" s="37" t="s">
        <v>276</v>
      </c>
      <c r="C888" s="37" t="s">
        <v>65</v>
      </c>
      <c r="D888" s="37" t="s">
        <v>73</v>
      </c>
      <c r="E888" s="113"/>
      <c r="F888" s="113"/>
      <c r="G888" s="198">
        <f>G895+G889</f>
        <v>1419.5</v>
      </c>
    </row>
    <row r="889" spans="1:7" ht="12.75">
      <c r="A889" s="16" t="s">
        <v>478</v>
      </c>
      <c r="B889" s="19" t="s">
        <v>276</v>
      </c>
      <c r="C889" s="20" t="s">
        <v>65</v>
      </c>
      <c r="D889" s="20" t="s">
        <v>73</v>
      </c>
      <c r="E889" s="115" t="s">
        <v>548</v>
      </c>
      <c r="F889" s="113"/>
      <c r="G889" s="199">
        <f>G890</f>
        <v>1414.4</v>
      </c>
    </row>
    <row r="890" spans="1:7" ht="25.5">
      <c r="A890" s="185" t="str">
        <f>'МП пр.6'!A9</f>
        <v>Муниципальная программа "Развитие водохозяйственного комплекса Сусуманского городского округа на 2018-2022 год"</v>
      </c>
      <c r="B890" s="19" t="s">
        <v>276</v>
      </c>
      <c r="C890" s="20" t="s">
        <v>65</v>
      </c>
      <c r="D890" s="20" t="s">
        <v>73</v>
      </c>
      <c r="E890" s="115" t="str">
        <f>'МП пр.6'!B9</f>
        <v>7А 0 00 00000</v>
      </c>
      <c r="F890" s="110"/>
      <c r="G890" s="199">
        <f>G891</f>
        <v>1414.4</v>
      </c>
    </row>
    <row r="891" spans="1:7" ht="25.5">
      <c r="A891" s="16" t="str">
        <f>'МП пр.6'!A10</f>
        <v>Основное мероприятие "Разработка декларации безопасности (включая государственную экспертизу)"</v>
      </c>
      <c r="B891" s="20" t="s">
        <v>276</v>
      </c>
      <c r="C891" s="20" t="s">
        <v>65</v>
      </c>
      <c r="D891" s="20" t="s">
        <v>73</v>
      </c>
      <c r="E891" s="110" t="str">
        <f>'МП пр.6'!B10</f>
        <v>7А 0 01 00000</v>
      </c>
      <c r="F891" s="113"/>
      <c r="G891" s="199">
        <f>G892</f>
        <v>1414.4</v>
      </c>
    </row>
    <row r="892" spans="1:7" ht="25.5">
      <c r="A892" s="16" t="str">
        <f>'МП пр.6'!A11</f>
        <v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v>
      </c>
      <c r="B892" s="20" t="s">
        <v>276</v>
      </c>
      <c r="C892" s="20" t="s">
        <v>65</v>
      </c>
      <c r="D892" s="20" t="s">
        <v>73</v>
      </c>
      <c r="E892" s="110" t="str">
        <f>'МП пр.6'!B11</f>
        <v>7А 0 01 93340</v>
      </c>
      <c r="F892" s="113"/>
      <c r="G892" s="199">
        <f>G893</f>
        <v>1414.4</v>
      </c>
    </row>
    <row r="893" spans="1:7" ht="25.5">
      <c r="A893" s="16" t="s">
        <v>333</v>
      </c>
      <c r="B893" s="20" t="s">
        <v>276</v>
      </c>
      <c r="C893" s="20" t="s">
        <v>65</v>
      </c>
      <c r="D893" s="20" t="s">
        <v>73</v>
      </c>
      <c r="E893" s="110" t="str">
        <f>'МП пр.6'!B12</f>
        <v>7А 0 01 93340</v>
      </c>
      <c r="F893" s="110" t="s">
        <v>94</v>
      </c>
      <c r="G893" s="199">
        <f>G894</f>
        <v>1414.4</v>
      </c>
    </row>
    <row r="894" spans="1:7" ht="25.5">
      <c r="A894" s="16" t="s">
        <v>608</v>
      </c>
      <c r="B894" s="20" t="s">
        <v>276</v>
      </c>
      <c r="C894" s="20" t="s">
        <v>65</v>
      </c>
      <c r="D894" s="20" t="s">
        <v>73</v>
      </c>
      <c r="E894" s="110" t="str">
        <f>'МП пр.6'!B13</f>
        <v>7А 0 01 93340</v>
      </c>
      <c r="F894" s="110" t="s">
        <v>91</v>
      </c>
      <c r="G894" s="199">
        <f>'МП пр.6'!G16</f>
        <v>1414.4</v>
      </c>
    </row>
    <row r="895" spans="1:7" ht="12.75">
      <c r="A895" s="16" t="s">
        <v>549</v>
      </c>
      <c r="B895" s="20" t="s">
        <v>276</v>
      </c>
      <c r="C895" s="20" t="s">
        <v>65</v>
      </c>
      <c r="D895" s="20" t="s">
        <v>73</v>
      </c>
      <c r="E895" s="110" t="s">
        <v>550</v>
      </c>
      <c r="F895" s="110"/>
      <c r="G895" s="199">
        <f>G898</f>
        <v>5.1</v>
      </c>
    </row>
    <row r="896" spans="1:7" ht="12.75">
      <c r="A896" s="16" t="s">
        <v>551</v>
      </c>
      <c r="B896" s="20" t="s">
        <v>276</v>
      </c>
      <c r="C896" s="20" t="s">
        <v>65</v>
      </c>
      <c r="D896" s="20" t="s">
        <v>73</v>
      </c>
      <c r="E896" s="110" t="s">
        <v>552</v>
      </c>
      <c r="F896" s="110"/>
      <c r="G896" s="199">
        <f>G897</f>
        <v>5.1</v>
      </c>
    </row>
    <row r="897" spans="1:7" ht="25.5">
      <c r="A897" s="16" t="s">
        <v>333</v>
      </c>
      <c r="B897" s="20" t="s">
        <v>276</v>
      </c>
      <c r="C897" s="20" t="s">
        <v>65</v>
      </c>
      <c r="D897" s="20" t="s">
        <v>73</v>
      </c>
      <c r="E897" s="110" t="s">
        <v>552</v>
      </c>
      <c r="F897" s="110" t="s">
        <v>94</v>
      </c>
      <c r="G897" s="199">
        <f>G898</f>
        <v>5.1</v>
      </c>
    </row>
    <row r="898" spans="1:7" ht="25.5">
      <c r="A898" s="16" t="s">
        <v>608</v>
      </c>
      <c r="B898" s="20" t="s">
        <v>276</v>
      </c>
      <c r="C898" s="20" t="s">
        <v>65</v>
      </c>
      <c r="D898" s="20" t="s">
        <v>73</v>
      </c>
      <c r="E898" s="110" t="s">
        <v>552</v>
      </c>
      <c r="F898" s="110" t="s">
        <v>91</v>
      </c>
      <c r="G898" s="199">
        <f>3.1+2</f>
        <v>5.1</v>
      </c>
    </row>
    <row r="899" spans="1:7" ht="12.75">
      <c r="A899" s="15" t="s">
        <v>79</v>
      </c>
      <c r="B899" s="37" t="s">
        <v>276</v>
      </c>
      <c r="C899" s="37" t="s">
        <v>65</v>
      </c>
      <c r="D899" s="37" t="s">
        <v>72</v>
      </c>
      <c r="E899" s="113"/>
      <c r="F899" s="113"/>
      <c r="G899" s="198">
        <f>G901+G909+G914</f>
        <v>7613.200000000001</v>
      </c>
    </row>
    <row r="900" spans="1:7" ht="12.75">
      <c r="A900" s="16" t="s">
        <v>478</v>
      </c>
      <c r="B900" s="19" t="s">
        <v>276</v>
      </c>
      <c r="C900" s="20" t="s">
        <v>65</v>
      </c>
      <c r="D900" s="20" t="s">
        <v>72</v>
      </c>
      <c r="E900" s="115" t="s">
        <v>548</v>
      </c>
      <c r="F900" s="110"/>
      <c r="G900" s="199">
        <f>G901+G909</f>
        <v>6141.8</v>
      </c>
    </row>
    <row r="901" spans="1:7" ht="25.5">
      <c r="A901" s="185" t="str">
        <f>'МП пр.6'!A639</f>
        <v>Муниципальная программа "Повышение безопасности дорожного движения на территории Сусуманского городского округа на 2018- 2022 годы"</v>
      </c>
      <c r="B901" s="19" t="s">
        <v>276</v>
      </c>
      <c r="C901" s="20" t="s">
        <v>65</v>
      </c>
      <c r="D901" s="20" t="s">
        <v>72</v>
      </c>
      <c r="E901" s="115" t="str">
        <f>'МП пр.6'!B639</f>
        <v>7D 0 00 00000</v>
      </c>
      <c r="F901" s="110"/>
      <c r="G901" s="199">
        <f>G902</f>
        <v>1825.2</v>
      </c>
    </row>
    <row r="902" spans="1:7" ht="12.75">
      <c r="A902" s="29" t="str">
        <f>'МП пр.6'!A640</f>
        <v>Основное мероприятие "Обеспечение реализации программы"</v>
      </c>
      <c r="B902" s="19" t="s">
        <v>276</v>
      </c>
      <c r="C902" s="20" t="s">
        <v>65</v>
      </c>
      <c r="D902" s="20" t="s">
        <v>72</v>
      </c>
      <c r="E902" s="115" t="str">
        <f>'МП пр.6'!B640</f>
        <v>7D 0 01 00000</v>
      </c>
      <c r="F902" s="110"/>
      <c r="G902" s="199">
        <f>G906+G903</f>
        <v>1825.2</v>
      </c>
    </row>
    <row r="903" spans="1:7" ht="12.75">
      <c r="A903" s="29" t="str">
        <f>'МП пр.6'!A641</f>
        <v>Приобретение пешеходных ограждений</v>
      </c>
      <c r="B903" s="19" t="s">
        <v>276</v>
      </c>
      <c r="C903" s="20" t="s">
        <v>65</v>
      </c>
      <c r="D903" s="20" t="s">
        <v>72</v>
      </c>
      <c r="E903" s="115" t="str">
        <f>'МП пр.6'!B641</f>
        <v>7D 0 01 95420</v>
      </c>
      <c r="F903" s="110"/>
      <c r="G903" s="199">
        <f>G904</f>
        <v>1200</v>
      </c>
    </row>
    <row r="904" spans="1:7" ht="25.5">
      <c r="A904" s="29" t="str">
        <f>'МП пр.6'!A644</f>
        <v>Закупка товаров, работ и услуг для обеспечения государственных (муниципальных) нужд</v>
      </c>
      <c r="B904" s="19" t="s">
        <v>276</v>
      </c>
      <c r="C904" s="20" t="s">
        <v>65</v>
      </c>
      <c r="D904" s="20" t="s">
        <v>72</v>
      </c>
      <c r="E904" s="115" t="str">
        <f>'МП пр.6'!B642</f>
        <v>7D 0 01 95420</v>
      </c>
      <c r="F904" s="142">
        <v>200</v>
      </c>
      <c r="G904" s="199">
        <f>G905</f>
        <v>1200</v>
      </c>
    </row>
    <row r="905" spans="1:7" ht="25.5">
      <c r="A905" s="29" t="str">
        <f>'МП пр.6'!A645</f>
        <v>Иные закупки товаров, работ и услуг для обеспечения государственных (муниципальных )нужд</v>
      </c>
      <c r="B905" s="19" t="s">
        <v>276</v>
      </c>
      <c r="C905" s="20" t="s">
        <v>65</v>
      </c>
      <c r="D905" s="20" t="s">
        <v>72</v>
      </c>
      <c r="E905" s="115" t="str">
        <f>'МП пр.6'!B643</f>
        <v>7D 0 01 95420</v>
      </c>
      <c r="F905" s="142">
        <v>240</v>
      </c>
      <c r="G905" s="199">
        <f>'МП пр.6'!G646</f>
        <v>1200</v>
      </c>
    </row>
    <row r="906" spans="1:7" ht="38.25">
      <c r="A906" s="16" t="str">
        <f>'МП пр.6'!A647</f>
        <v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v>
      </c>
      <c r="B906" s="19" t="s">
        <v>276</v>
      </c>
      <c r="C906" s="20" t="s">
        <v>65</v>
      </c>
      <c r="D906" s="20" t="s">
        <v>72</v>
      </c>
      <c r="E906" s="115" t="str">
        <f>'МП пр.6'!B647</f>
        <v>7D 0 01 95450</v>
      </c>
      <c r="F906" s="110"/>
      <c r="G906" s="199">
        <f>G907</f>
        <v>625.2</v>
      </c>
    </row>
    <row r="907" spans="1:7" ht="25.5">
      <c r="A907" s="16" t="s">
        <v>333</v>
      </c>
      <c r="B907" s="19" t="s">
        <v>276</v>
      </c>
      <c r="C907" s="20" t="s">
        <v>65</v>
      </c>
      <c r="D907" s="20" t="s">
        <v>72</v>
      </c>
      <c r="E907" s="115" t="str">
        <f>'МП пр.6'!B648</f>
        <v>7D 0 01 95450</v>
      </c>
      <c r="F907" s="110" t="s">
        <v>94</v>
      </c>
      <c r="G907" s="199">
        <f>G908</f>
        <v>625.2</v>
      </c>
    </row>
    <row r="908" spans="1:7" ht="25.5">
      <c r="A908" s="16" t="s">
        <v>608</v>
      </c>
      <c r="B908" s="19" t="s">
        <v>276</v>
      </c>
      <c r="C908" s="20" t="s">
        <v>65</v>
      </c>
      <c r="D908" s="20" t="s">
        <v>72</v>
      </c>
      <c r="E908" s="115" t="str">
        <f>'МП пр.6'!B649</f>
        <v>7D 0 01 95450</v>
      </c>
      <c r="F908" s="110" t="s">
        <v>91</v>
      </c>
      <c r="G908" s="199">
        <f>'МП пр.6'!G652</f>
        <v>625.2</v>
      </c>
    </row>
    <row r="909" spans="1:7" ht="25.5">
      <c r="A909" s="29" t="str">
        <f>'МП пр.6'!A726</f>
        <v>Муниципальная программа "Содержание автомобильных дорог общего пользования местного значения Сусуманского городского округа на 2018- 2022 годы"</v>
      </c>
      <c r="B909" s="19" t="s">
        <v>276</v>
      </c>
      <c r="C909" s="20" t="s">
        <v>65</v>
      </c>
      <c r="D909" s="20" t="s">
        <v>72</v>
      </c>
      <c r="E909" s="115" t="str">
        <f>'МП пр.6'!B726</f>
        <v xml:space="preserve">7S 0 00 00000 </v>
      </c>
      <c r="F909" s="110"/>
      <c r="G909" s="199">
        <f>G910</f>
        <v>4316.6</v>
      </c>
    </row>
    <row r="910" spans="1:7" ht="25.5">
      <c r="A910" s="29" t="str">
        <f>'МП пр.6'!A727</f>
        <v>Основное мероприятие "Содержание автомобильных дорог общего пользования местного значения"</v>
      </c>
      <c r="B910" s="19" t="s">
        <v>276</v>
      </c>
      <c r="C910" s="20" t="s">
        <v>65</v>
      </c>
      <c r="D910" s="20" t="s">
        <v>72</v>
      </c>
      <c r="E910" s="115" t="s">
        <v>323</v>
      </c>
      <c r="F910" s="110"/>
      <c r="G910" s="199">
        <f>G911</f>
        <v>4316.6</v>
      </c>
    </row>
    <row r="911" spans="1:7" ht="25.5">
      <c r="A911" s="29" t="str">
        <f>'МП пр.6'!A728</f>
        <v>Содержание автомобильных дорог общего пользования местного значения Сусуманского городского округа</v>
      </c>
      <c r="B911" s="19" t="s">
        <v>276</v>
      </c>
      <c r="C911" s="20" t="s">
        <v>65</v>
      </c>
      <c r="D911" s="20" t="s">
        <v>72</v>
      </c>
      <c r="E911" s="115" t="str">
        <f>'МП пр.6'!B728</f>
        <v xml:space="preserve">7S 0 01 95310 </v>
      </c>
      <c r="F911" s="110"/>
      <c r="G911" s="199">
        <f>G912</f>
        <v>4316.6</v>
      </c>
    </row>
    <row r="912" spans="1:7" ht="25.5">
      <c r="A912" s="16" t="s">
        <v>333</v>
      </c>
      <c r="B912" s="19" t="s">
        <v>276</v>
      </c>
      <c r="C912" s="20" t="s">
        <v>65</v>
      </c>
      <c r="D912" s="20" t="s">
        <v>72</v>
      </c>
      <c r="E912" s="115" t="s">
        <v>325</v>
      </c>
      <c r="F912" s="110" t="s">
        <v>94</v>
      </c>
      <c r="G912" s="199">
        <f>G913</f>
        <v>4316.6</v>
      </c>
    </row>
    <row r="913" spans="1:7" ht="25.5">
      <c r="A913" s="16" t="s">
        <v>608</v>
      </c>
      <c r="B913" s="19" t="s">
        <v>276</v>
      </c>
      <c r="C913" s="20" t="s">
        <v>65</v>
      </c>
      <c r="D913" s="20" t="s">
        <v>72</v>
      </c>
      <c r="E913" s="115" t="s">
        <v>325</v>
      </c>
      <c r="F913" s="110" t="s">
        <v>91</v>
      </c>
      <c r="G913" s="199">
        <f>'МП пр.6'!G733</f>
        <v>4316.6</v>
      </c>
    </row>
    <row r="914" spans="1:7" ht="12.75">
      <c r="A914" s="16" t="s">
        <v>268</v>
      </c>
      <c r="B914" s="19" t="s">
        <v>276</v>
      </c>
      <c r="C914" s="19" t="s">
        <v>65</v>
      </c>
      <c r="D914" s="19" t="s">
        <v>72</v>
      </c>
      <c r="E914" s="110" t="s">
        <v>553</v>
      </c>
      <c r="F914" s="113"/>
      <c r="G914" s="199">
        <f>G915</f>
        <v>1471.4</v>
      </c>
    </row>
    <row r="915" spans="1:7" ht="12.75">
      <c r="A915" s="16" t="s">
        <v>554</v>
      </c>
      <c r="B915" s="19" t="s">
        <v>276</v>
      </c>
      <c r="C915" s="19" t="s">
        <v>65</v>
      </c>
      <c r="D915" s="19" t="s">
        <v>72</v>
      </c>
      <c r="E915" s="110" t="s">
        <v>555</v>
      </c>
      <c r="F915" s="113"/>
      <c r="G915" s="199">
        <f>G916</f>
        <v>1471.4</v>
      </c>
    </row>
    <row r="916" spans="1:7" ht="25.5">
      <c r="A916" s="16" t="s">
        <v>333</v>
      </c>
      <c r="B916" s="19" t="s">
        <v>276</v>
      </c>
      <c r="C916" s="19" t="s">
        <v>65</v>
      </c>
      <c r="D916" s="19" t="s">
        <v>72</v>
      </c>
      <c r="E916" s="110" t="s">
        <v>555</v>
      </c>
      <c r="F916" s="110" t="s">
        <v>94</v>
      </c>
      <c r="G916" s="199">
        <f>G917</f>
        <v>1471.4</v>
      </c>
    </row>
    <row r="917" spans="1:7" ht="25.5">
      <c r="A917" s="16" t="s">
        <v>608</v>
      </c>
      <c r="B917" s="19" t="s">
        <v>276</v>
      </c>
      <c r="C917" s="19" t="s">
        <v>65</v>
      </c>
      <c r="D917" s="19" t="s">
        <v>72</v>
      </c>
      <c r="E917" s="110" t="s">
        <v>555</v>
      </c>
      <c r="F917" s="110" t="s">
        <v>91</v>
      </c>
      <c r="G917" s="199">
        <f>2421.4-950</f>
        <v>1471.4</v>
      </c>
    </row>
    <row r="918" spans="1:7" ht="12.75">
      <c r="A918" s="14" t="s">
        <v>128</v>
      </c>
      <c r="B918" s="37" t="s">
        <v>276</v>
      </c>
      <c r="C918" s="37" t="s">
        <v>69</v>
      </c>
      <c r="D918" s="37" t="s">
        <v>34</v>
      </c>
      <c r="E918" s="110"/>
      <c r="F918" s="110"/>
      <c r="G918" s="198">
        <f>G919+G935+G957</f>
        <v>46743.8</v>
      </c>
    </row>
    <row r="919" spans="1:7" ht="12.75">
      <c r="A919" s="14" t="s">
        <v>127</v>
      </c>
      <c r="B919" s="37" t="s">
        <v>276</v>
      </c>
      <c r="C919" s="37" t="s">
        <v>69</v>
      </c>
      <c r="D919" s="37" t="s">
        <v>63</v>
      </c>
      <c r="E919" s="113"/>
      <c r="F919" s="113"/>
      <c r="G919" s="198">
        <f>G926+G921</f>
        <v>16570.7</v>
      </c>
    </row>
    <row r="920" spans="1:7" ht="12.75">
      <c r="A920" s="16" t="s">
        <v>478</v>
      </c>
      <c r="B920" s="19" t="s">
        <v>276</v>
      </c>
      <c r="C920" s="19" t="s">
        <v>69</v>
      </c>
      <c r="D920" s="19" t="s">
        <v>63</v>
      </c>
      <c r="E920" s="115" t="s">
        <v>479</v>
      </c>
      <c r="F920" s="110"/>
      <c r="G920" s="199">
        <f>G921</f>
        <v>4475</v>
      </c>
    </row>
    <row r="921" spans="1:7" ht="38.25">
      <c r="A921" s="29" t="str">
        <f>'МП пр.6'!A69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921" s="19" t="s">
        <v>276</v>
      </c>
      <c r="C921" s="19" t="s">
        <v>69</v>
      </c>
      <c r="D921" s="19" t="s">
        <v>63</v>
      </c>
      <c r="E921" s="115" t="str">
        <f>'МП пр.6'!B69</f>
        <v xml:space="preserve">7Г 0 00 00000 </v>
      </c>
      <c r="F921" s="110"/>
      <c r="G921" s="199">
        <f>G922</f>
        <v>4475</v>
      </c>
    </row>
    <row r="922" spans="1:7" ht="25.5">
      <c r="A922" s="29" t="str">
        <f>'МП пр.6'!A70</f>
        <v>Основное мероприятие "Оптимизация системы расселения в Сусуманском городском округе"</v>
      </c>
      <c r="B922" s="19" t="s">
        <v>276</v>
      </c>
      <c r="C922" s="19" t="s">
        <v>69</v>
      </c>
      <c r="D922" s="19" t="s">
        <v>63</v>
      </c>
      <c r="E922" s="115" t="str">
        <f>'МП пр.6'!B70</f>
        <v xml:space="preserve">7Г 0 01 00000 </v>
      </c>
      <c r="F922" s="110"/>
      <c r="G922" s="199">
        <f>G923</f>
        <v>4475</v>
      </c>
    </row>
    <row r="923" spans="1:7" ht="12.75">
      <c r="A923" s="16" t="str">
        <f>'МП пр.6'!A71</f>
        <v xml:space="preserve">Оптимизация жилищного фонда в виде расселения </v>
      </c>
      <c r="B923" s="19" t="s">
        <v>276</v>
      </c>
      <c r="C923" s="19" t="s">
        <v>69</v>
      </c>
      <c r="D923" s="19" t="s">
        <v>63</v>
      </c>
      <c r="E923" s="115" t="str">
        <f>'МП пр.6'!B71</f>
        <v xml:space="preserve">7Г 0 01 96610 </v>
      </c>
      <c r="F923" s="110"/>
      <c r="G923" s="202">
        <f>G924</f>
        <v>4475</v>
      </c>
    </row>
    <row r="924" spans="1:7" ht="25.5">
      <c r="A924" s="16" t="s">
        <v>333</v>
      </c>
      <c r="B924" s="19" t="s">
        <v>276</v>
      </c>
      <c r="C924" s="19" t="s">
        <v>69</v>
      </c>
      <c r="D924" s="19" t="s">
        <v>63</v>
      </c>
      <c r="E924" s="115" t="s">
        <v>328</v>
      </c>
      <c r="F924" s="110" t="s">
        <v>94</v>
      </c>
      <c r="G924" s="202">
        <f>G925</f>
        <v>4475</v>
      </c>
    </row>
    <row r="925" spans="1:7" ht="25.5">
      <c r="A925" s="16" t="s">
        <v>608</v>
      </c>
      <c r="B925" s="19" t="s">
        <v>276</v>
      </c>
      <c r="C925" s="19" t="s">
        <v>69</v>
      </c>
      <c r="D925" s="19" t="s">
        <v>63</v>
      </c>
      <c r="E925" s="115" t="s">
        <v>328</v>
      </c>
      <c r="F925" s="110" t="s">
        <v>91</v>
      </c>
      <c r="G925" s="202">
        <f>'МП пр.6'!G76</f>
        <v>4475</v>
      </c>
    </row>
    <row r="926" spans="1:7" ht="12.75">
      <c r="A926" s="30" t="s">
        <v>170</v>
      </c>
      <c r="B926" s="19" t="s">
        <v>276</v>
      </c>
      <c r="C926" s="19" t="s">
        <v>69</v>
      </c>
      <c r="D926" s="19" t="s">
        <v>63</v>
      </c>
      <c r="E926" s="110" t="s">
        <v>484</v>
      </c>
      <c r="F926" s="110"/>
      <c r="G926" s="199">
        <f>G927+G930</f>
        <v>12095.7</v>
      </c>
    </row>
    <row r="927" spans="1:7" ht="12.75">
      <c r="A927" s="16" t="s">
        <v>201</v>
      </c>
      <c r="B927" s="19" t="s">
        <v>276</v>
      </c>
      <c r="C927" s="19" t="s">
        <v>69</v>
      </c>
      <c r="D927" s="19" t="s">
        <v>63</v>
      </c>
      <c r="E927" s="110" t="s">
        <v>485</v>
      </c>
      <c r="F927" s="110"/>
      <c r="G927" s="199">
        <f>G928</f>
        <v>4864.4</v>
      </c>
    </row>
    <row r="928" spans="1:7" ht="25.5">
      <c r="A928" s="16" t="s">
        <v>333</v>
      </c>
      <c r="B928" s="19" t="s">
        <v>276</v>
      </c>
      <c r="C928" s="19" t="s">
        <v>69</v>
      </c>
      <c r="D928" s="19" t="s">
        <v>63</v>
      </c>
      <c r="E928" s="110" t="s">
        <v>485</v>
      </c>
      <c r="F928" s="110" t="s">
        <v>94</v>
      </c>
      <c r="G928" s="199">
        <f>G929</f>
        <v>4864.4</v>
      </c>
    </row>
    <row r="929" spans="1:7" ht="25.5">
      <c r="A929" s="16" t="s">
        <v>608</v>
      </c>
      <c r="B929" s="19" t="s">
        <v>276</v>
      </c>
      <c r="C929" s="19" t="s">
        <v>69</v>
      </c>
      <c r="D929" s="19" t="s">
        <v>63</v>
      </c>
      <c r="E929" s="110" t="s">
        <v>485</v>
      </c>
      <c r="F929" s="110" t="s">
        <v>91</v>
      </c>
      <c r="G929" s="199">
        <f>5415.7-551.3</f>
        <v>4864.4</v>
      </c>
    </row>
    <row r="930" spans="1:7" ht="12.75">
      <c r="A930" s="16" t="s">
        <v>205</v>
      </c>
      <c r="B930" s="19" t="s">
        <v>276</v>
      </c>
      <c r="C930" s="19" t="s">
        <v>69</v>
      </c>
      <c r="D930" s="19" t="s">
        <v>63</v>
      </c>
      <c r="E930" s="110" t="s">
        <v>556</v>
      </c>
      <c r="F930" s="110"/>
      <c r="G930" s="199">
        <f>G933+G931</f>
        <v>7231.3</v>
      </c>
    </row>
    <row r="931" spans="1:7" ht="25.5">
      <c r="A931" s="16" t="s">
        <v>333</v>
      </c>
      <c r="B931" s="19" t="s">
        <v>276</v>
      </c>
      <c r="C931" s="19" t="s">
        <v>69</v>
      </c>
      <c r="D931" s="19" t="s">
        <v>63</v>
      </c>
      <c r="E931" s="110" t="s">
        <v>556</v>
      </c>
      <c r="F931" s="110" t="s">
        <v>94</v>
      </c>
      <c r="G931" s="199">
        <f>G932</f>
        <v>350</v>
      </c>
    </row>
    <row r="932" spans="1:7" ht="25.5">
      <c r="A932" s="16" t="s">
        <v>608</v>
      </c>
      <c r="B932" s="19" t="s">
        <v>276</v>
      </c>
      <c r="C932" s="19" t="s">
        <v>69</v>
      </c>
      <c r="D932" s="19" t="s">
        <v>63</v>
      </c>
      <c r="E932" s="110" t="s">
        <v>556</v>
      </c>
      <c r="F932" s="110" t="s">
        <v>91</v>
      </c>
      <c r="G932" s="199">
        <f>50+300</f>
        <v>350</v>
      </c>
    </row>
    <row r="933" spans="1:7" ht="12.75">
      <c r="A933" s="16" t="s">
        <v>110</v>
      </c>
      <c r="B933" s="19" t="s">
        <v>276</v>
      </c>
      <c r="C933" s="19" t="s">
        <v>69</v>
      </c>
      <c r="D933" s="19" t="s">
        <v>63</v>
      </c>
      <c r="E933" s="110" t="s">
        <v>556</v>
      </c>
      <c r="F933" s="110" t="s">
        <v>111</v>
      </c>
      <c r="G933" s="199">
        <f>G934</f>
        <v>6881.3</v>
      </c>
    </row>
    <row r="934" spans="1:7" ht="12.75">
      <c r="A934" s="16" t="s">
        <v>113</v>
      </c>
      <c r="B934" s="19" t="s">
        <v>276</v>
      </c>
      <c r="C934" s="19" t="s">
        <v>69</v>
      </c>
      <c r="D934" s="19" t="s">
        <v>63</v>
      </c>
      <c r="E934" s="110" t="s">
        <v>556</v>
      </c>
      <c r="F934" s="110" t="s">
        <v>114</v>
      </c>
      <c r="G934" s="199">
        <f>6327+554.3</f>
        <v>6881.3</v>
      </c>
    </row>
    <row r="935" spans="1:7" ht="12.75">
      <c r="A935" s="15" t="s">
        <v>172</v>
      </c>
      <c r="B935" s="37" t="s">
        <v>276</v>
      </c>
      <c r="C935" s="37" t="s">
        <v>69</v>
      </c>
      <c r="D935" s="37" t="s">
        <v>64</v>
      </c>
      <c r="E935" s="116"/>
      <c r="F935" s="113"/>
      <c r="G935" s="198">
        <f>G937+G950+G942</f>
        <v>25104.4</v>
      </c>
    </row>
    <row r="936" spans="1:7" s="60" customFormat="1" ht="12.75">
      <c r="A936" s="16" t="s">
        <v>478</v>
      </c>
      <c r="B936" s="19" t="s">
        <v>276</v>
      </c>
      <c r="C936" s="19" t="s">
        <v>69</v>
      </c>
      <c r="D936" s="19" t="s">
        <v>64</v>
      </c>
      <c r="E936" s="115" t="s">
        <v>548</v>
      </c>
      <c r="F936" s="110"/>
      <c r="G936" s="199">
        <f>G937+G942</f>
        <v>21166.8</v>
      </c>
    </row>
    <row r="937" spans="1:7" ht="25.5">
      <c r="A937" s="16" t="str">
        <f>'МП пр.6'!A631</f>
        <v>Муниципальная программа "Финансовая поддержка организациям коммунального комплекса Сусуманского городского округа на 2018- 2022 годы"</v>
      </c>
      <c r="B937" s="19" t="s">
        <v>276</v>
      </c>
      <c r="C937" s="19" t="s">
        <v>69</v>
      </c>
      <c r="D937" s="19" t="s">
        <v>64</v>
      </c>
      <c r="E937" s="115" t="str">
        <f>'МП пр.6'!B631</f>
        <v>7Я 0 00 00000</v>
      </c>
      <c r="F937" s="110"/>
      <c r="G937" s="199">
        <f>G938</f>
        <v>800</v>
      </c>
    </row>
    <row r="938" spans="1:7" ht="25.5">
      <c r="A938" s="16" t="str">
        <f>'МП пр.6'!A632</f>
        <v>Основное мероприятие  "Финансовая поддержка организациям коммунального комплекса"</v>
      </c>
      <c r="B938" s="19" t="s">
        <v>276</v>
      </c>
      <c r="C938" s="19" t="s">
        <v>69</v>
      </c>
      <c r="D938" s="19" t="s">
        <v>64</v>
      </c>
      <c r="E938" s="115" t="str">
        <f>'МП пр.6'!B632</f>
        <v>7Я 0 01 00000</v>
      </c>
      <c r="F938" s="110"/>
      <c r="G938" s="199">
        <f>G939</f>
        <v>800</v>
      </c>
    </row>
    <row r="939" spans="1:7" ht="25.5">
      <c r="A939" s="16" t="str">
        <f>'МП пр.6'!A633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939" s="19" t="s">
        <v>276</v>
      </c>
      <c r="C939" s="19" t="s">
        <v>69</v>
      </c>
      <c r="D939" s="19" t="s">
        <v>64</v>
      </c>
      <c r="E939" s="115" t="str">
        <f>'МП пр.6'!B633</f>
        <v>7Я 0 01 98700</v>
      </c>
      <c r="F939" s="110"/>
      <c r="G939" s="199">
        <f>G940</f>
        <v>800</v>
      </c>
    </row>
    <row r="940" spans="1:7" ht="12.75">
      <c r="A940" s="16" t="s">
        <v>110</v>
      </c>
      <c r="B940" s="19" t="s">
        <v>276</v>
      </c>
      <c r="C940" s="19" t="s">
        <v>69</v>
      </c>
      <c r="D940" s="19" t="s">
        <v>64</v>
      </c>
      <c r="E940" s="115" t="s">
        <v>262</v>
      </c>
      <c r="F940" s="110" t="s">
        <v>111</v>
      </c>
      <c r="G940" s="199">
        <f>G941</f>
        <v>800</v>
      </c>
    </row>
    <row r="941" spans="1:7" ht="25.5">
      <c r="A941" s="16" t="s">
        <v>135</v>
      </c>
      <c r="B941" s="19" t="s">
        <v>276</v>
      </c>
      <c r="C941" s="19" t="s">
        <v>69</v>
      </c>
      <c r="D941" s="19" t="s">
        <v>64</v>
      </c>
      <c r="E941" s="115" t="s">
        <v>262</v>
      </c>
      <c r="F941" s="110" t="s">
        <v>112</v>
      </c>
      <c r="G941" s="199">
        <f>'МП пр.6'!G638</f>
        <v>800</v>
      </c>
    </row>
    <row r="942" spans="1:7" ht="25.5">
      <c r="A942" s="16" t="str">
        <f>'МП пр.6'!A692</f>
        <v>Муниципальная программа "Комплексное развитие систем коммунальной инфраструктуры Сусуманского городского округа на 2018- 2022 годы"</v>
      </c>
      <c r="B942" s="19" t="s">
        <v>557</v>
      </c>
      <c r="C942" s="19" t="s">
        <v>69</v>
      </c>
      <c r="D942" s="19" t="s">
        <v>64</v>
      </c>
      <c r="E942" s="115" t="str">
        <f>'МП пр.6'!B692</f>
        <v>7N 0 00 00000</v>
      </c>
      <c r="F942" s="110"/>
      <c r="G942" s="199">
        <f>G943</f>
        <v>20366.8</v>
      </c>
    </row>
    <row r="943" spans="1:7" ht="25.5">
      <c r="A943" s="16" t="str">
        <f>'МП пр.6'!A693</f>
        <v>Основное мероприятие "Проведение реконструкции, ремонта или замены оборудования на объектах коммунальной инфраструктуры"</v>
      </c>
      <c r="B943" s="19" t="s">
        <v>557</v>
      </c>
      <c r="C943" s="19" t="s">
        <v>69</v>
      </c>
      <c r="D943" s="19" t="s">
        <v>64</v>
      </c>
      <c r="E943" s="115" t="str">
        <f>'МП пр.6'!B693</f>
        <v>7N 0 01 00000</v>
      </c>
      <c r="F943" s="110"/>
      <c r="G943" s="199">
        <f>G944+G947</f>
        <v>20366.8</v>
      </c>
    </row>
    <row r="944" spans="1:7" ht="38.25">
      <c r="A944" s="16" t="str">
        <f>'МП пр.6'!A694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944" s="19" t="s">
        <v>557</v>
      </c>
      <c r="C944" s="19" t="s">
        <v>69</v>
      </c>
      <c r="D944" s="19" t="s">
        <v>64</v>
      </c>
      <c r="E944" s="115" t="str">
        <f>'МП пр.6'!B694</f>
        <v>7N 0 01  98200</v>
      </c>
      <c r="F944" s="110"/>
      <c r="G944" s="199">
        <f>G945</f>
        <v>300</v>
      </c>
    </row>
    <row r="945" spans="1:7" ht="25.5">
      <c r="A945" s="16" t="s">
        <v>333</v>
      </c>
      <c r="B945" s="19" t="s">
        <v>557</v>
      </c>
      <c r="C945" s="19" t="s">
        <v>69</v>
      </c>
      <c r="D945" s="19" t="s">
        <v>64</v>
      </c>
      <c r="E945" s="115" t="str">
        <f>'МП пр.6'!B695</f>
        <v>7N 0 01  98200</v>
      </c>
      <c r="F945" s="110" t="s">
        <v>94</v>
      </c>
      <c r="G945" s="199">
        <f>G946</f>
        <v>300</v>
      </c>
    </row>
    <row r="946" spans="1:7" ht="25.5">
      <c r="A946" s="16" t="s">
        <v>608</v>
      </c>
      <c r="B946" s="19" t="s">
        <v>557</v>
      </c>
      <c r="C946" s="19" t="s">
        <v>69</v>
      </c>
      <c r="D946" s="19" t="s">
        <v>64</v>
      </c>
      <c r="E946" s="115" t="str">
        <f>'МП пр.6'!B696</f>
        <v>7N 0 01  98200</v>
      </c>
      <c r="F946" s="110" t="s">
        <v>91</v>
      </c>
      <c r="G946" s="199">
        <f>'МП пр.6'!G699</f>
        <v>300</v>
      </c>
    </row>
    <row r="947" spans="1:7" ht="29.45" customHeight="1">
      <c r="A947" s="16" t="str">
        <f>'МП пр.6'!A700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947" s="19" t="s">
        <v>557</v>
      </c>
      <c r="C947" s="19" t="s">
        <v>69</v>
      </c>
      <c r="D947" s="19" t="s">
        <v>64</v>
      </c>
      <c r="E947" s="115" t="str">
        <f>'МП пр.6'!B700</f>
        <v>7N 0 01  98100</v>
      </c>
      <c r="F947" s="110"/>
      <c r="G947" s="199">
        <f>G948</f>
        <v>20066.8</v>
      </c>
    </row>
    <row r="948" spans="1:7" ht="25.5">
      <c r="A948" s="16" t="s">
        <v>333</v>
      </c>
      <c r="B948" s="19" t="s">
        <v>557</v>
      </c>
      <c r="C948" s="19" t="s">
        <v>69</v>
      </c>
      <c r="D948" s="19" t="s">
        <v>64</v>
      </c>
      <c r="E948" s="115" t="str">
        <f>'МП пр.6'!B701</f>
        <v>7N 0 01  98100</v>
      </c>
      <c r="F948" s="110" t="s">
        <v>94</v>
      </c>
      <c r="G948" s="199">
        <f>G949</f>
        <v>20066.8</v>
      </c>
    </row>
    <row r="949" spans="1:7" ht="25.5">
      <c r="A949" s="16" t="s">
        <v>608</v>
      </c>
      <c r="B949" s="19" t="s">
        <v>557</v>
      </c>
      <c r="C949" s="19" t="s">
        <v>69</v>
      </c>
      <c r="D949" s="19" t="s">
        <v>64</v>
      </c>
      <c r="E949" s="115" t="str">
        <f>'МП пр.6'!B702</f>
        <v>7N 0 01  98100</v>
      </c>
      <c r="F949" s="110" t="s">
        <v>91</v>
      </c>
      <c r="G949" s="199">
        <f>'МП пр.6'!G705</f>
        <v>20066.8</v>
      </c>
    </row>
    <row r="950" spans="1:7" ht="12.75">
      <c r="A950" s="16" t="s">
        <v>173</v>
      </c>
      <c r="B950" s="19" t="s">
        <v>276</v>
      </c>
      <c r="C950" s="19" t="s">
        <v>69</v>
      </c>
      <c r="D950" s="19" t="s">
        <v>64</v>
      </c>
      <c r="E950" s="110" t="s">
        <v>558</v>
      </c>
      <c r="F950" s="110"/>
      <c r="G950" s="199">
        <f>G951+G954</f>
        <v>3937.6</v>
      </c>
    </row>
    <row r="951" spans="1:7" ht="25.5">
      <c r="A951" s="16" t="s">
        <v>572</v>
      </c>
      <c r="B951" s="19" t="s">
        <v>276</v>
      </c>
      <c r="C951" s="19" t="s">
        <v>69</v>
      </c>
      <c r="D951" s="19" t="s">
        <v>64</v>
      </c>
      <c r="E951" s="110" t="s">
        <v>559</v>
      </c>
      <c r="F951" s="110"/>
      <c r="G951" s="199">
        <f>G952</f>
        <v>2177</v>
      </c>
    </row>
    <row r="952" spans="1:7" ht="12.75">
      <c r="A952" s="16" t="s">
        <v>110</v>
      </c>
      <c r="B952" s="19" t="s">
        <v>276</v>
      </c>
      <c r="C952" s="19" t="s">
        <v>69</v>
      </c>
      <c r="D952" s="19" t="s">
        <v>64</v>
      </c>
      <c r="E952" s="110" t="s">
        <v>559</v>
      </c>
      <c r="F952" s="110" t="s">
        <v>111</v>
      </c>
      <c r="G952" s="199">
        <f>G953</f>
        <v>2177</v>
      </c>
    </row>
    <row r="953" spans="1:7" ht="25.5">
      <c r="A953" s="16" t="s">
        <v>135</v>
      </c>
      <c r="B953" s="19" t="s">
        <v>276</v>
      </c>
      <c r="C953" s="19" t="s">
        <v>69</v>
      </c>
      <c r="D953" s="19" t="s">
        <v>64</v>
      </c>
      <c r="E953" s="110" t="s">
        <v>559</v>
      </c>
      <c r="F953" s="110" t="s">
        <v>112</v>
      </c>
      <c r="G953" s="199">
        <f>2593.9-416.9</f>
        <v>2177</v>
      </c>
    </row>
    <row r="954" spans="1:7" ht="12.75">
      <c r="A954" s="16" t="s">
        <v>716</v>
      </c>
      <c r="B954" s="19" t="s">
        <v>276</v>
      </c>
      <c r="C954" s="19" t="s">
        <v>69</v>
      </c>
      <c r="D954" s="19" t="s">
        <v>64</v>
      </c>
      <c r="E954" s="110" t="s">
        <v>717</v>
      </c>
      <c r="F954" s="110"/>
      <c r="G954" s="199">
        <f>G955</f>
        <v>1760.6</v>
      </c>
    </row>
    <row r="955" spans="1:7" ht="25.5">
      <c r="A955" s="16" t="s">
        <v>333</v>
      </c>
      <c r="B955" s="19" t="s">
        <v>276</v>
      </c>
      <c r="C955" s="19" t="s">
        <v>69</v>
      </c>
      <c r="D955" s="19" t="s">
        <v>64</v>
      </c>
      <c r="E955" s="110" t="s">
        <v>717</v>
      </c>
      <c r="F955" s="110" t="s">
        <v>94</v>
      </c>
      <c r="G955" s="199">
        <f>G956</f>
        <v>1760.6</v>
      </c>
    </row>
    <row r="956" spans="1:7" ht="25.5">
      <c r="A956" s="16" t="s">
        <v>614</v>
      </c>
      <c r="B956" s="19" t="s">
        <v>276</v>
      </c>
      <c r="C956" s="19" t="s">
        <v>69</v>
      </c>
      <c r="D956" s="19" t="s">
        <v>64</v>
      </c>
      <c r="E956" s="110" t="s">
        <v>717</v>
      </c>
      <c r="F956" s="110" t="s">
        <v>91</v>
      </c>
      <c r="G956" s="199">
        <v>1760.6</v>
      </c>
    </row>
    <row r="957" spans="1:7" ht="12.75">
      <c r="A957" s="15" t="s">
        <v>174</v>
      </c>
      <c r="B957" s="37" t="s">
        <v>276</v>
      </c>
      <c r="C957" s="37" t="s">
        <v>69</v>
      </c>
      <c r="D957" s="37" t="s">
        <v>67</v>
      </c>
      <c r="E957" s="113"/>
      <c r="F957" s="113"/>
      <c r="G957" s="198">
        <f>G959+G964+G969+G976+G983</f>
        <v>5068.7</v>
      </c>
    </row>
    <row r="958" spans="1:7" ht="12.75">
      <c r="A958" s="16" t="s">
        <v>478</v>
      </c>
      <c r="B958" s="19" t="s">
        <v>276</v>
      </c>
      <c r="C958" s="19" t="s">
        <v>69</v>
      </c>
      <c r="D958" s="19" t="s">
        <v>67</v>
      </c>
      <c r="E958" s="115" t="s">
        <v>548</v>
      </c>
      <c r="F958" s="110"/>
      <c r="G958" s="199">
        <f>G959+G964</f>
        <v>197</v>
      </c>
    </row>
    <row r="959" spans="1:7" ht="25.5">
      <c r="A959" s="16" t="str">
        <f>'МП пр.6'!A178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959" s="19" t="s">
        <v>276</v>
      </c>
      <c r="C959" s="19" t="s">
        <v>69</v>
      </c>
      <c r="D959" s="19" t="s">
        <v>67</v>
      </c>
      <c r="E959" s="115" t="str">
        <f>'МП пр.6'!B178</f>
        <v xml:space="preserve">7К 0 00 00000 </v>
      </c>
      <c r="F959" s="110"/>
      <c r="G959" s="199">
        <f>G960</f>
        <v>55</v>
      </c>
    </row>
    <row r="960" spans="1:7" ht="25.5">
      <c r="A960" s="30" t="str">
        <f>'МП пр.6'!A179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960" s="19" t="s">
        <v>276</v>
      </c>
      <c r="C960" s="19" t="s">
        <v>69</v>
      </c>
      <c r="D960" s="19" t="s">
        <v>67</v>
      </c>
      <c r="E960" s="115" t="str">
        <f>'МП пр.6'!B179</f>
        <v xml:space="preserve">7К 0 01 00000 </v>
      </c>
      <c r="F960" s="110"/>
      <c r="G960" s="199">
        <f>G961</f>
        <v>55</v>
      </c>
    </row>
    <row r="961" spans="1:7" ht="38.25">
      <c r="A961" s="16" t="str">
        <f>'МП пр.6'!A180</f>
        <v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961" s="19" t="s">
        <v>276</v>
      </c>
      <c r="C961" s="19" t="s">
        <v>69</v>
      </c>
      <c r="D961" s="19" t="s">
        <v>67</v>
      </c>
      <c r="E961" s="115" t="str">
        <f>'МП пр.6'!B180</f>
        <v>7К 0 01 L5550</v>
      </c>
      <c r="F961" s="110"/>
      <c r="G961" s="199">
        <f>G962</f>
        <v>55</v>
      </c>
    </row>
    <row r="962" spans="1:7" ht="25.5">
      <c r="A962" s="16" t="s">
        <v>333</v>
      </c>
      <c r="B962" s="19" t="s">
        <v>276</v>
      </c>
      <c r="C962" s="19" t="s">
        <v>69</v>
      </c>
      <c r="D962" s="19" t="s">
        <v>67</v>
      </c>
      <c r="E962" s="115" t="s">
        <v>563</v>
      </c>
      <c r="F962" s="110" t="s">
        <v>94</v>
      </c>
      <c r="G962" s="199">
        <f>G963</f>
        <v>55</v>
      </c>
    </row>
    <row r="963" spans="1:7" ht="25.5">
      <c r="A963" s="16" t="s">
        <v>608</v>
      </c>
      <c r="B963" s="19" t="s">
        <v>276</v>
      </c>
      <c r="C963" s="19" t="s">
        <v>69</v>
      </c>
      <c r="D963" s="19" t="s">
        <v>67</v>
      </c>
      <c r="E963" s="115" t="s">
        <v>563</v>
      </c>
      <c r="F963" s="110" t="s">
        <v>91</v>
      </c>
      <c r="G963" s="199">
        <f>'МП пр.6'!G185</f>
        <v>55</v>
      </c>
    </row>
    <row r="964" spans="1:7" ht="25.5">
      <c r="A964" s="16" t="str">
        <f>'МП пр.6'!A748</f>
        <v>Муниципальная программа "Благоустройство Сусуманского городского округа на 2018- 2022 годы"</v>
      </c>
      <c r="B964" s="19" t="s">
        <v>276</v>
      </c>
      <c r="C964" s="19" t="s">
        <v>69</v>
      </c>
      <c r="D964" s="19" t="s">
        <v>67</v>
      </c>
      <c r="E964" s="115" t="str">
        <f>'МП пр.6'!B748</f>
        <v>7Z 0 00 00000</v>
      </c>
      <c r="F964" s="110"/>
      <c r="G964" s="199">
        <f>G965</f>
        <v>142</v>
      </c>
    </row>
    <row r="965" spans="1:7" ht="12.75">
      <c r="A965" s="30" t="str">
        <f>'МП пр.6'!A749</f>
        <v>Основное мероприятие "Обеспечение реализации программы"</v>
      </c>
      <c r="B965" s="19" t="s">
        <v>276</v>
      </c>
      <c r="C965" s="19" t="s">
        <v>69</v>
      </c>
      <c r="D965" s="19" t="s">
        <v>67</v>
      </c>
      <c r="E965" s="115" t="str">
        <f>'МП пр.6'!B749</f>
        <v>7Z 0 01 00000</v>
      </c>
      <c r="F965" s="110"/>
      <c r="G965" s="199">
        <f>G966</f>
        <v>142</v>
      </c>
    </row>
    <row r="966" spans="1:7" ht="12.75">
      <c r="A966" s="30" t="str">
        <f>'МП пр.6'!A750</f>
        <v>Мероприятия по благоустройству территории Сусуманского городского округа</v>
      </c>
      <c r="B966" s="19" t="s">
        <v>276</v>
      </c>
      <c r="C966" s="19" t="s">
        <v>69</v>
      </c>
      <c r="D966" s="19" t="s">
        <v>67</v>
      </c>
      <c r="E966" s="115" t="str">
        <f>'МП пр.6'!B750</f>
        <v>7Z 0 01 92010</v>
      </c>
      <c r="F966" s="110"/>
      <c r="G966" s="199">
        <f>G967</f>
        <v>142</v>
      </c>
    </row>
    <row r="967" spans="1:7" ht="25.5">
      <c r="A967" s="16" t="s">
        <v>333</v>
      </c>
      <c r="B967" s="19" t="s">
        <v>276</v>
      </c>
      <c r="C967" s="19" t="s">
        <v>69</v>
      </c>
      <c r="D967" s="19" t="s">
        <v>67</v>
      </c>
      <c r="E967" s="115" t="str">
        <f>'МП пр.6'!B751</f>
        <v>7Z 0 01 92010</v>
      </c>
      <c r="F967" s="110" t="s">
        <v>94</v>
      </c>
      <c r="G967" s="199">
        <f>G968</f>
        <v>142</v>
      </c>
    </row>
    <row r="968" spans="1:7" ht="25.5">
      <c r="A968" s="16" t="s">
        <v>608</v>
      </c>
      <c r="B968" s="19" t="s">
        <v>276</v>
      </c>
      <c r="C968" s="19" t="s">
        <v>69</v>
      </c>
      <c r="D968" s="19" t="s">
        <v>67</v>
      </c>
      <c r="E968" s="115" t="str">
        <f>'МП пр.6'!B752</f>
        <v>7Z 0 01 92010</v>
      </c>
      <c r="F968" s="110" t="s">
        <v>91</v>
      </c>
      <c r="G968" s="199">
        <f>'МП пр.6'!G755</f>
        <v>142</v>
      </c>
    </row>
    <row r="969" spans="1:7" ht="12.75">
      <c r="A969" s="30" t="s">
        <v>564</v>
      </c>
      <c r="B969" s="19" t="s">
        <v>276</v>
      </c>
      <c r="C969" s="19" t="s">
        <v>69</v>
      </c>
      <c r="D969" s="19" t="s">
        <v>67</v>
      </c>
      <c r="E969" s="110" t="s">
        <v>565</v>
      </c>
      <c r="F969" s="110"/>
      <c r="G969" s="199">
        <f>G970+G973</f>
        <v>3154.7</v>
      </c>
    </row>
    <row r="970" spans="1:7" ht="12.75">
      <c r="A970" s="16" t="s">
        <v>573</v>
      </c>
      <c r="B970" s="19" t="s">
        <v>276</v>
      </c>
      <c r="C970" s="19" t="s">
        <v>69</v>
      </c>
      <c r="D970" s="19" t="s">
        <v>67</v>
      </c>
      <c r="E970" s="110" t="s">
        <v>574</v>
      </c>
      <c r="F970" s="110"/>
      <c r="G970" s="199">
        <f>G971</f>
        <v>2983.2</v>
      </c>
    </row>
    <row r="971" spans="1:7" ht="25.5">
      <c r="A971" s="16" t="s">
        <v>333</v>
      </c>
      <c r="B971" s="19" t="s">
        <v>276</v>
      </c>
      <c r="C971" s="19" t="s">
        <v>69</v>
      </c>
      <c r="D971" s="19" t="s">
        <v>67</v>
      </c>
      <c r="E971" s="110" t="s">
        <v>574</v>
      </c>
      <c r="F971" s="110" t="s">
        <v>94</v>
      </c>
      <c r="G971" s="199">
        <f>G972</f>
        <v>2983.2</v>
      </c>
    </row>
    <row r="972" spans="1:7" ht="25.5">
      <c r="A972" s="16" t="s">
        <v>608</v>
      </c>
      <c r="B972" s="19" t="s">
        <v>276</v>
      </c>
      <c r="C972" s="19" t="s">
        <v>69</v>
      </c>
      <c r="D972" s="19" t="s">
        <v>67</v>
      </c>
      <c r="E972" s="110" t="s">
        <v>574</v>
      </c>
      <c r="F972" s="110" t="s">
        <v>91</v>
      </c>
      <c r="G972" s="199">
        <f>2585.2+398</f>
        <v>2983.2</v>
      </c>
    </row>
    <row r="973" spans="1:7" ht="12.75">
      <c r="A973" s="150" t="s">
        <v>627</v>
      </c>
      <c r="B973" s="19" t="s">
        <v>276</v>
      </c>
      <c r="C973" s="19" t="s">
        <v>69</v>
      </c>
      <c r="D973" s="19" t="s">
        <v>67</v>
      </c>
      <c r="E973" s="110" t="s">
        <v>628</v>
      </c>
      <c r="F973" s="110"/>
      <c r="G973" s="199">
        <f>G974</f>
        <v>171.5</v>
      </c>
    </row>
    <row r="974" spans="1:7" ht="25.5">
      <c r="A974" s="150" t="s">
        <v>333</v>
      </c>
      <c r="B974" s="19" t="s">
        <v>276</v>
      </c>
      <c r="C974" s="19" t="s">
        <v>69</v>
      </c>
      <c r="D974" s="19" t="s">
        <v>67</v>
      </c>
      <c r="E974" s="110" t="s">
        <v>628</v>
      </c>
      <c r="F974" s="110" t="s">
        <v>94</v>
      </c>
      <c r="G974" s="199">
        <f>G975</f>
        <v>171.5</v>
      </c>
    </row>
    <row r="975" spans="1:7" ht="25.5">
      <c r="A975" s="29" t="s">
        <v>614</v>
      </c>
      <c r="B975" s="19" t="s">
        <v>276</v>
      </c>
      <c r="C975" s="19" t="s">
        <v>69</v>
      </c>
      <c r="D975" s="19" t="s">
        <v>67</v>
      </c>
      <c r="E975" s="110" t="s">
        <v>628</v>
      </c>
      <c r="F975" s="110" t="s">
        <v>91</v>
      </c>
      <c r="G975" s="199">
        <f>156.5+15</f>
        <v>171.5</v>
      </c>
    </row>
    <row r="976" spans="1:7" ht="12.75">
      <c r="A976" s="109" t="s">
        <v>566</v>
      </c>
      <c r="B976" s="19" t="s">
        <v>276</v>
      </c>
      <c r="C976" s="19" t="s">
        <v>69</v>
      </c>
      <c r="D976" s="19" t="s">
        <v>67</v>
      </c>
      <c r="E976" s="110" t="s">
        <v>567</v>
      </c>
      <c r="F976" s="110"/>
      <c r="G976" s="199">
        <f>G977+G980</f>
        <v>641.9</v>
      </c>
    </row>
    <row r="977" spans="1:7" ht="12.75">
      <c r="A977" s="30" t="s">
        <v>203</v>
      </c>
      <c r="B977" s="19" t="s">
        <v>276</v>
      </c>
      <c r="C977" s="19" t="s">
        <v>69</v>
      </c>
      <c r="D977" s="19" t="s">
        <v>67</v>
      </c>
      <c r="E977" s="110" t="s">
        <v>568</v>
      </c>
      <c r="F977" s="110"/>
      <c r="G977" s="199">
        <f>G978</f>
        <v>150</v>
      </c>
    </row>
    <row r="978" spans="1:7" ht="25.5">
      <c r="A978" s="16" t="s">
        <v>333</v>
      </c>
      <c r="B978" s="19" t="s">
        <v>276</v>
      </c>
      <c r="C978" s="19" t="s">
        <v>69</v>
      </c>
      <c r="D978" s="19" t="s">
        <v>67</v>
      </c>
      <c r="E978" s="110" t="s">
        <v>568</v>
      </c>
      <c r="F978" s="110" t="s">
        <v>94</v>
      </c>
      <c r="G978" s="199">
        <f>G979</f>
        <v>150</v>
      </c>
    </row>
    <row r="979" spans="1:7" ht="25.5">
      <c r="A979" s="16" t="s">
        <v>608</v>
      </c>
      <c r="B979" s="19" t="s">
        <v>276</v>
      </c>
      <c r="C979" s="19" t="s">
        <v>69</v>
      </c>
      <c r="D979" s="19" t="s">
        <v>67</v>
      </c>
      <c r="E979" s="110" t="s">
        <v>568</v>
      </c>
      <c r="F979" s="110" t="s">
        <v>91</v>
      </c>
      <c r="G979" s="199">
        <f>200-50</f>
        <v>150</v>
      </c>
    </row>
    <row r="980" spans="1:7" ht="12.75">
      <c r="A980" s="16" t="s">
        <v>715</v>
      </c>
      <c r="B980" s="19" t="s">
        <v>276</v>
      </c>
      <c r="C980" s="19" t="s">
        <v>69</v>
      </c>
      <c r="D980" s="19" t="s">
        <v>67</v>
      </c>
      <c r="E980" s="110" t="s">
        <v>569</v>
      </c>
      <c r="F980" s="110"/>
      <c r="G980" s="199">
        <f>G981</f>
        <v>491.9</v>
      </c>
    </row>
    <row r="981" spans="1:7" ht="25.5">
      <c r="A981" s="16" t="s">
        <v>333</v>
      </c>
      <c r="B981" s="19" t="s">
        <v>276</v>
      </c>
      <c r="C981" s="19" t="s">
        <v>69</v>
      </c>
      <c r="D981" s="19" t="s">
        <v>67</v>
      </c>
      <c r="E981" s="110" t="s">
        <v>569</v>
      </c>
      <c r="F981" s="110" t="s">
        <v>94</v>
      </c>
      <c r="G981" s="199">
        <f>G982</f>
        <v>491.9</v>
      </c>
    </row>
    <row r="982" spans="1:7" ht="25.5">
      <c r="A982" s="16" t="s">
        <v>608</v>
      </c>
      <c r="B982" s="19" t="s">
        <v>276</v>
      </c>
      <c r="C982" s="19" t="s">
        <v>69</v>
      </c>
      <c r="D982" s="19" t="s">
        <v>67</v>
      </c>
      <c r="E982" s="110" t="s">
        <v>569</v>
      </c>
      <c r="F982" s="110" t="s">
        <v>91</v>
      </c>
      <c r="G982" s="199">
        <f>500-8.1</f>
        <v>491.9</v>
      </c>
    </row>
    <row r="983" spans="1:7" ht="38.25">
      <c r="A983" s="117" t="s">
        <v>575</v>
      </c>
      <c r="B983" s="19" t="s">
        <v>276</v>
      </c>
      <c r="C983" s="19" t="s">
        <v>69</v>
      </c>
      <c r="D983" s="19" t="s">
        <v>67</v>
      </c>
      <c r="E983" s="20" t="s">
        <v>464</v>
      </c>
      <c r="F983" s="20"/>
      <c r="G983" s="199">
        <f>G984+G988</f>
        <v>1075.1</v>
      </c>
    </row>
    <row r="984" spans="1:7" ht="25.5">
      <c r="A984" s="16" t="s">
        <v>579</v>
      </c>
      <c r="B984" s="19" t="s">
        <v>276</v>
      </c>
      <c r="C984" s="19" t="s">
        <v>69</v>
      </c>
      <c r="D984" s="19" t="s">
        <v>67</v>
      </c>
      <c r="E984" s="20" t="s">
        <v>580</v>
      </c>
      <c r="F984" s="20"/>
      <c r="G984" s="199">
        <f>G985</f>
        <v>244</v>
      </c>
    </row>
    <row r="985" spans="1:7" ht="25.5">
      <c r="A985" s="16" t="s">
        <v>581</v>
      </c>
      <c r="B985" s="19" t="s">
        <v>276</v>
      </c>
      <c r="C985" s="19" t="s">
        <v>69</v>
      </c>
      <c r="D985" s="19" t="s">
        <v>67</v>
      </c>
      <c r="E985" s="20" t="s">
        <v>582</v>
      </c>
      <c r="F985" s="20"/>
      <c r="G985" s="199">
        <f>G986</f>
        <v>244</v>
      </c>
    </row>
    <row r="986" spans="1:7" ht="25.5">
      <c r="A986" s="16" t="s">
        <v>333</v>
      </c>
      <c r="B986" s="19" t="s">
        <v>276</v>
      </c>
      <c r="C986" s="19" t="s">
        <v>69</v>
      </c>
      <c r="D986" s="19" t="s">
        <v>67</v>
      </c>
      <c r="E986" s="20" t="s">
        <v>582</v>
      </c>
      <c r="F986" s="20" t="s">
        <v>94</v>
      </c>
      <c r="G986" s="199">
        <f>G987</f>
        <v>244</v>
      </c>
    </row>
    <row r="987" spans="1:7" ht="25.5">
      <c r="A987" s="16" t="s">
        <v>608</v>
      </c>
      <c r="B987" s="19" t="s">
        <v>276</v>
      </c>
      <c r="C987" s="19" t="s">
        <v>69</v>
      </c>
      <c r="D987" s="19" t="s">
        <v>67</v>
      </c>
      <c r="E987" s="20" t="s">
        <v>582</v>
      </c>
      <c r="F987" s="20" t="s">
        <v>91</v>
      </c>
      <c r="G987" s="199">
        <f>976-732</f>
        <v>244</v>
      </c>
    </row>
    <row r="988" spans="1:7" ht="25.5">
      <c r="A988" s="150" t="s">
        <v>694</v>
      </c>
      <c r="B988" s="19" t="s">
        <v>276</v>
      </c>
      <c r="C988" s="19" t="s">
        <v>69</v>
      </c>
      <c r="D988" s="19" t="s">
        <v>67</v>
      </c>
      <c r="E988" s="20" t="s">
        <v>695</v>
      </c>
      <c r="F988" s="20"/>
      <c r="G988" s="199">
        <f>G989</f>
        <v>831.0999999999999</v>
      </c>
    </row>
    <row r="989" spans="1:7" ht="25.5">
      <c r="A989" s="150" t="s">
        <v>753</v>
      </c>
      <c r="B989" s="19" t="s">
        <v>276</v>
      </c>
      <c r="C989" s="19" t="s">
        <v>69</v>
      </c>
      <c r="D989" s="19" t="s">
        <v>67</v>
      </c>
      <c r="E989" s="20" t="s">
        <v>696</v>
      </c>
      <c r="F989" s="20"/>
      <c r="G989" s="199">
        <f>G990</f>
        <v>831.0999999999999</v>
      </c>
    </row>
    <row r="990" spans="1:7" ht="25.5">
      <c r="A990" s="150" t="s">
        <v>333</v>
      </c>
      <c r="B990" s="19" t="s">
        <v>276</v>
      </c>
      <c r="C990" s="19" t="s">
        <v>69</v>
      </c>
      <c r="D990" s="19" t="s">
        <v>67</v>
      </c>
      <c r="E990" s="20" t="s">
        <v>696</v>
      </c>
      <c r="F990" s="20" t="s">
        <v>94</v>
      </c>
      <c r="G990" s="199">
        <f>G991</f>
        <v>831.0999999999999</v>
      </c>
    </row>
    <row r="991" spans="1:7" ht="25.5">
      <c r="A991" s="29" t="s">
        <v>614</v>
      </c>
      <c r="B991" s="19" t="s">
        <v>276</v>
      </c>
      <c r="C991" s="19" t="s">
        <v>69</v>
      </c>
      <c r="D991" s="19" t="s">
        <v>67</v>
      </c>
      <c r="E991" s="20" t="s">
        <v>696</v>
      </c>
      <c r="F991" s="20" t="s">
        <v>91</v>
      </c>
      <c r="G991" s="199">
        <f>1662.1-831</f>
        <v>831.0999999999999</v>
      </c>
    </row>
    <row r="992" spans="1:7" ht="12.75">
      <c r="A992" s="15" t="s">
        <v>353</v>
      </c>
      <c r="B992" s="37" t="s">
        <v>276</v>
      </c>
      <c r="C992" s="37" t="s">
        <v>73</v>
      </c>
      <c r="D992" s="37" t="s">
        <v>34</v>
      </c>
      <c r="E992" s="113"/>
      <c r="F992" s="113"/>
      <c r="G992" s="198">
        <f>G993</f>
        <v>235</v>
      </c>
    </row>
    <row r="993" spans="1:7" ht="12.75">
      <c r="A993" s="15" t="s">
        <v>294</v>
      </c>
      <c r="B993" s="37" t="s">
        <v>276</v>
      </c>
      <c r="C993" s="37" t="s">
        <v>73</v>
      </c>
      <c r="D993" s="37" t="s">
        <v>69</v>
      </c>
      <c r="E993" s="113"/>
      <c r="F993" s="113"/>
      <c r="G993" s="198">
        <f>G995+G1003</f>
        <v>235</v>
      </c>
    </row>
    <row r="994" spans="1:7" ht="12.75">
      <c r="A994" s="16" t="s">
        <v>478</v>
      </c>
      <c r="B994" s="19" t="s">
        <v>276</v>
      </c>
      <c r="C994" s="19" t="s">
        <v>73</v>
      </c>
      <c r="D994" s="19" t="s">
        <v>69</v>
      </c>
      <c r="E994" s="115" t="s">
        <v>548</v>
      </c>
      <c r="F994" s="113"/>
      <c r="G994" s="199">
        <f>G995</f>
        <v>150</v>
      </c>
    </row>
    <row r="995" spans="1:7" ht="25.5">
      <c r="A995" s="16" t="str">
        <f>'МП пр.6'!A734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2018- 2022 годы"</v>
      </c>
      <c r="B995" s="19" t="s">
        <v>276</v>
      </c>
      <c r="C995" s="19" t="s">
        <v>73</v>
      </c>
      <c r="D995" s="19" t="s">
        <v>69</v>
      </c>
      <c r="E995" s="110" t="str">
        <f>'МП пр.6'!B734</f>
        <v>7W 0 00 00000</v>
      </c>
      <c r="F995" s="110"/>
      <c r="G995" s="199">
        <f>G996</f>
        <v>150</v>
      </c>
    </row>
    <row r="996" spans="1:7" ht="25.5">
      <c r="A996" s="16" t="str">
        <f>'МП пр.6'!A735</f>
        <v>Основное мероприятие "Разработка проектно-сметной документации (в том числе проведение инженерных изысканий) по объектам размещения отходов»"</v>
      </c>
      <c r="B996" s="19" t="s">
        <v>276</v>
      </c>
      <c r="C996" s="19" t="s">
        <v>73</v>
      </c>
      <c r="D996" s="19" t="s">
        <v>69</v>
      </c>
      <c r="E996" s="110" t="str">
        <f>'МП пр.6'!B735</f>
        <v>7W 0 02 00000</v>
      </c>
      <c r="F996" s="110"/>
      <c r="G996" s="199">
        <f>G997+G1000</f>
        <v>150</v>
      </c>
    </row>
    <row r="997" spans="1:7" ht="25.5">
      <c r="A997" s="16" t="str">
        <f>'МП пр.6'!A736</f>
        <v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v>
      </c>
      <c r="B997" s="19" t="s">
        <v>276</v>
      </c>
      <c r="C997" s="19" t="s">
        <v>73</v>
      </c>
      <c r="D997" s="19" t="s">
        <v>69</v>
      </c>
      <c r="E997" s="110" t="str">
        <f>'МП пр.6'!B736</f>
        <v>7W 0 02 73710</v>
      </c>
      <c r="F997" s="110"/>
      <c r="G997" s="199">
        <f>G998</f>
        <v>142.5</v>
      </c>
    </row>
    <row r="998" spans="1:7" ht="25.5">
      <c r="A998" s="16" t="str">
        <f>'МП пр.6'!A745</f>
        <v>Закупка товаров, работ и услуг для обеспечения государственных (муниципальных) нужд</v>
      </c>
      <c r="B998" s="19" t="s">
        <v>276</v>
      </c>
      <c r="C998" s="19" t="s">
        <v>73</v>
      </c>
      <c r="D998" s="19" t="s">
        <v>69</v>
      </c>
      <c r="E998" s="110" t="str">
        <f>'МП пр.6'!B737</f>
        <v>7W 0 02 73710</v>
      </c>
      <c r="F998" s="110" t="s">
        <v>94</v>
      </c>
      <c r="G998" s="199">
        <f>G999</f>
        <v>142.5</v>
      </c>
    </row>
    <row r="999" spans="1:7" ht="25.5">
      <c r="A999" s="16" t="s">
        <v>608</v>
      </c>
      <c r="B999" s="19" t="s">
        <v>276</v>
      </c>
      <c r="C999" s="19" t="s">
        <v>73</v>
      </c>
      <c r="D999" s="19" t="s">
        <v>69</v>
      </c>
      <c r="E999" s="110" t="str">
        <f>'МП пр.6'!B738</f>
        <v>7W 0 02 73710</v>
      </c>
      <c r="F999" s="110" t="s">
        <v>91</v>
      </c>
      <c r="G999" s="199">
        <f>'МП пр.6'!G741</f>
        <v>142.5</v>
      </c>
    </row>
    <row r="1000" spans="1:7" ht="38.25">
      <c r="A1000" s="16" t="str">
        <f>'МП пр.6'!A742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1000" s="19" t="s">
        <v>276</v>
      </c>
      <c r="C1000" s="19" t="s">
        <v>73</v>
      </c>
      <c r="D1000" s="19" t="s">
        <v>69</v>
      </c>
      <c r="E1000" s="110" t="str">
        <f>'МП пр.6'!B742</f>
        <v>7W 0 02 S3710</v>
      </c>
      <c r="F1000" s="110"/>
      <c r="G1000" s="199">
        <f>G1001</f>
        <v>7.5</v>
      </c>
    </row>
    <row r="1001" spans="1:7" ht="25.5">
      <c r="A1001" s="16" t="str">
        <f>'МП пр.6'!A745</f>
        <v>Закупка товаров, работ и услуг для обеспечения государственных (муниципальных) нужд</v>
      </c>
      <c r="B1001" s="19" t="s">
        <v>276</v>
      </c>
      <c r="C1001" s="19" t="s">
        <v>73</v>
      </c>
      <c r="D1001" s="19" t="s">
        <v>69</v>
      </c>
      <c r="E1001" s="110" t="str">
        <f>'МП пр.6'!B743</f>
        <v>7W 0 02 S3710</v>
      </c>
      <c r="F1001" s="110" t="s">
        <v>94</v>
      </c>
      <c r="G1001" s="199">
        <f>G1002</f>
        <v>7.5</v>
      </c>
    </row>
    <row r="1002" spans="1:7" ht="25.5">
      <c r="A1002" s="16" t="s">
        <v>608</v>
      </c>
      <c r="B1002" s="19" t="s">
        <v>276</v>
      </c>
      <c r="C1002" s="19" t="s">
        <v>73</v>
      </c>
      <c r="D1002" s="19" t="s">
        <v>69</v>
      </c>
      <c r="E1002" s="110" t="str">
        <f>'МП пр.6'!B744</f>
        <v>7W 0 02 S3710</v>
      </c>
      <c r="F1002" s="110" t="s">
        <v>91</v>
      </c>
      <c r="G1002" s="199">
        <f>'МП пр.6'!G747</f>
        <v>7.5</v>
      </c>
    </row>
    <row r="1003" spans="1:7" ht="12.75">
      <c r="A1003" s="29" t="s">
        <v>647</v>
      </c>
      <c r="B1003" s="19" t="s">
        <v>276</v>
      </c>
      <c r="C1003" s="19" t="s">
        <v>73</v>
      </c>
      <c r="D1003" s="19" t="s">
        <v>69</v>
      </c>
      <c r="E1003" s="20" t="s">
        <v>648</v>
      </c>
      <c r="F1003" s="110"/>
      <c r="G1003" s="199">
        <f>G1004</f>
        <v>85</v>
      </c>
    </row>
    <row r="1004" spans="1:7" ht="12.75">
      <c r="A1004" s="29" t="s">
        <v>649</v>
      </c>
      <c r="B1004" s="19" t="s">
        <v>276</v>
      </c>
      <c r="C1004" s="19" t="s">
        <v>73</v>
      </c>
      <c r="D1004" s="19" t="s">
        <v>69</v>
      </c>
      <c r="E1004" s="20" t="s">
        <v>650</v>
      </c>
      <c r="F1004" s="110"/>
      <c r="G1004" s="199">
        <f>G1005</f>
        <v>85</v>
      </c>
    </row>
    <row r="1005" spans="1:7" ht="25.5">
      <c r="A1005" s="29" t="s">
        <v>333</v>
      </c>
      <c r="B1005" s="19" t="s">
        <v>276</v>
      </c>
      <c r="C1005" s="19" t="s">
        <v>73</v>
      </c>
      <c r="D1005" s="19" t="s">
        <v>69</v>
      </c>
      <c r="E1005" s="20" t="s">
        <v>650</v>
      </c>
      <c r="F1005" s="110" t="s">
        <v>94</v>
      </c>
      <c r="G1005" s="199">
        <f>G1006</f>
        <v>85</v>
      </c>
    </row>
    <row r="1006" spans="1:7" ht="25.5">
      <c r="A1006" s="29" t="s">
        <v>614</v>
      </c>
      <c r="B1006" s="19" t="s">
        <v>276</v>
      </c>
      <c r="C1006" s="19" t="s">
        <v>73</v>
      </c>
      <c r="D1006" s="19" t="s">
        <v>69</v>
      </c>
      <c r="E1006" s="20" t="s">
        <v>650</v>
      </c>
      <c r="F1006" s="110" t="s">
        <v>91</v>
      </c>
      <c r="G1006" s="199">
        <f>85</f>
        <v>85</v>
      </c>
    </row>
    <row r="1007" spans="1:7" ht="12.75">
      <c r="A1007" s="31" t="s">
        <v>74</v>
      </c>
      <c r="B1007" s="205"/>
      <c r="C1007" s="205"/>
      <c r="D1007" s="205"/>
      <c r="E1007" s="206"/>
      <c r="F1007" s="206"/>
      <c r="G1007" s="207">
        <f>G9+G223+G257+G299+G353+G629+G871</f>
        <v>776848.9</v>
      </c>
    </row>
    <row r="1008" ht="12.75">
      <c r="G1008" s="194">
        <f>SUBTOTAL(9,G116:G1007)</f>
        <v>6082668.799999993</v>
      </c>
    </row>
  </sheetData>
  <mergeCells count="5">
    <mergeCell ref="A1:G1"/>
    <mergeCell ref="A2:G2"/>
    <mergeCell ref="A4:G4"/>
    <mergeCell ref="A5:G5"/>
    <mergeCell ref="A3:G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L759"/>
  <sheetViews>
    <sheetView view="pageBreakPreview" zoomScale="120" zoomScaleSheetLayoutView="120" workbookViewId="0" topLeftCell="A1">
      <selection activeCell="B17" sqref="A17:B17"/>
    </sheetView>
  </sheetViews>
  <sheetFormatPr defaultColWidth="9.125" defaultRowHeight="12.75"/>
  <cols>
    <col min="1" max="1" width="49.875" style="223" customWidth="1"/>
    <col min="2" max="2" width="13.625" style="223" customWidth="1"/>
    <col min="3" max="4" width="3.375" style="223" customWidth="1"/>
    <col min="5" max="5" width="3.625" style="231" customWidth="1"/>
    <col min="6" max="6" width="4.00390625" style="223" customWidth="1"/>
    <col min="7" max="7" width="9.375" style="223" customWidth="1"/>
    <col min="8" max="8" width="12.00390625" style="223" customWidth="1"/>
    <col min="9" max="9" width="9.125" style="223" customWidth="1"/>
    <col min="10" max="10" width="9.125" style="223" bestFit="1" customWidth="1"/>
    <col min="11" max="16384" width="9.125" style="223" customWidth="1"/>
  </cols>
  <sheetData>
    <row r="1" spans="1:9" s="11" customFormat="1" ht="12.75">
      <c r="A1" s="279" t="s">
        <v>624</v>
      </c>
      <c r="B1" s="280"/>
      <c r="C1" s="280"/>
      <c r="D1" s="280"/>
      <c r="E1" s="280"/>
      <c r="F1" s="280"/>
      <c r="G1" s="280"/>
      <c r="H1" s="213"/>
      <c r="I1" s="213"/>
    </row>
    <row r="2" spans="1:9" s="11" customFormat="1" ht="12.75" customHeight="1">
      <c r="A2" s="279" t="str">
        <f>'пр3 по разд'!A2:D2</f>
        <v>к  решению Собрания представителей Сусуманского городского округа</v>
      </c>
      <c r="B2" s="279"/>
      <c r="C2" s="279"/>
      <c r="D2" s="279"/>
      <c r="E2" s="279"/>
      <c r="F2" s="279"/>
      <c r="G2" s="279"/>
      <c r="H2" s="214"/>
      <c r="I2" s="214"/>
    </row>
    <row r="3" spans="1:9" s="11" customFormat="1" ht="12.75" customHeight="1">
      <c r="A3" s="279" t="str">
        <f>'пр.5 вед.стр.'!A3:G3</f>
        <v>"О бюджете муниципального образования "Сусуманский городской округ" на 2019 год</v>
      </c>
      <c r="B3" s="280"/>
      <c r="C3" s="280"/>
      <c r="D3" s="280"/>
      <c r="E3" s="280"/>
      <c r="F3" s="280"/>
      <c r="G3" s="280"/>
      <c r="H3" s="214"/>
      <c r="I3" s="214"/>
    </row>
    <row r="4" spans="1:9" s="11" customFormat="1" ht="12.75">
      <c r="A4" s="281" t="str">
        <f>'пр.5 вед.стр.'!A4:G4</f>
        <v>от 30.12.2019 г. № 329</v>
      </c>
      <c r="B4" s="280"/>
      <c r="C4" s="280"/>
      <c r="D4" s="280"/>
      <c r="E4" s="280"/>
      <c r="F4" s="280"/>
      <c r="G4" s="280"/>
      <c r="H4" s="213"/>
      <c r="I4" s="213"/>
    </row>
    <row r="5" spans="1:7" s="11" customFormat="1" ht="19.9" customHeight="1">
      <c r="A5" s="277" t="s">
        <v>597</v>
      </c>
      <c r="B5" s="277"/>
      <c r="C5" s="278"/>
      <c r="D5" s="278"/>
      <c r="E5" s="278"/>
      <c r="F5" s="278"/>
      <c r="G5" s="278"/>
    </row>
    <row r="6" spans="1:7" s="11" customFormat="1" ht="12.75">
      <c r="A6" s="104"/>
      <c r="B6" s="105"/>
      <c r="C6" s="105"/>
      <c r="D6" s="105"/>
      <c r="E6" s="143"/>
      <c r="F6" s="105"/>
      <c r="G6" s="104"/>
    </row>
    <row r="7" spans="1:7" s="11" customFormat="1" ht="25.15" customHeight="1">
      <c r="A7" s="87" t="s">
        <v>30</v>
      </c>
      <c r="B7" s="88" t="s">
        <v>44</v>
      </c>
      <c r="C7" s="88" t="s">
        <v>43</v>
      </c>
      <c r="D7" s="88" t="s">
        <v>42</v>
      </c>
      <c r="E7" s="99" t="s">
        <v>45</v>
      </c>
      <c r="F7" s="87" t="s">
        <v>0</v>
      </c>
      <c r="G7" s="88" t="str">
        <f>'пр.5 вед.стр.'!G7</f>
        <v>Сумма</v>
      </c>
    </row>
    <row r="8" spans="1:7" s="11" customFormat="1" ht="12.75">
      <c r="A8" s="89">
        <v>1</v>
      </c>
      <c r="B8" s="88">
        <v>2</v>
      </c>
      <c r="C8" s="88">
        <v>3</v>
      </c>
      <c r="D8" s="88">
        <v>4</v>
      </c>
      <c r="E8" s="99">
        <v>5</v>
      </c>
      <c r="F8" s="87">
        <v>6</v>
      </c>
      <c r="G8" s="87">
        <v>7</v>
      </c>
    </row>
    <row r="9" spans="1:7" s="11" customFormat="1" ht="21.75">
      <c r="A9" s="128" t="s">
        <v>751</v>
      </c>
      <c r="B9" s="88" t="s">
        <v>642</v>
      </c>
      <c r="C9" s="91"/>
      <c r="D9" s="91"/>
      <c r="E9" s="99"/>
      <c r="F9" s="87"/>
      <c r="G9" s="215">
        <f aca="true" t="shared" si="0" ref="G9:G15">G10</f>
        <v>1414.4</v>
      </c>
    </row>
    <row r="10" spans="1:7" s="11" customFormat="1" ht="21.75">
      <c r="A10" s="128" t="s">
        <v>640</v>
      </c>
      <c r="B10" s="88" t="s">
        <v>643</v>
      </c>
      <c r="C10" s="88"/>
      <c r="D10" s="88"/>
      <c r="E10" s="99"/>
      <c r="F10" s="87"/>
      <c r="G10" s="216">
        <f t="shared" si="0"/>
        <v>1414.4</v>
      </c>
    </row>
    <row r="11" spans="1:7" s="11" customFormat="1" ht="32.25">
      <c r="A11" s="128" t="s">
        <v>641</v>
      </c>
      <c r="B11" s="88" t="s">
        <v>644</v>
      </c>
      <c r="C11" s="88"/>
      <c r="D11" s="88"/>
      <c r="E11" s="99"/>
      <c r="F11" s="87"/>
      <c r="G11" s="216">
        <f t="shared" si="0"/>
        <v>1414.4</v>
      </c>
    </row>
    <row r="12" spans="1:7" s="11" customFormat="1" ht="12.75">
      <c r="A12" s="128" t="s">
        <v>5</v>
      </c>
      <c r="B12" s="94" t="s">
        <v>644</v>
      </c>
      <c r="C12" s="91" t="s">
        <v>65</v>
      </c>
      <c r="D12" s="91" t="s">
        <v>34</v>
      </c>
      <c r="E12" s="99"/>
      <c r="F12" s="87"/>
      <c r="G12" s="216">
        <f t="shared" si="0"/>
        <v>1414.4</v>
      </c>
    </row>
    <row r="13" spans="1:7" s="11" customFormat="1" ht="12.75">
      <c r="A13" s="148" t="s">
        <v>321</v>
      </c>
      <c r="B13" s="94" t="s">
        <v>644</v>
      </c>
      <c r="C13" s="95" t="s">
        <v>65</v>
      </c>
      <c r="D13" s="95" t="s">
        <v>73</v>
      </c>
      <c r="E13" s="99"/>
      <c r="F13" s="87"/>
      <c r="G13" s="217">
        <f t="shared" si="0"/>
        <v>1414.4</v>
      </c>
    </row>
    <row r="14" spans="1:7" s="11" customFormat="1" ht="22.5">
      <c r="A14" s="96" t="s">
        <v>333</v>
      </c>
      <c r="B14" s="94" t="s">
        <v>644</v>
      </c>
      <c r="C14" s="95" t="s">
        <v>65</v>
      </c>
      <c r="D14" s="95" t="s">
        <v>73</v>
      </c>
      <c r="E14" s="97" t="s">
        <v>94</v>
      </c>
      <c r="F14" s="92"/>
      <c r="G14" s="217">
        <f t="shared" si="0"/>
        <v>1414.4</v>
      </c>
    </row>
    <row r="15" spans="1:7" s="11" customFormat="1" ht="22.5">
      <c r="A15" s="96" t="s">
        <v>610</v>
      </c>
      <c r="B15" s="94" t="s">
        <v>644</v>
      </c>
      <c r="C15" s="95" t="s">
        <v>65</v>
      </c>
      <c r="D15" s="95" t="s">
        <v>73</v>
      </c>
      <c r="E15" s="97" t="s">
        <v>91</v>
      </c>
      <c r="F15" s="92"/>
      <c r="G15" s="217">
        <f t="shared" si="0"/>
        <v>1414.4</v>
      </c>
    </row>
    <row r="16" spans="1:7" s="11" customFormat="1" ht="22.5">
      <c r="A16" s="96" t="s">
        <v>320</v>
      </c>
      <c r="B16" s="94" t="s">
        <v>644</v>
      </c>
      <c r="C16" s="95" t="s">
        <v>65</v>
      </c>
      <c r="D16" s="95" t="s">
        <v>73</v>
      </c>
      <c r="E16" s="97" t="s">
        <v>91</v>
      </c>
      <c r="F16" s="92">
        <v>727</v>
      </c>
      <c r="G16" s="217">
        <f>3875-2460.6</f>
        <v>1414.4</v>
      </c>
    </row>
    <row r="17" spans="1:7" s="60" customFormat="1" ht="32.25">
      <c r="A17" s="90" t="s">
        <v>720</v>
      </c>
      <c r="B17" s="88" t="s">
        <v>145</v>
      </c>
      <c r="C17" s="91"/>
      <c r="D17" s="91"/>
      <c r="E17" s="99"/>
      <c r="F17" s="87"/>
      <c r="G17" s="215">
        <f>G18</f>
        <v>1325.1999999999998</v>
      </c>
    </row>
    <row r="18" spans="1:7" s="60" customFormat="1" ht="34.9" customHeight="1">
      <c r="A18" s="90" t="s">
        <v>592</v>
      </c>
      <c r="B18" s="88" t="s">
        <v>408</v>
      </c>
      <c r="C18" s="91"/>
      <c r="D18" s="91"/>
      <c r="E18" s="99"/>
      <c r="F18" s="87"/>
      <c r="G18" s="215">
        <f>G19+G33+G39</f>
        <v>1325.1999999999998</v>
      </c>
    </row>
    <row r="19" spans="1:7" s="60" customFormat="1" ht="21.75">
      <c r="A19" s="90" t="s">
        <v>144</v>
      </c>
      <c r="B19" s="88" t="s">
        <v>409</v>
      </c>
      <c r="C19" s="91"/>
      <c r="D19" s="91"/>
      <c r="E19" s="99"/>
      <c r="F19" s="87"/>
      <c r="G19" s="215">
        <f>G20</f>
        <v>947.4</v>
      </c>
    </row>
    <row r="20" spans="1:7" s="60" customFormat="1" ht="12.75">
      <c r="A20" s="100" t="s">
        <v>8</v>
      </c>
      <c r="B20" s="88" t="s">
        <v>409</v>
      </c>
      <c r="C20" s="91" t="s">
        <v>66</v>
      </c>
      <c r="D20" s="91" t="s">
        <v>34</v>
      </c>
      <c r="E20" s="99"/>
      <c r="F20" s="87"/>
      <c r="G20" s="215">
        <f>G21+G25+G29</f>
        <v>947.4</v>
      </c>
    </row>
    <row r="21" spans="1:7" s="11" customFormat="1" ht="12.75">
      <c r="A21" s="96" t="s">
        <v>9</v>
      </c>
      <c r="B21" s="94" t="s">
        <v>409</v>
      </c>
      <c r="C21" s="95" t="s">
        <v>66</v>
      </c>
      <c r="D21" s="95" t="s">
        <v>63</v>
      </c>
      <c r="E21" s="97"/>
      <c r="F21" s="92"/>
      <c r="G21" s="218">
        <f>G22</f>
        <v>170.70000000000002</v>
      </c>
    </row>
    <row r="22" spans="1:7" s="11" customFormat="1" ht="22.5">
      <c r="A22" s="96" t="s">
        <v>95</v>
      </c>
      <c r="B22" s="94" t="s">
        <v>409</v>
      </c>
      <c r="C22" s="95" t="s">
        <v>66</v>
      </c>
      <c r="D22" s="95" t="s">
        <v>63</v>
      </c>
      <c r="E22" s="97">
        <v>600</v>
      </c>
      <c r="F22" s="92"/>
      <c r="G22" s="218">
        <f>G23</f>
        <v>170.70000000000002</v>
      </c>
    </row>
    <row r="23" spans="1:7" s="11" customFormat="1" ht="12.75">
      <c r="A23" s="96" t="s">
        <v>99</v>
      </c>
      <c r="B23" s="94" t="s">
        <v>409</v>
      </c>
      <c r="C23" s="95" t="s">
        <v>66</v>
      </c>
      <c r="D23" s="95" t="s">
        <v>63</v>
      </c>
      <c r="E23" s="97">
        <v>610</v>
      </c>
      <c r="F23" s="92"/>
      <c r="G23" s="218">
        <f>G24</f>
        <v>170.70000000000002</v>
      </c>
    </row>
    <row r="24" spans="1:8" s="11" customFormat="1" ht="22.5">
      <c r="A24" s="93" t="s">
        <v>133</v>
      </c>
      <c r="B24" s="94" t="s">
        <v>409</v>
      </c>
      <c r="C24" s="95" t="s">
        <v>66</v>
      </c>
      <c r="D24" s="95" t="s">
        <v>63</v>
      </c>
      <c r="E24" s="97" t="s">
        <v>100</v>
      </c>
      <c r="F24" s="92">
        <v>725</v>
      </c>
      <c r="G24" s="218">
        <f>177.3-6.6</f>
        <v>170.70000000000002</v>
      </c>
      <c r="H24" s="132"/>
    </row>
    <row r="25" spans="1:7" s="11" customFormat="1" ht="12.75">
      <c r="A25" s="93" t="s">
        <v>10</v>
      </c>
      <c r="B25" s="94" t="s">
        <v>409</v>
      </c>
      <c r="C25" s="95" t="s">
        <v>66</v>
      </c>
      <c r="D25" s="95" t="s">
        <v>64</v>
      </c>
      <c r="E25" s="97"/>
      <c r="F25" s="92"/>
      <c r="G25" s="218">
        <f>G26</f>
        <v>626.4</v>
      </c>
    </row>
    <row r="26" spans="1:7" s="11" customFormat="1" ht="22.5">
      <c r="A26" s="96" t="s">
        <v>95</v>
      </c>
      <c r="B26" s="94" t="s">
        <v>409</v>
      </c>
      <c r="C26" s="95" t="s">
        <v>66</v>
      </c>
      <c r="D26" s="95" t="s">
        <v>64</v>
      </c>
      <c r="E26" s="97">
        <v>600</v>
      </c>
      <c r="F26" s="92"/>
      <c r="G26" s="218">
        <f>G27</f>
        <v>626.4</v>
      </c>
    </row>
    <row r="27" spans="1:7" s="11" customFormat="1" ht="12.75">
      <c r="A27" s="96" t="s">
        <v>99</v>
      </c>
      <c r="B27" s="94" t="s">
        <v>409</v>
      </c>
      <c r="C27" s="95" t="s">
        <v>66</v>
      </c>
      <c r="D27" s="95" t="s">
        <v>64</v>
      </c>
      <c r="E27" s="97">
        <v>610</v>
      </c>
      <c r="F27" s="92"/>
      <c r="G27" s="218">
        <f>G28</f>
        <v>626.4</v>
      </c>
    </row>
    <row r="28" spans="1:7" s="11" customFormat="1" ht="22.5">
      <c r="A28" s="93" t="s">
        <v>133</v>
      </c>
      <c r="B28" s="94" t="s">
        <v>409</v>
      </c>
      <c r="C28" s="95" t="s">
        <v>66</v>
      </c>
      <c r="D28" s="95" t="s">
        <v>64</v>
      </c>
      <c r="E28" s="97" t="s">
        <v>100</v>
      </c>
      <c r="F28" s="92">
        <v>725</v>
      </c>
      <c r="G28" s="218">
        <f>639.9-13.5</f>
        <v>626.4</v>
      </c>
    </row>
    <row r="29" spans="1:7" s="11" customFormat="1" ht="12.75">
      <c r="A29" s="96" t="s">
        <v>304</v>
      </c>
      <c r="B29" s="94" t="s">
        <v>409</v>
      </c>
      <c r="C29" s="95" t="s">
        <v>66</v>
      </c>
      <c r="D29" s="95" t="s">
        <v>67</v>
      </c>
      <c r="E29" s="97"/>
      <c r="F29" s="92"/>
      <c r="G29" s="218">
        <f>G30</f>
        <v>150.29999999999998</v>
      </c>
    </row>
    <row r="30" spans="1:7" s="11" customFormat="1" ht="22.5">
      <c r="A30" s="96" t="s">
        <v>95</v>
      </c>
      <c r="B30" s="94" t="s">
        <v>409</v>
      </c>
      <c r="C30" s="95" t="s">
        <v>66</v>
      </c>
      <c r="D30" s="95" t="s">
        <v>67</v>
      </c>
      <c r="E30" s="97">
        <v>600</v>
      </c>
      <c r="F30" s="92"/>
      <c r="G30" s="218">
        <f>G31</f>
        <v>150.29999999999998</v>
      </c>
    </row>
    <row r="31" spans="1:7" s="11" customFormat="1" ht="12.75">
      <c r="A31" s="96" t="s">
        <v>99</v>
      </c>
      <c r="B31" s="94" t="s">
        <v>409</v>
      </c>
      <c r="C31" s="95" t="s">
        <v>66</v>
      </c>
      <c r="D31" s="95" t="s">
        <v>67</v>
      </c>
      <c r="E31" s="97">
        <v>610</v>
      </c>
      <c r="F31" s="92"/>
      <c r="G31" s="218">
        <f>G32</f>
        <v>150.29999999999998</v>
      </c>
    </row>
    <row r="32" spans="1:7" s="11" customFormat="1" ht="22.5">
      <c r="A32" s="93" t="s">
        <v>133</v>
      </c>
      <c r="B32" s="94" t="s">
        <v>409</v>
      </c>
      <c r="C32" s="95" t="s">
        <v>66</v>
      </c>
      <c r="D32" s="95" t="s">
        <v>67</v>
      </c>
      <c r="E32" s="97" t="s">
        <v>100</v>
      </c>
      <c r="F32" s="92">
        <v>725</v>
      </c>
      <c r="G32" s="218">
        <f>145.6+4.7</f>
        <v>150.29999999999998</v>
      </c>
    </row>
    <row r="33" spans="1:7" s="60" customFormat="1" ht="12.75">
      <c r="A33" s="100" t="s">
        <v>410</v>
      </c>
      <c r="B33" s="88" t="s">
        <v>411</v>
      </c>
      <c r="C33" s="91"/>
      <c r="D33" s="91"/>
      <c r="E33" s="99"/>
      <c r="F33" s="87"/>
      <c r="G33" s="215">
        <f>G34</f>
        <v>16.799999999999997</v>
      </c>
    </row>
    <row r="34" spans="1:7" s="60" customFormat="1" ht="12.75">
      <c r="A34" s="100" t="s">
        <v>8</v>
      </c>
      <c r="B34" s="88" t="s">
        <v>411</v>
      </c>
      <c r="C34" s="91" t="s">
        <v>66</v>
      </c>
      <c r="D34" s="91" t="s">
        <v>34</v>
      </c>
      <c r="E34" s="99"/>
      <c r="F34" s="87"/>
      <c r="G34" s="215">
        <f>G38</f>
        <v>16.799999999999997</v>
      </c>
    </row>
    <row r="35" spans="1:7" s="11" customFormat="1" ht="12.75">
      <c r="A35" s="96" t="s">
        <v>304</v>
      </c>
      <c r="B35" s="94" t="s">
        <v>411</v>
      </c>
      <c r="C35" s="95" t="s">
        <v>66</v>
      </c>
      <c r="D35" s="95" t="s">
        <v>67</v>
      </c>
      <c r="E35" s="97"/>
      <c r="F35" s="92"/>
      <c r="G35" s="218">
        <f>G36</f>
        <v>16.799999999999997</v>
      </c>
    </row>
    <row r="36" spans="1:7" s="11" customFormat="1" ht="22.5">
      <c r="A36" s="96" t="s">
        <v>95</v>
      </c>
      <c r="B36" s="94" t="s">
        <v>411</v>
      </c>
      <c r="C36" s="95" t="s">
        <v>66</v>
      </c>
      <c r="D36" s="95" t="s">
        <v>67</v>
      </c>
      <c r="E36" s="97">
        <v>600</v>
      </c>
      <c r="F36" s="92"/>
      <c r="G36" s="218">
        <f>G37</f>
        <v>16.799999999999997</v>
      </c>
    </row>
    <row r="37" spans="1:7" s="11" customFormat="1" ht="12.75">
      <c r="A37" s="96" t="s">
        <v>99</v>
      </c>
      <c r="B37" s="94" t="s">
        <v>411</v>
      </c>
      <c r="C37" s="95" t="s">
        <v>66</v>
      </c>
      <c r="D37" s="95" t="s">
        <v>67</v>
      </c>
      <c r="E37" s="97">
        <v>610</v>
      </c>
      <c r="F37" s="92"/>
      <c r="G37" s="218">
        <f>G38</f>
        <v>16.799999999999997</v>
      </c>
    </row>
    <row r="38" spans="1:7" s="11" customFormat="1" ht="22.5">
      <c r="A38" s="93" t="s">
        <v>133</v>
      </c>
      <c r="B38" s="94" t="s">
        <v>411</v>
      </c>
      <c r="C38" s="95" t="s">
        <v>66</v>
      </c>
      <c r="D38" s="95" t="s">
        <v>67</v>
      </c>
      <c r="E38" s="97" t="s">
        <v>100</v>
      </c>
      <c r="F38" s="92">
        <v>725</v>
      </c>
      <c r="G38" s="218">
        <f>36.8-20</f>
        <v>16.799999999999997</v>
      </c>
    </row>
    <row r="39" spans="1:7" s="11" customFormat="1" ht="12.75">
      <c r="A39" s="100" t="s">
        <v>607</v>
      </c>
      <c r="B39" s="88" t="s">
        <v>613</v>
      </c>
      <c r="C39" s="91"/>
      <c r="D39" s="91"/>
      <c r="E39" s="99"/>
      <c r="F39" s="87"/>
      <c r="G39" s="215">
        <f>G40</f>
        <v>361</v>
      </c>
    </row>
    <row r="40" spans="1:7" s="11" customFormat="1" ht="12.75">
      <c r="A40" s="100" t="s">
        <v>8</v>
      </c>
      <c r="B40" s="88" t="s">
        <v>613</v>
      </c>
      <c r="C40" s="91" t="s">
        <v>66</v>
      </c>
      <c r="D40" s="91" t="s">
        <v>34</v>
      </c>
      <c r="E40" s="99"/>
      <c r="F40" s="87"/>
      <c r="G40" s="215">
        <f>G44</f>
        <v>361</v>
      </c>
    </row>
    <row r="41" spans="1:7" s="11" customFormat="1" ht="12.75">
      <c r="A41" s="93" t="s">
        <v>10</v>
      </c>
      <c r="B41" s="94" t="s">
        <v>613</v>
      </c>
      <c r="C41" s="95" t="s">
        <v>66</v>
      </c>
      <c r="D41" s="95" t="s">
        <v>64</v>
      </c>
      <c r="E41" s="97"/>
      <c r="F41" s="92"/>
      <c r="G41" s="218">
        <f>G42</f>
        <v>361</v>
      </c>
    </row>
    <row r="42" spans="1:7" s="11" customFormat="1" ht="22.5">
      <c r="A42" s="96" t="s">
        <v>95</v>
      </c>
      <c r="B42" s="94" t="s">
        <v>613</v>
      </c>
      <c r="C42" s="95" t="s">
        <v>66</v>
      </c>
      <c r="D42" s="95" t="s">
        <v>64</v>
      </c>
      <c r="E42" s="97">
        <v>600</v>
      </c>
      <c r="F42" s="92"/>
      <c r="G42" s="218">
        <f>G43</f>
        <v>361</v>
      </c>
    </row>
    <row r="43" spans="1:7" s="11" customFormat="1" ht="12.75">
      <c r="A43" s="96" t="s">
        <v>99</v>
      </c>
      <c r="B43" s="94" t="s">
        <v>613</v>
      </c>
      <c r="C43" s="95" t="s">
        <v>66</v>
      </c>
      <c r="D43" s="95" t="s">
        <v>64</v>
      </c>
      <c r="E43" s="97">
        <v>610</v>
      </c>
      <c r="F43" s="92"/>
      <c r="G43" s="218">
        <f>G44</f>
        <v>361</v>
      </c>
    </row>
    <row r="44" spans="1:7" s="11" customFormat="1" ht="22.5">
      <c r="A44" s="93" t="s">
        <v>133</v>
      </c>
      <c r="B44" s="94" t="s">
        <v>613</v>
      </c>
      <c r="C44" s="95" t="s">
        <v>66</v>
      </c>
      <c r="D44" s="95" t="s">
        <v>64</v>
      </c>
      <c r="E44" s="97" t="s">
        <v>100</v>
      </c>
      <c r="F44" s="92">
        <v>725</v>
      </c>
      <c r="G44" s="218">
        <f>500-139</f>
        <v>361</v>
      </c>
    </row>
    <row r="45" spans="1:9" s="60" customFormat="1" ht="21.75">
      <c r="A45" s="90" t="s">
        <v>721</v>
      </c>
      <c r="B45" s="88" t="s">
        <v>155</v>
      </c>
      <c r="C45" s="91"/>
      <c r="D45" s="91"/>
      <c r="E45" s="99"/>
      <c r="F45" s="87"/>
      <c r="G45" s="215">
        <f>G46+G56</f>
        <v>1750.5</v>
      </c>
      <c r="I45" s="219"/>
    </row>
    <row r="46" spans="1:7" s="60" customFormat="1" ht="32.25">
      <c r="A46" s="90" t="s">
        <v>189</v>
      </c>
      <c r="B46" s="88" t="s">
        <v>243</v>
      </c>
      <c r="C46" s="91"/>
      <c r="D46" s="91"/>
      <c r="E46" s="99"/>
      <c r="F46" s="87"/>
      <c r="G46" s="215">
        <f>G47</f>
        <v>1633.3</v>
      </c>
    </row>
    <row r="47" spans="1:7" s="60" customFormat="1" ht="12.75">
      <c r="A47" s="90" t="s">
        <v>154</v>
      </c>
      <c r="B47" s="88" t="s">
        <v>244</v>
      </c>
      <c r="C47" s="91"/>
      <c r="D47" s="91"/>
      <c r="E47" s="99"/>
      <c r="F47" s="87"/>
      <c r="G47" s="215">
        <f>G48</f>
        <v>1633.3</v>
      </c>
    </row>
    <row r="48" spans="1:7" s="60" customFormat="1" ht="12.75">
      <c r="A48" s="100" t="s">
        <v>8</v>
      </c>
      <c r="B48" s="88" t="s">
        <v>244</v>
      </c>
      <c r="C48" s="91" t="s">
        <v>66</v>
      </c>
      <c r="D48" s="91" t="s">
        <v>34</v>
      </c>
      <c r="E48" s="99"/>
      <c r="F48" s="87"/>
      <c r="G48" s="215">
        <f>G49</f>
        <v>1633.3</v>
      </c>
    </row>
    <row r="49" spans="1:7" s="11" customFormat="1" ht="12.75">
      <c r="A49" s="98" t="s">
        <v>335</v>
      </c>
      <c r="B49" s="94" t="s">
        <v>244</v>
      </c>
      <c r="C49" s="95" t="s">
        <v>66</v>
      </c>
      <c r="D49" s="95" t="s">
        <v>66</v>
      </c>
      <c r="E49" s="97"/>
      <c r="F49" s="92"/>
      <c r="G49" s="218">
        <f>G53+G50</f>
        <v>1633.3</v>
      </c>
    </row>
    <row r="50" spans="1:7" s="11" customFormat="1" ht="22.5">
      <c r="A50" s="96" t="s">
        <v>333</v>
      </c>
      <c r="B50" s="94" t="s">
        <v>244</v>
      </c>
      <c r="C50" s="95" t="s">
        <v>66</v>
      </c>
      <c r="D50" s="95" t="s">
        <v>66</v>
      </c>
      <c r="E50" s="97" t="s">
        <v>94</v>
      </c>
      <c r="F50" s="92"/>
      <c r="G50" s="218">
        <f>G51</f>
        <v>1524.8</v>
      </c>
    </row>
    <row r="51" spans="1:7" s="11" customFormat="1" ht="22.5">
      <c r="A51" s="96" t="s">
        <v>610</v>
      </c>
      <c r="B51" s="94" t="s">
        <v>244</v>
      </c>
      <c r="C51" s="95" t="s">
        <v>66</v>
      </c>
      <c r="D51" s="95" t="s">
        <v>66</v>
      </c>
      <c r="E51" s="97" t="s">
        <v>91</v>
      </c>
      <c r="F51" s="92"/>
      <c r="G51" s="218">
        <f>G52</f>
        <v>1524.8</v>
      </c>
    </row>
    <row r="52" spans="1:7" s="11" customFormat="1" ht="22.5">
      <c r="A52" s="93" t="s">
        <v>134</v>
      </c>
      <c r="B52" s="94" t="s">
        <v>244</v>
      </c>
      <c r="C52" s="95" t="s">
        <v>66</v>
      </c>
      <c r="D52" s="95" t="s">
        <v>66</v>
      </c>
      <c r="E52" s="97" t="s">
        <v>91</v>
      </c>
      <c r="F52" s="92">
        <v>726</v>
      </c>
      <c r="G52" s="218">
        <f>384.8+1140</f>
        <v>1524.8</v>
      </c>
    </row>
    <row r="53" spans="1:7" s="11" customFormat="1" ht="22.5">
      <c r="A53" s="96" t="s">
        <v>95</v>
      </c>
      <c r="B53" s="94" t="s">
        <v>244</v>
      </c>
      <c r="C53" s="95" t="s">
        <v>66</v>
      </c>
      <c r="D53" s="95" t="s">
        <v>66</v>
      </c>
      <c r="E53" s="97">
        <v>600</v>
      </c>
      <c r="F53" s="92"/>
      <c r="G53" s="218">
        <f>G54</f>
        <v>108.5</v>
      </c>
    </row>
    <row r="54" spans="1:7" s="11" customFormat="1" ht="12.75">
      <c r="A54" s="96" t="s">
        <v>99</v>
      </c>
      <c r="B54" s="94" t="s">
        <v>244</v>
      </c>
      <c r="C54" s="95" t="s">
        <v>66</v>
      </c>
      <c r="D54" s="95" t="s">
        <v>66</v>
      </c>
      <c r="E54" s="97">
        <v>610</v>
      </c>
      <c r="F54" s="92"/>
      <c r="G54" s="218">
        <f>G55</f>
        <v>108.5</v>
      </c>
    </row>
    <row r="55" spans="1:7" s="11" customFormat="1" ht="22.5">
      <c r="A55" s="93" t="s">
        <v>133</v>
      </c>
      <c r="B55" s="94" t="s">
        <v>244</v>
      </c>
      <c r="C55" s="95" t="s">
        <v>66</v>
      </c>
      <c r="D55" s="95" t="s">
        <v>66</v>
      </c>
      <c r="E55" s="97" t="s">
        <v>100</v>
      </c>
      <c r="F55" s="92">
        <v>725</v>
      </c>
      <c r="G55" s="218">
        <v>108.5</v>
      </c>
    </row>
    <row r="56" spans="1:7" s="11" customFormat="1" ht="32.25">
      <c r="A56" s="127" t="s">
        <v>599</v>
      </c>
      <c r="B56" s="88" t="s">
        <v>600</v>
      </c>
      <c r="C56" s="99"/>
      <c r="D56" s="99"/>
      <c r="E56" s="97"/>
      <c r="F56" s="92"/>
      <c r="G56" s="215">
        <f>G57+G63</f>
        <v>117.19999999999999</v>
      </c>
    </row>
    <row r="57" spans="1:7" s="11" customFormat="1" ht="12.75">
      <c r="A57" s="128" t="s">
        <v>601</v>
      </c>
      <c r="B57" s="99" t="s">
        <v>602</v>
      </c>
      <c r="C57" s="99"/>
      <c r="D57" s="99"/>
      <c r="E57" s="97"/>
      <c r="F57" s="92"/>
      <c r="G57" s="215">
        <f>G58</f>
        <v>27.6</v>
      </c>
    </row>
    <row r="58" spans="1:7" s="11" customFormat="1" ht="12.75">
      <c r="A58" s="100" t="s">
        <v>59</v>
      </c>
      <c r="B58" s="99" t="s">
        <v>602</v>
      </c>
      <c r="C58" s="99" t="s">
        <v>68</v>
      </c>
      <c r="D58" s="99" t="s">
        <v>34</v>
      </c>
      <c r="E58" s="97"/>
      <c r="F58" s="92"/>
      <c r="G58" s="215">
        <f>G59</f>
        <v>27.6</v>
      </c>
    </row>
    <row r="59" spans="1:7" s="11" customFormat="1" ht="12.75">
      <c r="A59" s="129" t="s">
        <v>58</v>
      </c>
      <c r="B59" s="97" t="s">
        <v>602</v>
      </c>
      <c r="C59" s="97" t="s">
        <v>68</v>
      </c>
      <c r="D59" s="97" t="s">
        <v>67</v>
      </c>
      <c r="E59" s="97"/>
      <c r="F59" s="97"/>
      <c r="G59" s="218">
        <f>G60</f>
        <v>27.6</v>
      </c>
    </row>
    <row r="60" spans="1:7" s="11" customFormat="1" ht="12.75">
      <c r="A60" s="130" t="s">
        <v>101</v>
      </c>
      <c r="B60" s="97" t="s">
        <v>602</v>
      </c>
      <c r="C60" s="97" t="s">
        <v>68</v>
      </c>
      <c r="D60" s="97" t="s">
        <v>67</v>
      </c>
      <c r="E60" s="97" t="s">
        <v>102</v>
      </c>
      <c r="F60" s="97"/>
      <c r="G60" s="218">
        <f>G61</f>
        <v>27.6</v>
      </c>
    </row>
    <row r="61" spans="1:7" s="11" customFormat="1" ht="12.75">
      <c r="A61" s="130" t="s">
        <v>105</v>
      </c>
      <c r="B61" s="97" t="s">
        <v>602</v>
      </c>
      <c r="C61" s="97" t="s">
        <v>68</v>
      </c>
      <c r="D61" s="97" t="s">
        <v>67</v>
      </c>
      <c r="E61" s="97" t="s">
        <v>106</v>
      </c>
      <c r="F61" s="97"/>
      <c r="G61" s="218">
        <f>G62</f>
        <v>27.6</v>
      </c>
    </row>
    <row r="62" spans="1:8" s="11" customFormat="1" ht="12.75">
      <c r="A62" s="93" t="s">
        <v>130</v>
      </c>
      <c r="B62" s="97" t="s">
        <v>602</v>
      </c>
      <c r="C62" s="97" t="s">
        <v>68</v>
      </c>
      <c r="D62" s="97" t="s">
        <v>67</v>
      </c>
      <c r="E62" s="97" t="s">
        <v>106</v>
      </c>
      <c r="F62" s="97" t="s">
        <v>270</v>
      </c>
      <c r="G62" s="226">
        <v>27.6</v>
      </c>
      <c r="H62" s="220"/>
    </row>
    <row r="63" spans="1:7" s="11" customFormat="1" ht="21.75">
      <c r="A63" s="128" t="s">
        <v>603</v>
      </c>
      <c r="B63" s="99" t="s">
        <v>604</v>
      </c>
      <c r="C63" s="99"/>
      <c r="D63" s="97"/>
      <c r="E63" s="97"/>
      <c r="F63" s="97"/>
      <c r="G63" s="215">
        <f>G65</f>
        <v>89.6</v>
      </c>
    </row>
    <row r="64" spans="1:7" s="11" customFormat="1" ht="12.75">
      <c r="A64" s="100" t="s">
        <v>59</v>
      </c>
      <c r="B64" s="99" t="s">
        <v>604</v>
      </c>
      <c r="C64" s="99" t="s">
        <v>68</v>
      </c>
      <c r="D64" s="99" t="s">
        <v>34</v>
      </c>
      <c r="E64" s="97"/>
      <c r="F64" s="97"/>
      <c r="G64" s="215">
        <f>G65</f>
        <v>89.6</v>
      </c>
    </row>
    <row r="65" spans="1:7" s="11" customFormat="1" ht="12.75">
      <c r="A65" s="129" t="s">
        <v>58</v>
      </c>
      <c r="B65" s="97" t="s">
        <v>604</v>
      </c>
      <c r="C65" s="97" t="s">
        <v>68</v>
      </c>
      <c r="D65" s="97" t="s">
        <v>67</v>
      </c>
      <c r="E65" s="97"/>
      <c r="F65" s="97"/>
      <c r="G65" s="218">
        <f>G66</f>
        <v>89.6</v>
      </c>
    </row>
    <row r="66" spans="1:7" s="11" customFormat="1" ht="12.75">
      <c r="A66" s="130" t="s">
        <v>101</v>
      </c>
      <c r="B66" s="97" t="s">
        <v>604</v>
      </c>
      <c r="C66" s="97" t="s">
        <v>68</v>
      </c>
      <c r="D66" s="97" t="s">
        <v>67</v>
      </c>
      <c r="E66" s="97" t="s">
        <v>102</v>
      </c>
      <c r="F66" s="97"/>
      <c r="G66" s="218">
        <f>G67</f>
        <v>89.6</v>
      </c>
    </row>
    <row r="67" spans="1:7" s="11" customFormat="1" ht="12.75">
      <c r="A67" s="130" t="s">
        <v>105</v>
      </c>
      <c r="B67" s="97" t="s">
        <v>604</v>
      </c>
      <c r="C67" s="97" t="s">
        <v>68</v>
      </c>
      <c r="D67" s="97" t="s">
        <v>67</v>
      </c>
      <c r="E67" s="97" t="s">
        <v>106</v>
      </c>
      <c r="F67" s="97"/>
      <c r="G67" s="218">
        <f>G68</f>
        <v>89.6</v>
      </c>
    </row>
    <row r="68" spans="1:7" s="11" customFormat="1" ht="12.75">
      <c r="A68" s="93" t="s">
        <v>130</v>
      </c>
      <c r="B68" s="97" t="s">
        <v>604</v>
      </c>
      <c r="C68" s="97" t="s">
        <v>68</v>
      </c>
      <c r="D68" s="97" t="s">
        <v>67</v>
      </c>
      <c r="E68" s="97" t="s">
        <v>106</v>
      </c>
      <c r="F68" s="97" t="s">
        <v>270</v>
      </c>
      <c r="G68" s="226">
        <v>89.6</v>
      </c>
    </row>
    <row r="69" spans="1:7" s="60" customFormat="1" ht="42.75">
      <c r="A69" s="90" t="s">
        <v>722</v>
      </c>
      <c r="B69" s="88" t="s">
        <v>139</v>
      </c>
      <c r="C69" s="91"/>
      <c r="D69" s="91"/>
      <c r="E69" s="99"/>
      <c r="F69" s="87"/>
      <c r="G69" s="215">
        <f>G70+G82</f>
        <v>34297.799999999996</v>
      </c>
    </row>
    <row r="70" spans="1:7" s="60" customFormat="1" ht="21.75">
      <c r="A70" s="90" t="s">
        <v>199</v>
      </c>
      <c r="B70" s="88" t="s">
        <v>231</v>
      </c>
      <c r="C70" s="91"/>
      <c r="D70" s="91"/>
      <c r="E70" s="99"/>
      <c r="F70" s="87"/>
      <c r="G70" s="215">
        <f aca="true" t="shared" si="1" ref="G70:G75">G71</f>
        <v>5332.9</v>
      </c>
    </row>
    <row r="71" spans="1:7" s="60" customFormat="1" ht="12.75">
      <c r="A71" s="100" t="s">
        <v>332</v>
      </c>
      <c r="B71" s="88" t="s">
        <v>328</v>
      </c>
      <c r="C71" s="91"/>
      <c r="D71" s="91"/>
      <c r="E71" s="99"/>
      <c r="F71" s="87"/>
      <c r="G71" s="215">
        <f>G72+G77</f>
        <v>5332.9</v>
      </c>
    </row>
    <row r="72" spans="1:7" s="60" customFormat="1" ht="12.75">
      <c r="A72" s="101" t="s">
        <v>128</v>
      </c>
      <c r="B72" s="88" t="s">
        <v>328</v>
      </c>
      <c r="C72" s="91" t="s">
        <v>69</v>
      </c>
      <c r="D72" s="91" t="s">
        <v>34</v>
      </c>
      <c r="E72" s="99"/>
      <c r="F72" s="87"/>
      <c r="G72" s="215">
        <f t="shared" si="1"/>
        <v>4475</v>
      </c>
    </row>
    <row r="73" spans="1:7" s="11" customFormat="1" ht="12.75">
      <c r="A73" s="96" t="s">
        <v>127</v>
      </c>
      <c r="B73" s="94" t="s">
        <v>328</v>
      </c>
      <c r="C73" s="95" t="s">
        <v>69</v>
      </c>
      <c r="D73" s="95" t="s">
        <v>63</v>
      </c>
      <c r="E73" s="97"/>
      <c r="F73" s="92"/>
      <c r="G73" s="218">
        <f t="shared" si="1"/>
        <v>4475</v>
      </c>
    </row>
    <row r="74" spans="1:7" s="11" customFormat="1" ht="22.5">
      <c r="A74" s="96" t="s">
        <v>333</v>
      </c>
      <c r="B74" s="94" t="s">
        <v>328</v>
      </c>
      <c r="C74" s="95" t="s">
        <v>69</v>
      </c>
      <c r="D74" s="95" t="s">
        <v>63</v>
      </c>
      <c r="E74" s="97" t="s">
        <v>94</v>
      </c>
      <c r="F74" s="92"/>
      <c r="G74" s="218">
        <f t="shared" si="1"/>
        <v>4475</v>
      </c>
    </row>
    <row r="75" spans="1:7" s="11" customFormat="1" ht="22.5">
      <c r="A75" s="96" t="s">
        <v>610</v>
      </c>
      <c r="B75" s="94" t="s">
        <v>328</v>
      </c>
      <c r="C75" s="95" t="s">
        <v>69</v>
      </c>
      <c r="D75" s="95" t="s">
        <v>63</v>
      </c>
      <c r="E75" s="97" t="s">
        <v>91</v>
      </c>
      <c r="F75" s="92"/>
      <c r="G75" s="218">
        <f t="shared" si="1"/>
        <v>4475</v>
      </c>
    </row>
    <row r="76" spans="1:7" s="11" customFormat="1" ht="22.5">
      <c r="A76" s="96" t="s">
        <v>320</v>
      </c>
      <c r="B76" s="94" t="s">
        <v>328</v>
      </c>
      <c r="C76" s="95" t="s">
        <v>69</v>
      </c>
      <c r="D76" s="95" t="s">
        <v>63</v>
      </c>
      <c r="E76" s="97" t="s">
        <v>91</v>
      </c>
      <c r="F76" s="92">
        <v>727</v>
      </c>
      <c r="G76" s="218">
        <f>6216.4-1741.4</f>
        <v>4475</v>
      </c>
    </row>
    <row r="77" spans="1:7" s="11" customFormat="1" ht="12.75">
      <c r="A77" s="100" t="s">
        <v>59</v>
      </c>
      <c r="B77" s="94" t="s">
        <v>328</v>
      </c>
      <c r="C77" s="91" t="s">
        <v>68</v>
      </c>
      <c r="D77" s="91" t="s">
        <v>34</v>
      </c>
      <c r="E77" s="97"/>
      <c r="F77" s="92"/>
      <c r="G77" s="218">
        <f>G78</f>
        <v>857.9</v>
      </c>
    </row>
    <row r="78" spans="1:7" s="11" customFormat="1" ht="12.75">
      <c r="A78" s="129" t="s">
        <v>58</v>
      </c>
      <c r="B78" s="94" t="s">
        <v>328</v>
      </c>
      <c r="C78" s="95" t="s">
        <v>68</v>
      </c>
      <c r="D78" s="95" t="s">
        <v>67</v>
      </c>
      <c r="E78" s="97"/>
      <c r="F78" s="92"/>
      <c r="G78" s="218">
        <f>G79</f>
        <v>857.9</v>
      </c>
    </row>
    <row r="79" spans="1:7" s="11" customFormat="1" ht="12.75">
      <c r="A79" s="96" t="s">
        <v>110</v>
      </c>
      <c r="B79" s="94" t="s">
        <v>328</v>
      </c>
      <c r="C79" s="95" t="s">
        <v>68</v>
      </c>
      <c r="D79" s="95" t="s">
        <v>67</v>
      </c>
      <c r="E79" s="97" t="s">
        <v>111</v>
      </c>
      <c r="F79" s="92"/>
      <c r="G79" s="218">
        <f>G80</f>
        <v>857.9</v>
      </c>
    </row>
    <row r="80" spans="1:7" s="11" customFormat="1" ht="12.75">
      <c r="A80" s="96" t="s">
        <v>113</v>
      </c>
      <c r="B80" s="94" t="s">
        <v>328</v>
      </c>
      <c r="C80" s="95" t="s">
        <v>68</v>
      </c>
      <c r="D80" s="95" t="s">
        <v>67</v>
      </c>
      <c r="E80" s="97" t="s">
        <v>114</v>
      </c>
      <c r="F80" s="92"/>
      <c r="G80" s="218">
        <f>G81</f>
        <v>857.9</v>
      </c>
    </row>
    <row r="81" spans="1:7" s="11" customFormat="1" ht="12.75">
      <c r="A81" s="96" t="s">
        <v>130</v>
      </c>
      <c r="B81" s="94" t="s">
        <v>328</v>
      </c>
      <c r="C81" s="95" t="s">
        <v>68</v>
      </c>
      <c r="D81" s="95" t="s">
        <v>67</v>
      </c>
      <c r="E81" s="97" t="s">
        <v>114</v>
      </c>
      <c r="F81" s="92">
        <v>721</v>
      </c>
      <c r="G81" s="218">
        <v>857.9</v>
      </c>
    </row>
    <row r="82" spans="1:8" s="11" customFormat="1" ht="42.75">
      <c r="A82" s="90" t="s">
        <v>748</v>
      </c>
      <c r="B82" s="88" t="s">
        <v>682</v>
      </c>
      <c r="C82" s="91"/>
      <c r="D82" s="91"/>
      <c r="E82" s="99"/>
      <c r="F82" s="87"/>
      <c r="G82" s="215">
        <f>G83+G92</f>
        <v>28964.899999999998</v>
      </c>
      <c r="H82" s="221"/>
    </row>
    <row r="83" spans="1:7" s="11" customFormat="1" ht="42.75">
      <c r="A83" s="90" t="s">
        <v>754</v>
      </c>
      <c r="B83" s="88" t="s">
        <v>698</v>
      </c>
      <c r="C83" s="91"/>
      <c r="D83" s="91"/>
      <c r="E83" s="99"/>
      <c r="F83" s="87"/>
      <c r="G83" s="215">
        <f>G84</f>
        <v>28385.6</v>
      </c>
    </row>
    <row r="84" spans="1:7" s="11" customFormat="1" ht="12.75">
      <c r="A84" s="100" t="s">
        <v>59</v>
      </c>
      <c r="B84" s="88" t="s">
        <v>698</v>
      </c>
      <c r="C84" s="91" t="s">
        <v>68</v>
      </c>
      <c r="D84" s="91" t="s">
        <v>34</v>
      </c>
      <c r="E84" s="99"/>
      <c r="F84" s="87"/>
      <c r="G84" s="215">
        <f>G85</f>
        <v>28385.6</v>
      </c>
    </row>
    <row r="85" spans="1:7" s="11" customFormat="1" ht="12.75">
      <c r="A85" s="129" t="s">
        <v>58</v>
      </c>
      <c r="B85" s="94" t="s">
        <v>698</v>
      </c>
      <c r="C85" s="95" t="s">
        <v>68</v>
      </c>
      <c r="D85" s="95" t="s">
        <v>67</v>
      </c>
      <c r="E85" s="97"/>
      <c r="F85" s="92"/>
      <c r="G85" s="218">
        <f>G86+G89</f>
        <v>28385.6</v>
      </c>
    </row>
    <row r="86" spans="1:7" s="11" customFormat="1" ht="22.5">
      <c r="A86" s="96" t="s">
        <v>333</v>
      </c>
      <c r="B86" s="94" t="s">
        <v>698</v>
      </c>
      <c r="C86" s="95" t="s">
        <v>68</v>
      </c>
      <c r="D86" s="95" t="s">
        <v>67</v>
      </c>
      <c r="E86" s="97" t="s">
        <v>94</v>
      </c>
      <c r="F86" s="92"/>
      <c r="G86" s="218">
        <f>G87</f>
        <v>14653.3</v>
      </c>
    </row>
    <row r="87" spans="1:7" s="11" customFormat="1" ht="22.5">
      <c r="A87" s="96" t="s">
        <v>610</v>
      </c>
      <c r="B87" s="94" t="s">
        <v>698</v>
      </c>
      <c r="C87" s="95" t="s">
        <v>68</v>
      </c>
      <c r="D87" s="95" t="s">
        <v>67</v>
      </c>
      <c r="E87" s="97" t="s">
        <v>91</v>
      </c>
      <c r="F87" s="92"/>
      <c r="G87" s="218">
        <f>G88</f>
        <v>14653.3</v>
      </c>
    </row>
    <row r="88" spans="1:7" s="11" customFormat="1" ht="12.75">
      <c r="A88" s="96" t="s">
        <v>130</v>
      </c>
      <c r="B88" s="94" t="s">
        <v>698</v>
      </c>
      <c r="C88" s="95" t="s">
        <v>68</v>
      </c>
      <c r="D88" s="95" t="s">
        <v>67</v>
      </c>
      <c r="E88" s="97" t="s">
        <v>91</v>
      </c>
      <c r="F88" s="92">
        <v>721</v>
      </c>
      <c r="G88" s="218">
        <f>5241.8+8573.8+837.7</f>
        <v>14653.3</v>
      </c>
    </row>
    <row r="89" spans="1:7" s="11" customFormat="1" ht="12.75">
      <c r="A89" s="96" t="s">
        <v>110</v>
      </c>
      <c r="B89" s="94" t="s">
        <v>698</v>
      </c>
      <c r="C89" s="95" t="s">
        <v>68</v>
      </c>
      <c r="D89" s="95" t="s">
        <v>67</v>
      </c>
      <c r="E89" s="97" t="s">
        <v>111</v>
      </c>
      <c r="F89" s="92"/>
      <c r="G89" s="218">
        <f>G90</f>
        <v>13732.3</v>
      </c>
    </row>
    <row r="90" spans="1:7" s="11" customFormat="1" ht="12.75">
      <c r="A90" s="96" t="s">
        <v>113</v>
      </c>
      <c r="B90" s="94" t="s">
        <v>698</v>
      </c>
      <c r="C90" s="95" t="s">
        <v>68</v>
      </c>
      <c r="D90" s="95" t="s">
        <v>67</v>
      </c>
      <c r="E90" s="97" t="s">
        <v>114</v>
      </c>
      <c r="F90" s="92"/>
      <c r="G90" s="218">
        <f>G91</f>
        <v>13732.3</v>
      </c>
    </row>
    <row r="91" spans="1:7" s="11" customFormat="1" ht="12.75">
      <c r="A91" s="96" t="s">
        <v>130</v>
      </c>
      <c r="B91" s="94" t="s">
        <v>698</v>
      </c>
      <c r="C91" s="95" t="s">
        <v>68</v>
      </c>
      <c r="D91" s="95" t="s">
        <v>67</v>
      </c>
      <c r="E91" s="97" t="s">
        <v>114</v>
      </c>
      <c r="F91" s="92">
        <v>721</v>
      </c>
      <c r="G91" s="218">
        <f>23143.8-9411.5</f>
        <v>13732.3</v>
      </c>
    </row>
    <row r="92" spans="1:7" s="11" customFormat="1" ht="32.25">
      <c r="A92" s="90" t="s">
        <v>683</v>
      </c>
      <c r="B92" s="88" t="s">
        <v>699</v>
      </c>
      <c r="C92" s="91"/>
      <c r="D92" s="91"/>
      <c r="E92" s="99"/>
      <c r="F92" s="87"/>
      <c r="G92" s="215">
        <f>G93</f>
        <v>579.3</v>
      </c>
    </row>
    <row r="93" spans="1:7" s="11" customFormat="1" ht="12.75">
      <c r="A93" s="100" t="s">
        <v>59</v>
      </c>
      <c r="B93" s="88" t="s">
        <v>699</v>
      </c>
      <c r="C93" s="91" t="s">
        <v>68</v>
      </c>
      <c r="D93" s="91" t="s">
        <v>34</v>
      </c>
      <c r="E93" s="99"/>
      <c r="F93" s="87"/>
      <c r="G93" s="215">
        <f>G94</f>
        <v>579.3</v>
      </c>
    </row>
    <row r="94" spans="1:7" s="11" customFormat="1" ht="12.75">
      <c r="A94" s="129" t="s">
        <v>58</v>
      </c>
      <c r="B94" s="94" t="s">
        <v>699</v>
      </c>
      <c r="C94" s="95" t="s">
        <v>68</v>
      </c>
      <c r="D94" s="95" t="s">
        <v>67</v>
      </c>
      <c r="E94" s="97"/>
      <c r="F94" s="92"/>
      <c r="G94" s="218">
        <f>G95+G98</f>
        <v>579.3</v>
      </c>
    </row>
    <row r="95" spans="1:7" s="11" customFormat="1" ht="22.5">
      <c r="A95" s="96" t="s">
        <v>333</v>
      </c>
      <c r="B95" s="94" t="s">
        <v>699</v>
      </c>
      <c r="C95" s="95" t="s">
        <v>68</v>
      </c>
      <c r="D95" s="95" t="s">
        <v>67</v>
      </c>
      <c r="E95" s="97" t="s">
        <v>94</v>
      </c>
      <c r="F95" s="92"/>
      <c r="G95" s="218">
        <f>G96</f>
        <v>299</v>
      </c>
    </row>
    <row r="96" spans="1:7" s="11" customFormat="1" ht="22.5">
      <c r="A96" s="96" t="s">
        <v>610</v>
      </c>
      <c r="B96" s="94" t="s">
        <v>699</v>
      </c>
      <c r="C96" s="95" t="s">
        <v>68</v>
      </c>
      <c r="D96" s="95" t="s">
        <v>67</v>
      </c>
      <c r="E96" s="97" t="s">
        <v>91</v>
      </c>
      <c r="F96" s="92"/>
      <c r="G96" s="218">
        <f>G97</f>
        <v>299</v>
      </c>
    </row>
    <row r="97" spans="1:7" s="11" customFormat="1" ht="12.75">
      <c r="A97" s="96" t="s">
        <v>130</v>
      </c>
      <c r="B97" s="94" t="s">
        <v>699</v>
      </c>
      <c r="C97" s="95" t="s">
        <v>68</v>
      </c>
      <c r="D97" s="95" t="s">
        <v>67</v>
      </c>
      <c r="E97" s="97" t="s">
        <v>91</v>
      </c>
      <c r="F97" s="92">
        <v>721</v>
      </c>
      <c r="G97" s="218">
        <f>107+175+17</f>
        <v>299</v>
      </c>
    </row>
    <row r="98" spans="1:7" s="11" customFormat="1" ht="12.75">
      <c r="A98" s="96" t="s">
        <v>110</v>
      </c>
      <c r="B98" s="94" t="s">
        <v>699</v>
      </c>
      <c r="C98" s="95" t="s">
        <v>68</v>
      </c>
      <c r="D98" s="95" t="s">
        <v>67</v>
      </c>
      <c r="E98" s="97" t="s">
        <v>111</v>
      </c>
      <c r="F98" s="92"/>
      <c r="G98" s="218">
        <f>G99</f>
        <v>280.3</v>
      </c>
    </row>
    <row r="99" spans="1:7" s="11" customFormat="1" ht="12.75">
      <c r="A99" s="96" t="s">
        <v>113</v>
      </c>
      <c r="B99" s="94" t="s">
        <v>699</v>
      </c>
      <c r="C99" s="95" t="s">
        <v>68</v>
      </c>
      <c r="D99" s="95" t="s">
        <v>67</v>
      </c>
      <c r="E99" s="97" t="s">
        <v>114</v>
      </c>
      <c r="F99" s="92"/>
      <c r="G99" s="218">
        <f>G100</f>
        <v>280.3</v>
      </c>
    </row>
    <row r="100" spans="1:7" s="11" customFormat="1" ht="12.75">
      <c r="A100" s="96" t="s">
        <v>130</v>
      </c>
      <c r="B100" s="94" t="s">
        <v>699</v>
      </c>
      <c r="C100" s="95" t="s">
        <v>68</v>
      </c>
      <c r="D100" s="95" t="s">
        <v>67</v>
      </c>
      <c r="E100" s="97" t="s">
        <v>114</v>
      </c>
      <c r="F100" s="92">
        <v>721</v>
      </c>
      <c r="G100" s="218">
        <f>472.3-175-17</f>
        <v>280.3</v>
      </c>
    </row>
    <row r="101" spans="1:7" s="11" customFormat="1" ht="21.75">
      <c r="A101" s="90" t="s">
        <v>723</v>
      </c>
      <c r="B101" s="88" t="s">
        <v>151</v>
      </c>
      <c r="C101" s="91"/>
      <c r="D101" s="91"/>
      <c r="E101" s="97"/>
      <c r="F101" s="92"/>
      <c r="G101" s="215">
        <f>G102</f>
        <v>423.8</v>
      </c>
    </row>
    <row r="102" spans="1:7" s="11" customFormat="1" ht="21.75">
      <c r="A102" s="90" t="s">
        <v>188</v>
      </c>
      <c r="B102" s="88" t="s">
        <v>241</v>
      </c>
      <c r="C102" s="91"/>
      <c r="D102" s="91"/>
      <c r="E102" s="97"/>
      <c r="F102" s="92"/>
      <c r="G102" s="215">
        <f>G103+G112</f>
        <v>423.8</v>
      </c>
    </row>
    <row r="103" spans="1:7" s="11" customFormat="1" ht="12.75">
      <c r="A103" s="90" t="s">
        <v>152</v>
      </c>
      <c r="B103" s="88" t="s">
        <v>242</v>
      </c>
      <c r="C103" s="91"/>
      <c r="D103" s="91"/>
      <c r="E103" s="97"/>
      <c r="F103" s="92"/>
      <c r="G103" s="215">
        <f>G104</f>
        <v>341.8</v>
      </c>
    </row>
    <row r="104" spans="1:7" s="11" customFormat="1" ht="12.75">
      <c r="A104" s="90" t="s">
        <v>8</v>
      </c>
      <c r="B104" s="88" t="s">
        <v>242</v>
      </c>
      <c r="C104" s="91" t="s">
        <v>66</v>
      </c>
      <c r="D104" s="91" t="s">
        <v>34</v>
      </c>
      <c r="E104" s="97"/>
      <c r="F104" s="92"/>
      <c r="G104" s="215">
        <f>G105</f>
        <v>341.8</v>
      </c>
    </row>
    <row r="105" spans="1:7" s="11" customFormat="1" ht="12.75">
      <c r="A105" s="93" t="s">
        <v>336</v>
      </c>
      <c r="B105" s="94" t="s">
        <v>242</v>
      </c>
      <c r="C105" s="95" t="s">
        <v>66</v>
      </c>
      <c r="D105" s="95" t="s">
        <v>66</v>
      </c>
      <c r="E105" s="97"/>
      <c r="F105" s="92"/>
      <c r="G105" s="218">
        <f>G106+G109</f>
        <v>341.8</v>
      </c>
    </row>
    <row r="106" spans="1:7" s="11" customFormat="1" ht="22.5">
      <c r="A106" s="96" t="s">
        <v>333</v>
      </c>
      <c r="B106" s="94" t="s">
        <v>242</v>
      </c>
      <c r="C106" s="95" t="s">
        <v>66</v>
      </c>
      <c r="D106" s="95" t="s">
        <v>66</v>
      </c>
      <c r="E106" s="97" t="s">
        <v>94</v>
      </c>
      <c r="F106" s="92"/>
      <c r="G106" s="218">
        <f>G107</f>
        <v>26.3</v>
      </c>
    </row>
    <row r="107" spans="1:7" s="11" customFormat="1" ht="22.15" customHeight="1">
      <c r="A107" s="96" t="s">
        <v>610</v>
      </c>
      <c r="B107" s="94" t="s">
        <v>242</v>
      </c>
      <c r="C107" s="95" t="s">
        <v>66</v>
      </c>
      <c r="D107" s="95" t="s">
        <v>66</v>
      </c>
      <c r="E107" s="97" t="s">
        <v>91</v>
      </c>
      <c r="F107" s="92"/>
      <c r="G107" s="218">
        <f>G108</f>
        <v>26.3</v>
      </c>
    </row>
    <row r="108" spans="1:7" s="11" customFormat="1" ht="22.5">
      <c r="A108" s="93" t="s">
        <v>133</v>
      </c>
      <c r="B108" s="94" t="s">
        <v>242</v>
      </c>
      <c r="C108" s="95" t="s">
        <v>66</v>
      </c>
      <c r="D108" s="95" t="s">
        <v>66</v>
      </c>
      <c r="E108" s="97" t="s">
        <v>91</v>
      </c>
      <c r="F108" s="92">
        <v>725</v>
      </c>
      <c r="G108" s="218">
        <v>26.3</v>
      </c>
    </row>
    <row r="109" spans="1:7" s="11" customFormat="1" ht="12.75">
      <c r="A109" s="96" t="s">
        <v>101</v>
      </c>
      <c r="B109" s="94" t="s">
        <v>242</v>
      </c>
      <c r="C109" s="97" t="s">
        <v>66</v>
      </c>
      <c r="D109" s="97" t="s">
        <v>66</v>
      </c>
      <c r="E109" s="97" t="s">
        <v>102</v>
      </c>
      <c r="F109" s="92"/>
      <c r="G109" s="218">
        <f>G110</f>
        <v>315.5</v>
      </c>
    </row>
    <row r="110" spans="1:7" s="11" customFormat="1" ht="12.75">
      <c r="A110" s="96" t="s">
        <v>124</v>
      </c>
      <c r="B110" s="94" t="s">
        <v>242</v>
      </c>
      <c r="C110" s="97" t="s">
        <v>66</v>
      </c>
      <c r="D110" s="97" t="s">
        <v>66</v>
      </c>
      <c r="E110" s="97" t="s">
        <v>123</v>
      </c>
      <c r="F110" s="92"/>
      <c r="G110" s="218">
        <f>G111</f>
        <v>315.5</v>
      </c>
    </row>
    <row r="111" spans="1:7" s="11" customFormat="1" ht="22.5">
      <c r="A111" s="93" t="s">
        <v>133</v>
      </c>
      <c r="B111" s="94" t="s">
        <v>242</v>
      </c>
      <c r="C111" s="97" t="s">
        <v>66</v>
      </c>
      <c r="D111" s="97" t="s">
        <v>66</v>
      </c>
      <c r="E111" s="97" t="s">
        <v>123</v>
      </c>
      <c r="F111" s="92">
        <v>725</v>
      </c>
      <c r="G111" s="218">
        <v>315.5</v>
      </c>
    </row>
    <row r="112" spans="1:7" s="60" customFormat="1" ht="12.75">
      <c r="A112" s="101" t="s">
        <v>305</v>
      </c>
      <c r="B112" s="88" t="s">
        <v>352</v>
      </c>
      <c r="C112" s="99"/>
      <c r="D112" s="99"/>
      <c r="E112" s="99"/>
      <c r="F112" s="87"/>
      <c r="G112" s="215">
        <f>G117</f>
        <v>82</v>
      </c>
    </row>
    <row r="113" spans="1:7" s="11" customFormat="1" ht="12.75">
      <c r="A113" s="90" t="s">
        <v>8</v>
      </c>
      <c r="B113" s="88" t="s">
        <v>352</v>
      </c>
      <c r="C113" s="91" t="s">
        <v>66</v>
      </c>
      <c r="D113" s="91" t="s">
        <v>34</v>
      </c>
      <c r="E113" s="97"/>
      <c r="F113" s="92"/>
      <c r="G113" s="215">
        <f>G114</f>
        <v>82</v>
      </c>
    </row>
    <row r="114" spans="1:7" s="11" customFormat="1" ht="12.75">
      <c r="A114" s="93" t="s">
        <v>336</v>
      </c>
      <c r="B114" s="94" t="s">
        <v>352</v>
      </c>
      <c r="C114" s="95" t="s">
        <v>66</v>
      </c>
      <c r="D114" s="95" t="s">
        <v>66</v>
      </c>
      <c r="E114" s="97"/>
      <c r="F114" s="92"/>
      <c r="G114" s="218">
        <f>G115</f>
        <v>82</v>
      </c>
    </row>
    <row r="115" spans="1:7" s="11" customFormat="1" ht="22.5">
      <c r="A115" s="96" t="s">
        <v>333</v>
      </c>
      <c r="B115" s="94" t="s">
        <v>352</v>
      </c>
      <c r="C115" s="97" t="s">
        <v>66</v>
      </c>
      <c r="D115" s="97" t="s">
        <v>66</v>
      </c>
      <c r="E115" s="97" t="s">
        <v>94</v>
      </c>
      <c r="F115" s="92"/>
      <c r="G115" s="218">
        <f>G116</f>
        <v>82</v>
      </c>
    </row>
    <row r="116" spans="1:7" s="11" customFormat="1" ht="23.25" customHeight="1">
      <c r="A116" s="96" t="s">
        <v>610</v>
      </c>
      <c r="B116" s="94" t="s">
        <v>352</v>
      </c>
      <c r="C116" s="97" t="s">
        <v>66</v>
      </c>
      <c r="D116" s="97" t="s">
        <v>66</v>
      </c>
      <c r="E116" s="97" t="s">
        <v>91</v>
      </c>
      <c r="F116" s="92"/>
      <c r="G116" s="218">
        <f>G117</f>
        <v>82</v>
      </c>
    </row>
    <row r="117" spans="1:7" s="11" customFormat="1" ht="22.5">
      <c r="A117" s="93" t="s">
        <v>133</v>
      </c>
      <c r="B117" s="94" t="s">
        <v>352</v>
      </c>
      <c r="C117" s="97" t="s">
        <v>66</v>
      </c>
      <c r="D117" s="97" t="s">
        <v>66</v>
      </c>
      <c r="E117" s="97" t="s">
        <v>91</v>
      </c>
      <c r="F117" s="92">
        <v>725</v>
      </c>
      <c r="G117" s="218">
        <v>82</v>
      </c>
    </row>
    <row r="118" spans="1:7" s="11" customFormat="1" ht="21.75" customHeight="1">
      <c r="A118" s="90" t="s">
        <v>724</v>
      </c>
      <c r="B118" s="88" t="s">
        <v>166</v>
      </c>
      <c r="C118" s="95"/>
      <c r="D118" s="95"/>
      <c r="E118" s="97"/>
      <c r="F118" s="92"/>
      <c r="G118" s="215">
        <f>G119+G132+G148+G155</f>
        <v>1954.6999999999998</v>
      </c>
    </row>
    <row r="119" spans="1:7" s="60" customFormat="1" ht="21" customHeight="1">
      <c r="A119" s="90" t="s">
        <v>313</v>
      </c>
      <c r="B119" s="88" t="s">
        <v>256</v>
      </c>
      <c r="C119" s="91"/>
      <c r="D119" s="91"/>
      <c r="E119" s="99"/>
      <c r="F119" s="87"/>
      <c r="G119" s="215">
        <f>G126+G120</f>
        <v>51.4</v>
      </c>
    </row>
    <row r="120" spans="1:7" s="60" customFormat="1" ht="15" customHeight="1">
      <c r="A120" s="96" t="s">
        <v>526</v>
      </c>
      <c r="B120" s="99" t="s">
        <v>314</v>
      </c>
      <c r="C120" s="99"/>
      <c r="D120" s="99"/>
      <c r="E120" s="99"/>
      <c r="F120" s="87"/>
      <c r="G120" s="215">
        <f>G121</f>
        <v>41.4</v>
      </c>
    </row>
    <row r="121" spans="1:7" s="60" customFormat="1" ht="13.15" customHeight="1">
      <c r="A121" s="100" t="s">
        <v>122</v>
      </c>
      <c r="B121" s="99" t="s">
        <v>314</v>
      </c>
      <c r="C121" s="99" t="s">
        <v>70</v>
      </c>
      <c r="D121" s="99" t="s">
        <v>34</v>
      </c>
      <c r="E121" s="99"/>
      <c r="F121" s="87"/>
      <c r="G121" s="215">
        <f>G122</f>
        <v>41.4</v>
      </c>
    </row>
    <row r="122" spans="1:7" s="11" customFormat="1" ht="12.75" customHeight="1">
      <c r="A122" s="96" t="s">
        <v>12</v>
      </c>
      <c r="B122" s="97" t="s">
        <v>314</v>
      </c>
      <c r="C122" s="97" t="s">
        <v>70</v>
      </c>
      <c r="D122" s="97" t="s">
        <v>63</v>
      </c>
      <c r="E122" s="97"/>
      <c r="F122" s="92"/>
      <c r="G122" s="218">
        <f>G123</f>
        <v>41.4</v>
      </c>
    </row>
    <row r="123" spans="1:7" s="11" customFormat="1" ht="24.75" customHeight="1">
      <c r="A123" s="96" t="s">
        <v>95</v>
      </c>
      <c r="B123" s="97" t="s">
        <v>314</v>
      </c>
      <c r="C123" s="97" t="s">
        <v>70</v>
      </c>
      <c r="D123" s="97" t="s">
        <v>63</v>
      </c>
      <c r="E123" s="97" t="s">
        <v>96</v>
      </c>
      <c r="F123" s="92"/>
      <c r="G123" s="218">
        <f>G124</f>
        <v>41.4</v>
      </c>
    </row>
    <row r="124" spans="1:7" s="11" customFormat="1" ht="12.75" customHeight="1">
      <c r="A124" s="96" t="s">
        <v>99</v>
      </c>
      <c r="B124" s="97" t="s">
        <v>314</v>
      </c>
      <c r="C124" s="97" t="s">
        <v>70</v>
      </c>
      <c r="D124" s="97" t="s">
        <v>63</v>
      </c>
      <c r="E124" s="97" t="s">
        <v>100</v>
      </c>
      <c r="F124" s="92"/>
      <c r="G124" s="218">
        <f>G125</f>
        <v>41.4</v>
      </c>
    </row>
    <row r="125" spans="1:7" s="11" customFormat="1" ht="23.25" customHeight="1">
      <c r="A125" s="93" t="s">
        <v>134</v>
      </c>
      <c r="B125" s="97" t="s">
        <v>314</v>
      </c>
      <c r="C125" s="97" t="s">
        <v>70</v>
      </c>
      <c r="D125" s="97" t="s">
        <v>63</v>
      </c>
      <c r="E125" s="97" t="s">
        <v>100</v>
      </c>
      <c r="F125" s="92">
        <v>726</v>
      </c>
      <c r="G125" s="218">
        <v>41.4</v>
      </c>
    </row>
    <row r="126" spans="1:7" s="11" customFormat="1" ht="22.5" customHeight="1">
      <c r="A126" s="96" t="s">
        <v>412</v>
      </c>
      <c r="B126" s="97" t="s">
        <v>315</v>
      </c>
      <c r="C126" s="95"/>
      <c r="D126" s="95"/>
      <c r="E126" s="97"/>
      <c r="F126" s="92"/>
      <c r="G126" s="215">
        <f>G127</f>
        <v>10</v>
      </c>
    </row>
    <row r="127" spans="1:7" s="11" customFormat="1" ht="16.15" customHeight="1">
      <c r="A127" s="90" t="s">
        <v>122</v>
      </c>
      <c r="B127" s="97" t="s">
        <v>315</v>
      </c>
      <c r="C127" s="95" t="s">
        <v>70</v>
      </c>
      <c r="D127" s="95" t="s">
        <v>34</v>
      </c>
      <c r="E127" s="97"/>
      <c r="F127" s="92"/>
      <c r="G127" s="215">
        <f>G128</f>
        <v>10</v>
      </c>
    </row>
    <row r="128" spans="1:7" s="11" customFormat="1" ht="13.5" customHeight="1">
      <c r="A128" s="93" t="s">
        <v>12</v>
      </c>
      <c r="B128" s="97" t="s">
        <v>315</v>
      </c>
      <c r="C128" s="95" t="s">
        <v>70</v>
      </c>
      <c r="D128" s="95" t="s">
        <v>63</v>
      </c>
      <c r="E128" s="97"/>
      <c r="F128" s="92"/>
      <c r="G128" s="218">
        <f>G129</f>
        <v>10</v>
      </c>
    </row>
    <row r="129" spans="1:7" s="11" customFormat="1" ht="24" customHeight="1">
      <c r="A129" s="96" t="s">
        <v>95</v>
      </c>
      <c r="B129" s="97" t="s">
        <v>315</v>
      </c>
      <c r="C129" s="95" t="s">
        <v>70</v>
      </c>
      <c r="D129" s="95" t="s">
        <v>63</v>
      </c>
      <c r="E129" s="97" t="s">
        <v>96</v>
      </c>
      <c r="F129" s="92"/>
      <c r="G129" s="218">
        <f>G130</f>
        <v>10</v>
      </c>
    </row>
    <row r="130" spans="1:7" s="11" customFormat="1" ht="12.75" customHeight="1">
      <c r="A130" s="96" t="s">
        <v>99</v>
      </c>
      <c r="B130" s="97" t="s">
        <v>315</v>
      </c>
      <c r="C130" s="95" t="s">
        <v>70</v>
      </c>
      <c r="D130" s="95" t="s">
        <v>63</v>
      </c>
      <c r="E130" s="97" t="s">
        <v>100</v>
      </c>
      <c r="F130" s="92"/>
      <c r="G130" s="218">
        <f>G131</f>
        <v>10</v>
      </c>
    </row>
    <row r="131" spans="1:7" s="11" customFormat="1" ht="24.75" customHeight="1">
      <c r="A131" s="93" t="s">
        <v>134</v>
      </c>
      <c r="B131" s="97" t="s">
        <v>315</v>
      </c>
      <c r="C131" s="95" t="s">
        <v>70</v>
      </c>
      <c r="D131" s="95" t="s">
        <v>63</v>
      </c>
      <c r="E131" s="97" t="s">
        <v>100</v>
      </c>
      <c r="F131" s="92">
        <v>726</v>
      </c>
      <c r="G131" s="218">
        <v>10</v>
      </c>
    </row>
    <row r="132" spans="1:7" s="11" customFormat="1" ht="21.75" customHeight="1">
      <c r="A132" s="90" t="s">
        <v>711</v>
      </c>
      <c r="B132" s="88" t="s">
        <v>318</v>
      </c>
      <c r="C132" s="95"/>
      <c r="D132" s="95"/>
      <c r="E132" s="97"/>
      <c r="F132" s="92"/>
      <c r="G132" s="215">
        <f>G133+G139</f>
        <v>336.1</v>
      </c>
    </row>
    <row r="133" spans="1:7" s="60" customFormat="1" ht="13.5" customHeight="1">
      <c r="A133" s="100" t="s">
        <v>359</v>
      </c>
      <c r="B133" s="88" t="s">
        <v>360</v>
      </c>
      <c r="C133" s="91"/>
      <c r="D133" s="91"/>
      <c r="E133" s="99"/>
      <c r="F133" s="87"/>
      <c r="G133" s="215">
        <f>G134</f>
        <v>74.5</v>
      </c>
    </row>
    <row r="134" spans="1:7" s="60" customFormat="1" ht="14.25" customHeight="1">
      <c r="A134" s="100" t="s">
        <v>122</v>
      </c>
      <c r="B134" s="88" t="s">
        <v>360</v>
      </c>
      <c r="C134" s="91" t="s">
        <v>70</v>
      </c>
      <c r="D134" s="91" t="s">
        <v>34</v>
      </c>
      <c r="E134" s="99"/>
      <c r="F134" s="87"/>
      <c r="G134" s="215">
        <f>G135</f>
        <v>74.5</v>
      </c>
    </row>
    <row r="135" spans="1:7" s="11" customFormat="1" ht="10.5" customHeight="1">
      <c r="A135" s="96" t="s">
        <v>12</v>
      </c>
      <c r="B135" s="94" t="s">
        <v>360</v>
      </c>
      <c r="C135" s="95" t="s">
        <v>70</v>
      </c>
      <c r="D135" s="95" t="s">
        <v>63</v>
      </c>
      <c r="E135" s="97"/>
      <c r="F135" s="92"/>
      <c r="G135" s="218">
        <f>G136</f>
        <v>74.5</v>
      </c>
    </row>
    <row r="136" spans="1:7" s="11" customFormat="1" ht="23.25" customHeight="1">
      <c r="A136" s="96" t="s">
        <v>95</v>
      </c>
      <c r="B136" s="94" t="s">
        <v>360</v>
      </c>
      <c r="C136" s="95" t="s">
        <v>70</v>
      </c>
      <c r="D136" s="95" t="s">
        <v>63</v>
      </c>
      <c r="E136" s="97" t="s">
        <v>96</v>
      </c>
      <c r="F136" s="92"/>
      <c r="G136" s="218">
        <f>G137</f>
        <v>74.5</v>
      </c>
    </row>
    <row r="137" spans="1:7" s="11" customFormat="1" ht="12.75" customHeight="1">
      <c r="A137" s="96" t="s">
        <v>99</v>
      </c>
      <c r="B137" s="94" t="s">
        <v>360</v>
      </c>
      <c r="C137" s="95" t="s">
        <v>70</v>
      </c>
      <c r="D137" s="95" t="s">
        <v>63</v>
      </c>
      <c r="E137" s="97" t="s">
        <v>100</v>
      </c>
      <c r="F137" s="92"/>
      <c r="G137" s="218">
        <f>G138</f>
        <v>74.5</v>
      </c>
    </row>
    <row r="138" spans="1:7" s="11" customFormat="1" ht="23.25" customHeight="1">
      <c r="A138" s="93" t="s">
        <v>134</v>
      </c>
      <c r="B138" s="94" t="s">
        <v>360</v>
      </c>
      <c r="C138" s="95" t="s">
        <v>70</v>
      </c>
      <c r="D138" s="95" t="s">
        <v>63</v>
      </c>
      <c r="E138" s="97" t="s">
        <v>100</v>
      </c>
      <c r="F138" s="92">
        <v>726</v>
      </c>
      <c r="G138" s="218">
        <v>74.5</v>
      </c>
    </row>
    <row r="139" spans="1:7" s="11" customFormat="1" ht="21.75">
      <c r="A139" s="100" t="s">
        <v>347</v>
      </c>
      <c r="B139" s="88" t="s">
        <v>348</v>
      </c>
      <c r="C139" s="91"/>
      <c r="D139" s="91"/>
      <c r="E139" s="99"/>
      <c r="F139" s="87"/>
      <c r="G139" s="215">
        <f>G140</f>
        <v>261.6</v>
      </c>
    </row>
    <row r="140" spans="1:7" s="11" customFormat="1" ht="12.75">
      <c r="A140" s="100" t="s">
        <v>122</v>
      </c>
      <c r="B140" s="88" t="s">
        <v>348</v>
      </c>
      <c r="C140" s="91" t="s">
        <v>70</v>
      </c>
      <c r="D140" s="91" t="s">
        <v>34</v>
      </c>
      <c r="E140" s="99"/>
      <c r="F140" s="87"/>
      <c r="G140" s="215">
        <f>G141</f>
        <v>261.6</v>
      </c>
    </row>
    <row r="141" spans="1:7" s="11" customFormat="1" ht="12.75">
      <c r="A141" s="96" t="s">
        <v>83</v>
      </c>
      <c r="B141" s="94" t="s">
        <v>348</v>
      </c>
      <c r="C141" s="95" t="s">
        <v>70</v>
      </c>
      <c r="D141" s="95" t="s">
        <v>65</v>
      </c>
      <c r="E141" s="97"/>
      <c r="F141" s="92"/>
      <c r="G141" s="218">
        <f>G142+G145</f>
        <v>261.6</v>
      </c>
    </row>
    <row r="142" spans="1:7" s="11" customFormat="1" ht="45">
      <c r="A142" s="96" t="s">
        <v>92</v>
      </c>
      <c r="B142" s="94" t="s">
        <v>348</v>
      </c>
      <c r="C142" s="95" t="s">
        <v>70</v>
      </c>
      <c r="D142" s="95" t="s">
        <v>65</v>
      </c>
      <c r="E142" s="97" t="s">
        <v>93</v>
      </c>
      <c r="F142" s="92"/>
      <c r="G142" s="218">
        <f>G143</f>
        <v>53.2</v>
      </c>
    </row>
    <row r="143" spans="1:7" s="11" customFormat="1" ht="12.75">
      <c r="A143" s="96" t="s">
        <v>208</v>
      </c>
      <c r="B143" s="94" t="s">
        <v>348</v>
      </c>
      <c r="C143" s="95" t="s">
        <v>70</v>
      </c>
      <c r="D143" s="95" t="s">
        <v>65</v>
      </c>
      <c r="E143" s="97" t="s">
        <v>209</v>
      </c>
      <c r="F143" s="92"/>
      <c r="G143" s="218">
        <f>G144</f>
        <v>53.2</v>
      </c>
    </row>
    <row r="144" spans="1:7" s="11" customFormat="1" ht="22.5">
      <c r="A144" s="93" t="s">
        <v>134</v>
      </c>
      <c r="B144" s="94" t="s">
        <v>348</v>
      </c>
      <c r="C144" s="95" t="s">
        <v>70</v>
      </c>
      <c r="D144" s="95" t="s">
        <v>65</v>
      </c>
      <c r="E144" s="97" t="s">
        <v>209</v>
      </c>
      <c r="F144" s="92">
        <v>726</v>
      </c>
      <c r="G144" s="218">
        <f>90-6-30.8</f>
        <v>53.2</v>
      </c>
    </row>
    <row r="145" spans="1:7" s="11" customFormat="1" ht="22.5">
      <c r="A145" s="96" t="s">
        <v>333</v>
      </c>
      <c r="B145" s="94" t="s">
        <v>348</v>
      </c>
      <c r="C145" s="95" t="s">
        <v>70</v>
      </c>
      <c r="D145" s="95" t="s">
        <v>65</v>
      </c>
      <c r="E145" s="97" t="s">
        <v>94</v>
      </c>
      <c r="F145" s="92"/>
      <c r="G145" s="218">
        <f>G146</f>
        <v>208.4</v>
      </c>
    </row>
    <row r="146" spans="1:7" s="11" customFormat="1" ht="24" customHeight="1">
      <c r="A146" s="96" t="s">
        <v>610</v>
      </c>
      <c r="B146" s="94" t="s">
        <v>348</v>
      </c>
      <c r="C146" s="95" t="s">
        <v>70</v>
      </c>
      <c r="D146" s="95" t="s">
        <v>65</v>
      </c>
      <c r="E146" s="97" t="s">
        <v>91</v>
      </c>
      <c r="F146" s="92"/>
      <c r="G146" s="218">
        <f>G147</f>
        <v>208.4</v>
      </c>
    </row>
    <row r="147" spans="1:7" s="11" customFormat="1" ht="22.5">
      <c r="A147" s="93" t="s">
        <v>134</v>
      </c>
      <c r="B147" s="94" t="s">
        <v>348</v>
      </c>
      <c r="C147" s="95" t="s">
        <v>70</v>
      </c>
      <c r="D147" s="95" t="s">
        <v>65</v>
      </c>
      <c r="E147" s="97" t="s">
        <v>91</v>
      </c>
      <c r="F147" s="92">
        <v>726</v>
      </c>
      <c r="G147" s="218">
        <f>177.6+30.8</f>
        <v>208.4</v>
      </c>
    </row>
    <row r="148" spans="1:7" s="60" customFormat="1" ht="31.5" customHeight="1">
      <c r="A148" s="100" t="s">
        <v>293</v>
      </c>
      <c r="B148" s="88" t="s">
        <v>316</v>
      </c>
      <c r="C148" s="99"/>
      <c r="D148" s="99"/>
      <c r="E148" s="99"/>
      <c r="F148" s="87"/>
      <c r="G148" s="215">
        <f aca="true" t="shared" si="2" ref="G148:G153">G149</f>
        <v>1317.1999999999998</v>
      </c>
    </row>
    <row r="149" spans="1:7" s="60" customFormat="1" ht="42.75">
      <c r="A149" s="100" t="s">
        <v>427</v>
      </c>
      <c r="B149" s="88" t="s">
        <v>317</v>
      </c>
      <c r="C149" s="99"/>
      <c r="D149" s="99"/>
      <c r="E149" s="99"/>
      <c r="F149" s="87"/>
      <c r="G149" s="215">
        <f t="shared" si="2"/>
        <v>1317.1999999999998</v>
      </c>
    </row>
    <row r="150" spans="1:7" s="60" customFormat="1" ht="12.75">
      <c r="A150" s="100" t="s">
        <v>122</v>
      </c>
      <c r="B150" s="88" t="s">
        <v>317</v>
      </c>
      <c r="C150" s="99" t="s">
        <v>70</v>
      </c>
      <c r="D150" s="99" t="s">
        <v>34</v>
      </c>
      <c r="E150" s="99"/>
      <c r="F150" s="87"/>
      <c r="G150" s="215">
        <f t="shared" si="2"/>
        <v>1317.1999999999998</v>
      </c>
    </row>
    <row r="151" spans="1:7" s="11" customFormat="1" ht="12.75">
      <c r="A151" s="96" t="s">
        <v>12</v>
      </c>
      <c r="B151" s="94" t="s">
        <v>317</v>
      </c>
      <c r="C151" s="97" t="s">
        <v>70</v>
      </c>
      <c r="D151" s="97" t="s">
        <v>63</v>
      </c>
      <c r="E151" s="97"/>
      <c r="F151" s="92"/>
      <c r="G151" s="218">
        <f t="shared" si="2"/>
        <v>1317.1999999999998</v>
      </c>
    </row>
    <row r="152" spans="1:7" s="11" customFormat="1" ht="22.5">
      <c r="A152" s="96" t="s">
        <v>95</v>
      </c>
      <c r="B152" s="94" t="s">
        <v>317</v>
      </c>
      <c r="C152" s="97" t="s">
        <v>70</v>
      </c>
      <c r="D152" s="97" t="s">
        <v>63</v>
      </c>
      <c r="E152" s="97" t="s">
        <v>96</v>
      </c>
      <c r="F152" s="92"/>
      <c r="G152" s="218">
        <f t="shared" si="2"/>
        <v>1317.1999999999998</v>
      </c>
    </row>
    <row r="153" spans="1:7" s="11" customFormat="1" ht="12.75">
      <c r="A153" s="96" t="s">
        <v>99</v>
      </c>
      <c r="B153" s="94" t="s">
        <v>317</v>
      </c>
      <c r="C153" s="97" t="s">
        <v>70</v>
      </c>
      <c r="D153" s="97" t="s">
        <v>63</v>
      </c>
      <c r="E153" s="97" t="s">
        <v>100</v>
      </c>
      <c r="F153" s="92"/>
      <c r="G153" s="218">
        <f t="shared" si="2"/>
        <v>1317.1999999999998</v>
      </c>
    </row>
    <row r="154" spans="1:7" s="11" customFormat="1" ht="22.5">
      <c r="A154" s="93" t="s">
        <v>134</v>
      </c>
      <c r="B154" s="94" t="s">
        <v>317</v>
      </c>
      <c r="C154" s="97" t="s">
        <v>70</v>
      </c>
      <c r="D154" s="97" t="s">
        <v>63</v>
      </c>
      <c r="E154" s="97" t="s">
        <v>100</v>
      </c>
      <c r="F154" s="92">
        <v>726</v>
      </c>
      <c r="G154" s="218">
        <f>1101.6+215.6</f>
        <v>1317.1999999999998</v>
      </c>
    </row>
    <row r="155" spans="1:7" s="60" customFormat="1" ht="21.75">
      <c r="A155" s="100" t="s">
        <v>586</v>
      </c>
      <c r="B155" s="88" t="s">
        <v>584</v>
      </c>
      <c r="C155" s="99"/>
      <c r="D155" s="99"/>
      <c r="E155" s="99"/>
      <c r="F155" s="87"/>
      <c r="G155" s="215">
        <f aca="true" t="shared" si="3" ref="G155:G160">G156</f>
        <v>250</v>
      </c>
    </row>
    <row r="156" spans="1:7" s="60" customFormat="1" ht="21.75">
      <c r="A156" s="100" t="s">
        <v>589</v>
      </c>
      <c r="B156" s="88" t="s">
        <v>585</v>
      </c>
      <c r="C156" s="99"/>
      <c r="D156" s="99"/>
      <c r="E156" s="99"/>
      <c r="F156" s="87"/>
      <c r="G156" s="215">
        <f t="shared" si="3"/>
        <v>250</v>
      </c>
    </row>
    <row r="157" spans="1:7" s="11" customFormat="1" ht="12.75">
      <c r="A157" s="100" t="s">
        <v>122</v>
      </c>
      <c r="B157" s="88" t="s">
        <v>585</v>
      </c>
      <c r="C157" s="99" t="s">
        <v>70</v>
      </c>
      <c r="D157" s="99" t="s">
        <v>34</v>
      </c>
      <c r="E157" s="97"/>
      <c r="F157" s="92"/>
      <c r="G157" s="218">
        <f t="shared" si="3"/>
        <v>250</v>
      </c>
    </row>
    <row r="158" spans="1:7" s="11" customFormat="1" ht="12.75">
      <c r="A158" s="96" t="s">
        <v>12</v>
      </c>
      <c r="B158" s="88" t="s">
        <v>585</v>
      </c>
      <c r="C158" s="97" t="s">
        <v>70</v>
      </c>
      <c r="D158" s="97" t="s">
        <v>63</v>
      </c>
      <c r="E158" s="97"/>
      <c r="F158" s="92"/>
      <c r="G158" s="218">
        <f t="shared" si="3"/>
        <v>250</v>
      </c>
    </row>
    <row r="159" spans="1:7" s="11" customFormat="1" ht="22.5">
      <c r="A159" s="96" t="s">
        <v>95</v>
      </c>
      <c r="B159" s="88" t="s">
        <v>585</v>
      </c>
      <c r="C159" s="97" t="s">
        <v>70</v>
      </c>
      <c r="D159" s="97" t="s">
        <v>63</v>
      </c>
      <c r="E159" s="97" t="s">
        <v>96</v>
      </c>
      <c r="F159" s="92"/>
      <c r="G159" s="218">
        <f t="shared" si="3"/>
        <v>250</v>
      </c>
    </row>
    <row r="160" spans="1:7" s="11" customFormat="1" ht="12.75">
      <c r="A160" s="96" t="s">
        <v>99</v>
      </c>
      <c r="B160" s="88" t="s">
        <v>585</v>
      </c>
      <c r="C160" s="97" t="s">
        <v>70</v>
      </c>
      <c r="D160" s="97" t="s">
        <v>63</v>
      </c>
      <c r="E160" s="97" t="s">
        <v>100</v>
      </c>
      <c r="F160" s="92"/>
      <c r="G160" s="218">
        <f t="shared" si="3"/>
        <v>250</v>
      </c>
    </row>
    <row r="161" spans="1:7" s="11" customFormat="1" ht="22.5">
      <c r="A161" s="93" t="s">
        <v>134</v>
      </c>
      <c r="B161" s="88" t="s">
        <v>585</v>
      </c>
      <c r="C161" s="97" t="s">
        <v>70</v>
      </c>
      <c r="D161" s="97" t="s">
        <v>63</v>
      </c>
      <c r="E161" s="97" t="s">
        <v>100</v>
      </c>
      <c r="F161" s="92">
        <v>726</v>
      </c>
      <c r="G161" s="218">
        <v>250</v>
      </c>
    </row>
    <row r="162" spans="1:7" s="11" customFormat="1" ht="21.75">
      <c r="A162" s="90" t="s">
        <v>725</v>
      </c>
      <c r="B162" s="88" t="s">
        <v>168</v>
      </c>
      <c r="C162" s="95"/>
      <c r="D162" s="95"/>
      <c r="E162" s="97"/>
      <c r="F162" s="92"/>
      <c r="G162" s="215">
        <f aca="true" t="shared" si="4" ref="G162:G168">G163</f>
        <v>67.7</v>
      </c>
    </row>
    <row r="163" spans="1:7" s="11" customFormat="1" ht="26.45" customHeight="1">
      <c r="A163" s="90" t="s">
        <v>637</v>
      </c>
      <c r="B163" s="94" t="s">
        <v>257</v>
      </c>
      <c r="C163" s="95"/>
      <c r="D163" s="95"/>
      <c r="E163" s="97"/>
      <c r="F163" s="92"/>
      <c r="G163" s="215">
        <f t="shared" si="4"/>
        <v>67.7</v>
      </c>
    </row>
    <row r="164" spans="1:7" s="11" customFormat="1" ht="21.75">
      <c r="A164" s="90" t="s">
        <v>638</v>
      </c>
      <c r="B164" s="94" t="s">
        <v>639</v>
      </c>
      <c r="C164" s="95"/>
      <c r="D164" s="95"/>
      <c r="E164" s="97"/>
      <c r="F164" s="92"/>
      <c r="G164" s="215">
        <f t="shared" si="4"/>
        <v>67.7</v>
      </c>
    </row>
    <row r="165" spans="1:7" s="11" customFormat="1" ht="12.75">
      <c r="A165" s="93" t="s">
        <v>59</v>
      </c>
      <c r="B165" s="94" t="s">
        <v>639</v>
      </c>
      <c r="C165" s="95" t="s">
        <v>68</v>
      </c>
      <c r="D165" s="95" t="s">
        <v>34</v>
      </c>
      <c r="E165" s="97"/>
      <c r="F165" s="92"/>
      <c r="G165" s="215">
        <f t="shared" si="4"/>
        <v>67.7</v>
      </c>
    </row>
    <row r="166" spans="1:7" s="11" customFormat="1" ht="12.75">
      <c r="A166" s="93" t="s">
        <v>58</v>
      </c>
      <c r="B166" s="94" t="s">
        <v>639</v>
      </c>
      <c r="C166" s="95" t="s">
        <v>68</v>
      </c>
      <c r="D166" s="95" t="s">
        <v>631</v>
      </c>
      <c r="E166" s="97"/>
      <c r="F166" s="92"/>
      <c r="G166" s="215">
        <f t="shared" si="4"/>
        <v>67.7</v>
      </c>
    </row>
    <row r="167" spans="1:7" s="11" customFormat="1" ht="12.75">
      <c r="A167" s="96" t="s">
        <v>101</v>
      </c>
      <c r="B167" s="94" t="s">
        <v>639</v>
      </c>
      <c r="C167" s="95" t="s">
        <v>68</v>
      </c>
      <c r="D167" s="95" t="s">
        <v>67</v>
      </c>
      <c r="E167" s="97" t="s">
        <v>102</v>
      </c>
      <c r="F167" s="92"/>
      <c r="G167" s="215">
        <f t="shared" si="4"/>
        <v>67.7</v>
      </c>
    </row>
    <row r="168" spans="1:7" s="11" customFormat="1" ht="22.5">
      <c r="A168" s="96" t="s">
        <v>116</v>
      </c>
      <c r="B168" s="94" t="s">
        <v>639</v>
      </c>
      <c r="C168" s="95" t="s">
        <v>68</v>
      </c>
      <c r="D168" s="95" t="s">
        <v>67</v>
      </c>
      <c r="E168" s="97" t="s">
        <v>115</v>
      </c>
      <c r="F168" s="92"/>
      <c r="G168" s="215">
        <f t="shared" si="4"/>
        <v>67.7</v>
      </c>
    </row>
    <row r="169" spans="1:7" s="11" customFormat="1" ht="22.5">
      <c r="A169" s="93" t="s">
        <v>134</v>
      </c>
      <c r="B169" s="94" t="s">
        <v>639</v>
      </c>
      <c r="C169" s="95" t="s">
        <v>68</v>
      </c>
      <c r="D169" s="95" t="s">
        <v>67</v>
      </c>
      <c r="E169" s="97" t="s">
        <v>115</v>
      </c>
      <c r="F169" s="92">
        <v>726</v>
      </c>
      <c r="G169" s="215">
        <v>67.7</v>
      </c>
    </row>
    <row r="170" spans="1:7" s="11" customFormat="1" ht="30.6" customHeight="1">
      <c r="A170" s="90" t="s">
        <v>726</v>
      </c>
      <c r="B170" s="88" t="s">
        <v>142</v>
      </c>
      <c r="C170" s="95"/>
      <c r="D170" s="95"/>
      <c r="E170" s="97"/>
      <c r="F170" s="92"/>
      <c r="G170" s="215">
        <f>G173</f>
        <v>100</v>
      </c>
    </row>
    <row r="171" spans="1:7" s="11" customFormat="1" ht="26.45" customHeight="1">
      <c r="A171" s="90" t="s">
        <v>653</v>
      </c>
      <c r="B171" s="88" t="s">
        <v>232</v>
      </c>
      <c r="C171" s="95"/>
      <c r="D171" s="95"/>
      <c r="E171" s="97"/>
      <c r="F171" s="92"/>
      <c r="G171" s="215">
        <f aca="true" t="shared" si="5" ref="G171:G176">G172</f>
        <v>100</v>
      </c>
    </row>
    <row r="172" spans="1:7" s="60" customFormat="1" ht="22.5" customHeight="1">
      <c r="A172" s="90" t="s">
        <v>618</v>
      </c>
      <c r="B172" s="88" t="s">
        <v>619</v>
      </c>
      <c r="C172" s="91"/>
      <c r="D172" s="91"/>
      <c r="E172" s="99"/>
      <c r="F172" s="87"/>
      <c r="G172" s="215">
        <f t="shared" si="5"/>
        <v>100</v>
      </c>
    </row>
    <row r="173" spans="1:7" s="11" customFormat="1" ht="12.75">
      <c r="A173" s="90" t="s">
        <v>5</v>
      </c>
      <c r="B173" s="88" t="s">
        <v>619</v>
      </c>
      <c r="C173" s="91" t="s">
        <v>65</v>
      </c>
      <c r="D173" s="91" t="s">
        <v>34</v>
      </c>
      <c r="E173" s="97"/>
      <c r="F173" s="92"/>
      <c r="G173" s="218">
        <f t="shared" si="5"/>
        <v>100</v>
      </c>
    </row>
    <row r="174" spans="1:7" s="11" customFormat="1" ht="12.75">
      <c r="A174" s="93" t="s">
        <v>7</v>
      </c>
      <c r="B174" s="94" t="s">
        <v>619</v>
      </c>
      <c r="C174" s="95" t="s">
        <v>65</v>
      </c>
      <c r="D174" s="95" t="s">
        <v>75</v>
      </c>
      <c r="E174" s="97"/>
      <c r="F174" s="92"/>
      <c r="G174" s="218">
        <f t="shared" si="5"/>
        <v>100</v>
      </c>
    </row>
    <row r="175" spans="1:7" s="11" customFormat="1" ht="12.75">
      <c r="A175" s="96" t="s">
        <v>110</v>
      </c>
      <c r="B175" s="94" t="s">
        <v>619</v>
      </c>
      <c r="C175" s="95" t="s">
        <v>65</v>
      </c>
      <c r="D175" s="95" t="s">
        <v>75</v>
      </c>
      <c r="E175" s="97" t="s">
        <v>111</v>
      </c>
      <c r="F175" s="92"/>
      <c r="G175" s="218">
        <f t="shared" si="5"/>
        <v>100</v>
      </c>
    </row>
    <row r="176" spans="1:7" s="11" customFormat="1" ht="33.75">
      <c r="A176" s="96" t="s">
        <v>135</v>
      </c>
      <c r="B176" s="94" t="s">
        <v>619</v>
      </c>
      <c r="C176" s="95" t="s">
        <v>65</v>
      </c>
      <c r="D176" s="95" t="s">
        <v>75</v>
      </c>
      <c r="E176" s="97" t="s">
        <v>112</v>
      </c>
      <c r="F176" s="92"/>
      <c r="G176" s="218">
        <f t="shared" si="5"/>
        <v>100</v>
      </c>
    </row>
    <row r="177" spans="1:7" s="11" customFormat="1" ht="12.75">
      <c r="A177" s="98" t="s">
        <v>130</v>
      </c>
      <c r="B177" s="94" t="s">
        <v>619</v>
      </c>
      <c r="C177" s="95" t="s">
        <v>65</v>
      </c>
      <c r="D177" s="95" t="s">
        <v>75</v>
      </c>
      <c r="E177" s="97" t="s">
        <v>112</v>
      </c>
      <c r="F177" s="92">
        <v>721</v>
      </c>
      <c r="G177" s="218">
        <v>100</v>
      </c>
    </row>
    <row r="178" spans="1:7" s="11" customFormat="1" ht="32.25">
      <c r="A178" s="100" t="s">
        <v>560</v>
      </c>
      <c r="B178" s="88" t="s">
        <v>570</v>
      </c>
      <c r="C178" s="95"/>
      <c r="D178" s="95"/>
      <c r="E178" s="97"/>
      <c r="F178" s="92"/>
      <c r="G178" s="215">
        <f aca="true" t="shared" si="6" ref="G178:G184">G179</f>
        <v>55</v>
      </c>
    </row>
    <row r="179" spans="1:7" s="60" customFormat="1" ht="33" customHeight="1">
      <c r="A179" s="101" t="s">
        <v>561</v>
      </c>
      <c r="B179" s="88" t="s">
        <v>571</v>
      </c>
      <c r="C179" s="91"/>
      <c r="D179" s="91"/>
      <c r="E179" s="99"/>
      <c r="F179" s="87"/>
      <c r="G179" s="215">
        <f t="shared" si="6"/>
        <v>55</v>
      </c>
    </row>
    <row r="180" spans="1:7" s="60" customFormat="1" ht="32.25">
      <c r="A180" s="100" t="s">
        <v>562</v>
      </c>
      <c r="B180" s="88" t="s">
        <v>563</v>
      </c>
      <c r="C180" s="91"/>
      <c r="D180" s="91"/>
      <c r="E180" s="99"/>
      <c r="F180" s="87"/>
      <c r="G180" s="215">
        <f t="shared" si="6"/>
        <v>55</v>
      </c>
    </row>
    <row r="181" spans="1:7" s="60" customFormat="1" ht="12.75">
      <c r="A181" s="101" t="s">
        <v>128</v>
      </c>
      <c r="B181" s="88" t="s">
        <v>563</v>
      </c>
      <c r="C181" s="91" t="s">
        <v>69</v>
      </c>
      <c r="D181" s="91" t="s">
        <v>34</v>
      </c>
      <c r="E181" s="99"/>
      <c r="F181" s="87"/>
      <c r="G181" s="215">
        <f t="shared" si="6"/>
        <v>55</v>
      </c>
    </row>
    <row r="182" spans="1:7" s="11" customFormat="1" ht="12.75">
      <c r="A182" s="98" t="s">
        <v>174</v>
      </c>
      <c r="B182" s="94" t="s">
        <v>563</v>
      </c>
      <c r="C182" s="95" t="s">
        <v>69</v>
      </c>
      <c r="D182" s="95" t="s">
        <v>67</v>
      </c>
      <c r="E182" s="97"/>
      <c r="F182" s="92"/>
      <c r="G182" s="218">
        <f t="shared" si="6"/>
        <v>55</v>
      </c>
    </row>
    <row r="183" spans="1:7" s="11" customFormat="1" ht="22.5">
      <c r="A183" s="96" t="s">
        <v>333</v>
      </c>
      <c r="B183" s="94" t="s">
        <v>563</v>
      </c>
      <c r="C183" s="95" t="s">
        <v>69</v>
      </c>
      <c r="D183" s="95" t="s">
        <v>67</v>
      </c>
      <c r="E183" s="97" t="s">
        <v>94</v>
      </c>
      <c r="F183" s="92"/>
      <c r="G183" s="218">
        <f t="shared" si="6"/>
        <v>55</v>
      </c>
    </row>
    <row r="184" spans="1:7" s="11" customFormat="1" ht="22.5">
      <c r="A184" s="96" t="s">
        <v>610</v>
      </c>
      <c r="B184" s="94" t="s">
        <v>563</v>
      </c>
      <c r="C184" s="95" t="s">
        <v>69</v>
      </c>
      <c r="D184" s="95" t="s">
        <v>67</v>
      </c>
      <c r="E184" s="97" t="s">
        <v>91</v>
      </c>
      <c r="F184" s="92"/>
      <c r="G184" s="218">
        <f t="shared" si="6"/>
        <v>55</v>
      </c>
    </row>
    <row r="185" spans="1:7" s="11" customFormat="1" ht="22.5">
      <c r="A185" s="96" t="s">
        <v>320</v>
      </c>
      <c r="B185" s="94" t="s">
        <v>563</v>
      </c>
      <c r="C185" s="95" t="s">
        <v>69</v>
      </c>
      <c r="D185" s="95" t="s">
        <v>67</v>
      </c>
      <c r="E185" s="97" t="s">
        <v>91</v>
      </c>
      <c r="F185" s="92">
        <v>727</v>
      </c>
      <c r="G185" s="218">
        <v>55</v>
      </c>
    </row>
    <row r="186" spans="1:7" s="11" customFormat="1" ht="12.75">
      <c r="A186" s="90" t="s">
        <v>727</v>
      </c>
      <c r="B186" s="88" t="s">
        <v>149</v>
      </c>
      <c r="C186" s="94"/>
      <c r="D186" s="94"/>
      <c r="E186" s="97"/>
      <c r="F186" s="92"/>
      <c r="G186" s="215">
        <f>G187+G200</f>
        <v>8875.1</v>
      </c>
    </row>
    <row r="187" spans="1:7" s="11" customFormat="1" ht="25.15" customHeight="1">
      <c r="A187" s="90" t="s">
        <v>187</v>
      </c>
      <c r="B187" s="88" t="s">
        <v>245</v>
      </c>
      <c r="C187" s="94"/>
      <c r="D187" s="94"/>
      <c r="E187" s="97"/>
      <c r="F187" s="92"/>
      <c r="G187" s="215">
        <f>G194+G188</f>
        <v>7800.900000000001</v>
      </c>
    </row>
    <row r="188" spans="1:7" s="60" customFormat="1" ht="21" customHeight="1">
      <c r="A188" s="100" t="s">
        <v>413</v>
      </c>
      <c r="B188" s="88" t="s">
        <v>307</v>
      </c>
      <c r="C188" s="88"/>
      <c r="D188" s="88"/>
      <c r="E188" s="99"/>
      <c r="F188" s="87"/>
      <c r="G188" s="215">
        <f>G189</f>
        <v>4364.6</v>
      </c>
    </row>
    <row r="189" spans="1:7" s="11" customFormat="1" ht="15" customHeight="1">
      <c r="A189" s="90" t="s">
        <v>8</v>
      </c>
      <c r="B189" s="88" t="s">
        <v>307</v>
      </c>
      <c r="C189" s="91" t="s">
        <v>66</v>
      </c>
      <c r="D189" s="91" t="s">
        <v>34</v>
      </c>
      <c r="E189" s="97"/>
      <c r="F189" s="92"/>
      <c r="G189" s="215">
        <f>G190</f>
        <v>4364.6</v>
      </c>
    </row>
    <row r="190" spans="1:7" s="11" customFormat="1" ht="12" customHeight="1">
      <c r="A190" s="93" t="s">
        <v>336</v>
      </c>
      <c r="B190" s="94" t="s">
        <v>307</v>
      </c>
      <c r="C190" s="95" t="s">
        <v>66</v>
      </c>
      <c r="D190" s="95" t="s">
        <v>66</v>
      </c>
      <c r="E190" s="97"/>
      <c r="F190" s="92"/>
      <c r="G190" s="218">
        <f>G191</f>
        <v>4364.6</v>
      </c>
    </row>
    <row r="191" spans="1:7" s="11" customFormat="1" ht="25.15" customHeight="1">
      <c r="A191" s="96" t="s">
        <v>95</v>
      </c>
      <c r="B191" s="94" t="s">
        <v>307</v>
      </c>
      <c r="C191" s="95" t="s">
        <v>66</v>
      </c>
      <c r="D191" s="95" t="s">
        <v>66</v>
      </c>
      <c r="E191" s="97">
        <v>600</v>
      </c>
      <c r="F191" s="92"/>
      <c r="G191" s="218">
        <f>G192</f>
        <v>4364.6</v>
      </c>
    </row>
    <row r="192" spans="1:7" s="11" customFormat="1" ht="16.9" customHeight="1">
      <c r="A192" s="96" t="s">
        <v>99</v>
      </c>
      <c r="B192" s="94" t="s">
        <v>307</v>
      </c>
      <c r="C192" s="95" t="s">
        <v>66</v>
      </c>
      <c r="D192" s="95" t="s">
        <v>66</v>
      </c>
      <c r="E192" s="97">
        <v>610</v>
      </c>
      <c r="F192" s="92"/>
      <c r="G192" s="218">
        <f>G193</f>
        <v>4364.6</v>
      </c>
    </row>
    <row r="193" spans="1:7" s="11" customFormat="1" ht="22.5">
      <c r="A193" s="93" t="s">
        <v>133</v>
      </c>
      <c r="B193" s="94" t="s">
        <v>307</v>
      </c>
      <c r="C193" s="95" t="s">
        <v>66</v>
      </c>
      <c r="D193" s="95" t="s">
        <v>66</v>
      </c>
      <c r="E193" s="97" t="s">
        <v>100</v>
      </c>
      <c r="F193" s="92">
        <v>725</v>
      </c>
      <c r="G193" s="218">
        <f>2825.1+1539.5</f>
        <v>4364.6</v>
      </c>
    </row>
    <row r="194" spans="1:7" s="11" customFormat="1" ht="21.75">
      <c r="A194" s="100" t="s">
        <v>612</v>
      </c>
      <c r="B194" s="88" t="s">
        <v>308</v>
      </c>
      <c r="C194" s="94"/>
      <c r="D194" s="94"/>
      <c r="E194" s="97"/>
      <c r="F194" s="92"/>
      <c r="G194" s="215">
        <f>G195</f>
        <v>3436.3</v>
      </c>
    </row>
    <row r="195" spans="1:7" s="11" customFormat="1" ht="12.75">
      <c r="A195" s="90" t="s">
        <v>8</v>
      </c>
      <c r="B195" s="88" t="s">
        <v>308</v>
      </c>
      <c r="C195" s="91" t="s">
        <v>66</v>
      </c>
      <c r="D195" s="91" t="s">
        <v>34</v>
      </c>
      <c r="E195" s="97"/>
      <c r="F195" s="92"/>
      <c r="G195" s="215">
        <f>G196</f>
        <v>3436.3</v>
      </c>
    </row>
    <row r="196" spans="1:7" s="11" customFormat="1" ht="12.75">
      <c r="A196" s="93" t="s">
        <v>336</v>
      </c>
      <c r="B196" s="94" t="s">
        <v>308</v>
      </c>
      <c r="C196" s="95" t="s">
        <v>66</v>
      </c>
      <c r="D196" s="95" t="s">
        <v>66</v>
      </c>
      <c r="E196" s="97"/>
      <c r="F196" s="92"/>
      <c r="G196" s="218">
        <f>G197</f>
        <v>3436.3</v>
      </c>
    </row>
    <row r="197" spans="1:7" s="11" customFormat="1" ht="22.5">
      <c r="A197" s="96" t="s">
        <v>95</v>
      </c>
      <c r="B197" s="94" t="s">
        <v>308</v>
      </c>
      <c r="C197" s="95" t="s">
        <v>66</v>
      </c>
      <c r="D197" s="95" t="s">
        <v>66</v>
      </c>
      <c r="E197" s="97" t="s">
        <v>96</v>
      </c>
      <c r="F197" s="92"/>
      <c r="G197" s="218">
        <f>G198</f>
        <v>3436.3</v>
      </c>
    </row>
    <row r="198" spans="1:7" s="11" customFormat="1" ht="12.75">
      <c r="A198" s="96" t="s">
        <v>99</v>
      </c>
      <c r="B198" s="94" t="s">
        <v>308</v>
      </c>
      <c r="C198" s="95" t="s">
        <v>66</v>
      </c>
      <c r="D198" s="95" t="s">
        <v>66</v>
      </c>
      <c r="E198" s="97" t="s">
        <v>100</v>
      </c>
      <c r="F198" s="92"/>
      <c r="G198" s="218">
        <f>G199</f>
        <v>3436.3</v>
      </c>
    </row>
    <row r="199" spans="1:7" s="11" customFormat="1" ht="22.5">
      <c r="A199" s="93" t="s">
        <v>133</v>
      </c>
      <c r="B199" s="94" t="s">
        <v>308</v>
      </c>
      <c r="C199" s="95" t="s">
        <v>66</v>
      </c>
      <c r="D199" s="95" t="s">
        <v>66</v>
      </c>
      <c r="E199" s="97" t="s">
        <v>100</v>
      </c>
      <c r="F199" s="92">
        <v>725</v>
      </c>
      <c r="G199" s="218">
        <f>3486.9-50.6</f>
        <v>3436.3</v>
      </c>
    </row>
    <row r="200" spans="1:7" s="11" customFormat="1" ht="30.6" customHeight="1">
      <c r="A200" s="128" t="s">
        <v>749</v>
      </c>
      <c r="B200" s="88" t="s">
        <v>672</v>
      </c>
      <c r="C200" s="95"/>
      <c r="D200" s="95"/>
      <c r="E200" s="97"/>
      <c r="F200" s="92"/>
      <c r="G200" s="215">
        <f aca="true" t="shared" si="7" ref="G200:G205">G201</f>
        <v>1074.2</v>
      </c>
    </row>
    <row r="201" spans="1:7" s="11" customFormat="1" ht="12.75">
      <c r="A201" s="148" t="s">
        <v>153</v>
      </c>
      <c r="B201" s="88" t="s">
        <v>671</v>
      </c>
      <c r="C201" s="94"/>
      <c r="D201" s="94"/>
      <c r="E201" s="97"/>
      <c r="F201" s="92"/>
      <c r="G201" s="215">
        <f t="shared" si="7"/>
        <v>1074.2</v>
      </c>
    </row>
    <row r="202" spans="1:7" s="11" customFormat="1" ht="12.75" customHeight="1">
      <c r="A202" s="90" t="s">
        <v>8</v>
      </c>
      <c r="B202" s="88" t="s">
        <v>671</v>
      </c>
      <c r="C202" s="91" t="s">
        <v>66</v>
      </c>
      <c r="D202" s="91" t="s">
        <v>34</v>
      </c>
      <c r="E202" s="97"/>
      <c r="F202" s="92"/>
      <c r="G202" s="215">
        <f t="shared" si="7"/>
        <v>1074.2</v>
      </c>
    </row>
    <row r="203" spans="1:7" s="11" customFormat="1" ht="12.75">
      <c r="A203" s="93" t="s">
        <v>336</v>
      </c>
      <c r="B203" s="94" t="s">
        <v>671</v>
      </c>
      <c r="C203" s="95" t="s">
        <v>66</v>
      </c>
      <c r="D203" s="95" t="s">
        <v>66</v>
      </c>
      <c r="E203" s="97"/>
      <c r="F203" s="92"/>
      <c r="G203" s="218">
        <f t="shared" si="7"/>
        <v>1074.2</v>
      </c>
    </row>
    <row r="204" spans="1:7" s="11" customFormat="1" ht="22.5">
      <c r="A204" s="96" t="s">
        <v>95</v>
      </c>
      <c r="B204" s="94" t="s">
        <v>671</v>
      </c>
      <c r="C204" s="95" t="s">
        <v>66</v>
      </c>
      <c r="D204" s="95" t="s">
        <v>66</v>
      </c>
      <c r="E204" s="97" t="s">
        <v>96</v>
      </c>
      <c r="F204" s="92"/>
      <c r="G204" s="218">
        <f t="shared" si="7"/>
        <v>1074.2</v>
      </c>
    </row>
    <row r="205" spans="1:7" s="11" customFormat="1" ht="12.75" customHeight="1">
      <c r="A205" s="96" t="s">
        <v>99</v>
      </c>
      <c r="B205" s="94" t="s">
        <v>671</v>
      </c>
      <c r="C205" s="95" t="s">
        <v>66</v>
      </c>
      <c r="D205" s="95" t="s">
        <v>66</v>
      </c>
      <c r="E205" s="97" t="s">
        <v>100</v>
      </c>
      <c r="F205" s="92"/>
      <c r="G205" s="218">
        <f t="shared" si="7"/>
        <v>1074.2</v>
      </c>
    </row>
    <row r="206" spans="1:7" s="11" customFormat="1" ht="22.5">
      <c r="A206" s="93" t="s">
        <v>133</v>
      </c>
      <c r="B206" s="94" t="s">
        <v>671</v>
      </c>
      <c r="C206" s="95" t="s">
        <v>66</v>
      </c>
      <c r="D206" s="95" t="s">
        <v>66</v>
      </c>
      <c r="E206" s="97" t="s">
        <v>100</v>
      </c>
      <c r="F206" s="92">
        <v>725</v>
      </c>
      <c r="G206" s="218">
        <f>1023.6+50.6</f>
        <v>1074.2</v>
      </c>
    </row>
    <row r="207" spans="1:7" s="11" customFormat="1" ht="21.75">
      <c r="A207" s="90" t="s">
        <v>728</v>
      </c>
      <c r="B207" s="88" t="s">
        <v>160</v>
      </c>
      <c r="C207" s="91"/>
      <c r="D207" s="91"/>
      <c r="E207" s="97"/>
      <c r="F207" s="92"/>
      <c r="G207" s="215">
        <f>G208+G215</f>
        <v>300</v>
      </c>
    </row>
    <row r="208" spans="1:7" s="11" customFormat="1" ht="12.75">
      <c r="A208" s="90" t="s">
        <v>191</v>
      </c>
      <c r="B208" s="88" t="s">
        <v>250</v>
      </c>
      <c r="C208" s="91"/>
      <c r="D208" s="91"/>
      <c r="E208" s="97"/>
      <c r="F208" s="92"/>
      <c r="G208" s="215">
        <f aca="true" t="shared" si="8" ref="G208:G213">G209</f>
        <v>50</v>
      </c>
    </row>
    <row r="209" spans="1:7" s="11" customFormat="1" ht="21.75">
      <c r="A209" s="90" t="s">
        <v>414</v>
      </c>
      <c r="B209" s="88" t="s">
        <v>415</v>
      </c>
      <c r="C209" s="91"/>
      <c r="D209" s="91"/>
      <c r="E209" s="97"/>
      <c r="F209" s="92"/>
      <c r="G209" s="215">
        <f t="shared" si="8"/>
        <v>50</v>
      </c>
    </row>
    <row r="210" spans="1:7" s="11" customFormat="1" ht="12.75">
      <c r="A210" s="90" t="s">
        <v>8</v>
      </c>
      <c r="B210" s="88" t="s">
        <v>415</v>
      </c>
      <c r="C210" s="91" t="s">
        <v>66</v>
      </c>
      <c r="D210" s="91" t="s">
        <v>34</v>
      </c>
      <c r="E210" s="97"/>
      <c r="F210" s="92"/>
      <c r="G210" s="215">
        <f t="shared" si="8"/>
        <v>50</v>
      </c>
    </row>
    <row r="211" spans="1:7" s="11" customFormat="1" ht="12.75">
      <c r="A211" s="93" t="s">
        <v>336</v>
      </c>
      <c r="B211" s="94" t="s">
        <v>415</v>
      </c>
      <c r="C211" s="95" t="s">
        <v>66</v>
      </c>
      <c r="D211" s="95" t="s">
        <v>66</v>
      </c>
      <c r="E211" s="97"/>
      <c r="F211" s="92"/>
      <c r="G211" s="215">
        <f t="shared" si="8"/>
        <v>50</v>
      </c>
    </row>
    <row r="212" spans="1:7" s="11" customFormat="1" ht="22.5">
      <c r="A212" s="96" t="s">
        <v>333</v>
      </c>
      <c r="B212" s="94" t="s">
        <v>415</v>
      </c>
      <c r="C212" s="95" t="s">
        <v>66</v>
      </c>
      <c r="D212" s="95" t="s">
        <v>66</v>
      </c>
      <c r="E212" s="97" t="s">
        <v>94</v>
      </c>
      <c r="F212" s="92"/>
      <c r="G212" s="218">
        <f t="shared" si="8"/>
        <v>50</v>
      </c>
    </row>
    <row r="213" spans="1:7" s="11" customFormat="1" ht="24.6" customHeight="1">
      <c r="A213" s="96" t="s">
        <v>610</v>
      </c>
      <c r="B213" s="94" t="s">
        <v>415</v>
      </c>
      <c r="C213" s="95" t="s">
        <v>66</v>
      </c>
      <c r="D213" s="95" t="s">
        <v>66</v>
      </c>
      <c r="E213" s="97" t="s">
        <v>91</v>
      </c>
      <c r="F213" s="92"/>
      <c r="G213" s="218">
        <f t="shared" si="8"/>
        <v>50</v>
      </c>
    </row>
    <row r="214" spans="1:7" s="11" customFormat="1" ht="22.5">
      <c r="A214" s="93" t="s">
        <v>134</v>
      </c>
      <c r="B214" s="94" t="s">
        <v>415</v>
      </c>
      <c r="C214" s="95" t="s">
        <v>66</v>
      </c>
      <c r="D214" s="95" t="s">
        <v>66</v>
      </c>
      <c r="E214" s="97" t="s">
        <v>91</v>
      </c>
      <c r="F214" s="92">
        <v>726</v>
      </c>
      <c r="G214" s="218">
        <v>50</v>
      </c>
    </row>
    <row r="215" spans="1:7" s="11" customFormat="1" ht="12.75">
      <c r="A215" s="90" t="s">
        <v>192</v>
      </c>
      <c r="B215" s="88" t="s">
        <v>251</v>
      </c>
      <c r="C215" s="91"/>
      <c r="D215" s="91"/>
      <c r="E215" s="97"/>
      <c r="F215" s="92"/>
      <c r="G215" s="215">
        <f>G216+G222+G228+G234</f>
        <v>250</v>
      </c>
    </row>
    <row r="216" spans="1:7" s="11" customFormat="1" ht="12.75">
      <c r="A216" s="90" t="s">
        <v>161</v>
      </c>
      <c r="B216" s="88" t="s">
        <v>252</v>
      </c>
      <c r="C216" s="91"/>
      <c r="D216" s="91"/>
      <c r="E216" s="97"/>
      <c r="F216" s="92"/>
      <c r="G216" s="215">
        <f>G217</f>
        <v>95</v>
      </c>
    </row>
    <row r="217" spans="1:7" s="11" customFormat="1" ht="12.75">
      <c r="A217" s="90" t="s">
        <v>8</v>
      </c>
      <c r="B217" s="88" t="s">
        <v>252</v>
      </c>
      <c r="C217" s="91" t="s">
        <v>66</v>
      </c>
      <c r="D217" s="91" t="s">
        <v>34</v>
      </c>
      <c r="E217" s="97"/>
      <c r="F217" s="92"/>
      <c r="G217" s="215">
        <f>G218</f>
        <v>95</v>
      </c>
    </row>
    <row r="218" spans="1:7" s="11" customFormat="1" ht="12.75">
      <c r="A218" s="93" t="s">
        <v>336</v>
      </c>
      <c r="B218" s="94" t="s">
        <v>252</v>
      </c>
      <c r="C218" s="95" t="s">
        <v>66</v>
      </c>
      <c r="D218" s="95" t="s">
        <v>66</v>
      </c>
      <c r="E218" s="97"/>
      <c r="F218" s="92"/>
      <c r="G218" s="215">
        <f>G219</f>
        <v>95</v>
      </c>
    </row>
    <row r="219" spans="1:7" s="11" customFormat="1" ht="22.5">
      <c r="A219" s="96" t="s">
        <v>333</v>
      </c>
      <c r="B219" s="94" t="s">
        <v>252</v>
      </c>
      <c r="C219" s="95" t="s">
        <v>66</v>
      </c>
      <c r="D219" s="95" t="s">
        <v>66</v>
      </c>
      <c r="E219" s="97" t="s">
        <v>94</v>
      </c>
      <c r="F219" s="92"/>
      <c r="G219" s="218">
        <f>G220</f>
        <v>95</v>
      </c>
    </row>
    <row r="220" spans="1:7" s="11" customFormat="1" ht="22.5">
      <c r="A220" s="96" t="s">
        <v>610</v>
      </c>
      <c r="B220" s="94" t="s">
        <v>252</v>
      </c>
      <c r="C220" s="95" t="s">
        <v>66</v>
      </c>
      <c r="D220" s="95" t="s">
        <v>66</v>
      </c>
      <c r="E220" s="97" t="s">
        <v>91</v>
      </c>
      <c r="F220" s="92"/>
      <c r="G220" s="218">
        <f>G221</f>
        <v>95</v>
      </c>
    </row>
    <row r="221" spans="1:7" s="11" customFormat="1" ht="22.5">
      <c r="A221" s="93" t="s">
        <v>134</v>
      </c>
      <c r="B221" s="94" t="s">
        <v>252</v>
      </c>
      <c r="C221" s="95" t="s">
        <v>66</v>
      </c>
      <c r="D221" s="95" t="s">
        <v>66</v>
      </c>
      <c r="E221" s="97" t="s">
        <v>91</v>
      </c>
      <c r="F221" s="92">
        <v>726</v>
      </c>
      <c r="G221" s="218">
        <v>95</v>
      </c>
    </row>
    <row r="222" spans="1:7" s="11" customFormat="1" ht="21" customHeight="1">
      <c r="A222" s="90" t="s">
        <v>162</v>
      </c>
      <c r="B222" s="88" t="s">
        <v>253</v>
      </c>
      <c r="C222" s="91"/>
      <c r="D222" s="91"/>
      <c r="E222" s="99"/>
      <c r="F222" s="87"/>
      <c r="G222" s="215">
        <f>G223</f>
        <v>100</v>
      </c>
    </row>
    <row r="223" spans="1:7" s="11" customFormat="1" ht="12.75">
      <c r="A223" s="90" t="s">
        <v>8</v>
      </c>
      <c r="B223" s="88" t="s">
        <v>253</v>
      </c>
      <c r="C223" s="91" t="s">
        <v>66</v>
      </c>
      <c r="D223" s="91" t="s">
        <v>34</v>
      </c>
      <c r="E223" s="97"/>
      <c r="F223" s="92"/>
      <c r="G223" s="215">
        <f>G224</f>
        <v>100</v>
      </c>
    </row>
    <row r="224" spans="1:7" s="11" customFormat="1" ht="12.75">
      <c r="A224" s="93" t="s">
        <v>336</v>
      </c>
      <c r="B224" s="94" t="s">
        <v>253</v>
      </c>
      <c r="C224" s="95" t="s">
        <v>66</v>
      </c>
      <c r="D224" s="95" t="s">
        <v>66</v>
      </c>
      <c r="E224" s="97"/>
      <c r="F224" s="92"/>
      <c r="G224" s="218">
        <f>G225</f>
        <v>100</v>
      </c>
    </row>
    <row r="225" spans="1:7" s="11" customFormat="1" ht="45">
      <c r="A225" s="93" t="s">
        <v>92</v>
      </c>
      <c r="B225" s="94" t="s">
        <v>253</v>
      </c>
      <c r="C225" s="97" t="s">
        <v>66</v>
      </c>
      <c r="D225" s="97" t="s">
        <v>66</v>
      </c>
      <c r="E225" s="97" t="s">
        <v>93</v>
      </c>
      <c r="F225" s="92"/>
      <c r="G225" s="218">
        <f>G226</f>
        <v>100</v>
      </c>
    </row>
    <row r="226" spans="1:7" s="11" customFormat="1" ht="12.75">
      <c r="A226" s="96" t="s">
        <v>208</v>
      </c>
      <c r="B226" s="94" t="s">
        <v>253</v>
      </c>
      <c r="C226" s="97" t="s">
        <v>66</v>
      </c>
      <c r="D226" s="97" t="s">
        <v>66</v>
      </c>
      <c r="E226" s="97" t="s">
        <v>209</v>
      </c>
      <c r="F226" s="92"/>
      <c r="G226" s="218">
        <f>G227</f>
        <v>100</v>
      </c>
    </row>
    <row r="227" spans="1:7" s="11" customFormat="1" ht="22.5" customHeight="1">
      <c r="A227" s="93" t="s">
        <v>134</v>
      </c>
      <c r="B227" s="94" t="s">
        <v>253</v>
      </c>
      <c r="C227" s="97" t="s">
        <v>66</v>
      </c>
      <c r="D227" s="97" t="s">
        <v>66</v>
      </c>
      <c r="E227" s="97" t="s">
        <v>209</v>
      </c>
      <c r="F227" s="92">
        <v>726</v>
      </c>
      <c r="G227" s="218">
        <v>100</v>
      </c>
    </row>
    <row r="228" spans="1:7" s="11" customFormat="1" ht="12.75">
      <c r="A228" s="90" t="s">
        <v>163</v>
      </c>
      <c r="B228" s="88" t="s">
        <v>254</v>
      </c>
      <c r="C228" s="91"/>
      <c r="D228" s="91"/>
      <c r="E228" s="99"/>
      <c r="F228" s="87"/>
      <c r="G228" s="215">
        <f>G229</f>
        <v>35</v>
      </c>
    </row>
    <row r="229" spans="1:7" s="11" customFormat="1" ht="12.75">
      <c r="A229" s="90" t="s">
        <v>8</v>
      </c>
      <c r="B229" s="88" t="s">
        <v>254</v>
      </c>
      <c r="C229" s="91" t="s">
        <v>66</v>
      </c>
      <c r="D229" s="91" t="s">
        <v>34</v>
      </c>
      <c r="E229" s="97"/>
      <c r="F229" s="92"/>
      <c r="G229" s="215">
        <f>G230</f>
        <v>35</v>
      </c>
    </row>
    <row r="230" spans="1:7" s="11" customFormat="1" ht="12.75">
      <c r="A230" s="93" t="s">
        <v>336</v>
      </c>
      <c r="B230" s="94" t="s">
        <v>254</v>
      </c>
      <c r="C230" s="95" t="s">
        <v>66</v>
      </c>
      <c r="D230" s="95" t="s">
        <v>66</v>
      </c>
      <c r="E230" s="97"/>
      <c r="F230" s="92"/>
      <c r="G230" s="218">
        <f>G231</f>
        <v>35</v>
      </c>
    </row>
    <row r="231" spans="1:7" s="11" customFormat="1" ht="23.25" customHeight="1">
      <c r="A231" s="96" t="s">
        <v>333</v>
      </c>
      <c r="B231" s="94" t="s">
        <v>254</v>
      </c>
      <c r="C231" s="95" t="s">
        <v>66</v>
      </c>
      <c r="D231" s="95" t="s">
        <v>66</v>
      </c>
      <c r="E231" s="97" t="s">
        <v>94</v>
      </c>
      <c r="F231" s="92"/>
      <c r="G231" s="218">
        <f>G232</f>
        <v>35</v>
      </c>
    </row>
    <row r="232" spans="1:7" s="11" customFormat="1" ht="25.5" customHeight="1">
      <c r="A232" s="96" t="s">
        <v>610</v>
      </c>
      <c r="B232" s="94" t="s">
        <v>254</v>
      </c>
      <c r="C232" s="95" t="s">
        <v>66</v>
      </c>
      <c r="D232" s="95" t="s">
        <v>66</v>
      </c>
      <c r="E232" s="97" t="s">
        <v>91</v>
      </c>
      <c r="F232" s="92"/>
      <c r="G232" s="218">
        <f>G233</f>
        <v>35</v>
      </c>
    </row>
    <row r="233" spans="1:7" s="11" customFormat="1" ht="22.5">
      <c r="A233" s="93" t="s">
        <v>134</v>
      </c>
      <c r="B233" s="94" t="s">
        <v>254</v>
      </c>
      <c r="C233" s="95" t="s">
        <v>66</v>
      </c>
      <c r="D233" s="95" t="s">
        <v>66</v>
      </c>
      <c r="E233" s="97" t="s">
        <v>91</v>
      </c>
      <c r="F233" s="92">
        <v>726</v>
      </c>
      <c r="G233" s="218">
        <v>35</v>
      </c>
    </row>
    <row r="234" spans="1:7" s="11" customFormat="1" ht="21.75">
      <c r="A234" s="90" t="s">
        <v>164</v>
      </c>
      <c r="B234" s="88" t="s">
        <v>255</v>
      </c>
      <c r="C234" s="91"/>
      <c r="D234" s="91"/>
      <c r="E234" s="99"/>
      <c r="F234" s="87"/>
      <c r="G234" s="215">
        <f>G235</f>
        <v>20</v>
      </c>
    </row>
    <row r="235" spans="1:7" s="11" customFormat="1" ht="12.75">
      <c r="A235" s="90" t="s">
        <v>8</v>
      </c>
      <c r="B235" s="88" t="s">
        <v>255</v>
      </c>
      <c r="C235" s="91" t="s">
        <v>66</v>
      </c>
      <c r="D235" s="91" t="s">
        <v>34</v>
      </c>
      <c r="E235" s="97"/>
      <c r="F235" s="92"/>
      <c r="G235" s="215">
        <f>G236</f>
        <v>20</v>
      </c>
    </row>
    <row r="236" spans="1:7" s="11" customFormat="1" ht="12.75">
      <c r="A236" s="93" t="s">
        <v>336</v>
      </c>
      <c r="B236" s="94" t="s">
        <v>255</v>
      </c>
      <c r="C236" s="95" t="s">
        <v>66</v>
      </c>
      <c r="D236" s="95" t="s">
        <v>66</v>
      </c>
      <c r="E236" s="97"/>
      <c r="F236" s="92"/>
      <c r="G236" s="218">
        <f>G237</f>
        <v>20</v>
      </c>
    </row>
    <row r="237" spans="1:7" s="11" customFormat="1" ht="22.5" customHeight="1">
      <c r="A237" s="96" t="s">
        <v>333</v>
      </c>
      <c r="B237" s="94" t="s">
        <v>255</v>
      </c>
      <c r="C237" s="95" t="s">
        <v>66</v>
      </c>
      <c r="D237" s="95" t="s">
        <v>66</v>
      </c>
      <c r="E237" s="97" t="s">
        <v>94</v>
      </c>
      <c r="F237" s="92"/>
      <c r="G237" s="218">
        <f>G238</f>
        <v>20</v>
      </c>
    </row>
    <row r="238" spans="1:7" s="11" customFormat="1" ht="22.5">
      <c r="A238" s="96" t="s">
        <v>610</v>
      </c>
      <c r="B238" s="94" t="s">
        <v>255</v>
      </c>
      <c r="C238" s="95" t="s">
        <v>66</v>
      </c>
      <c r="D238" s="95" t="s">
        <v>66</v>
      </c>
      <c r="E238" s="97" t="s">
        <v>91</v>
      </c>
      <c r="F238" s="92"/>
      <c r="G238" s="218">
        <f>G239</f>
        <v>20</v>
      </c>
    </row>
    <row r="239" spans="1:7" s="11" customFormat="1" ht="22.5">
      <c r="A239" s="93" t="s">
        <v>134</v>
      </c>
      <c r="B239" s="94" t="s">
        <v>255</v>
      </c>
      <c r="C239" s="95" t="s">
        <v>66</v>
      </c>
      <c r="D239" s="95" t="s">
        <v>66</v>
      </c>
      <c r="E239" s="97" t="s">
        <v>91</v>
      </c>
      <c r="F239" s="92">
        <v>726</v>
      </c>
      <c r="G239" s="218">
        <v>20</v>
      </c>
    </row>
    <row r="240" spans="1:7" s="11" customFormat="1" ht="21.75">
      <c r="A240" s="100" t="s">
        <v>729</v>
      </c>
      <c r="B240" s="88" t="s">
        <v>143</v>
      </c>
      <c r="C240" s="95"/>
      <c r="D240" s="95"/>
      <c r="E240" s="97"/>
      <c r="F240" s="92"/>
      <c r="G240" s="215">
        <f>G241</f>
        <v>373.6</v>
      </c>
    </row>
    <row r="241" spans="1:7" s="11" customFormat="1" ht="27.6" customHeight="1">
      <c r="A241" s="100" t="s">
        <v>712</v>
      </c>
      <c r="B241" s="88" t="s">
        <v>233</v>
      </c>
      <c r="C241" s="95"/>
      <c r="D241" s="95"/>
      <c r="E241" s="97"/>
      <c r="F241" s="92"/>
      <c r="G241" s="215">
        <f>G248+G242</f>
        <v>373.6</v>
      </c>
    </row>
    <row r="242" spans="1:7" s="11" customFormat="1" ht="21.75">
      <c r="A242" s="90" t="s">
        <v>615</v>
      </c>
      <c r="B242" s="88" t="s">
        <v>616</v>
      </c>
      <c r="C242" s="91"/>
      <c r="D242" s="91"/>
      <c r="E242" s="99"/>
      <c r="F242" s="87"/>
      <c r="G242" s="216">
        <f>G243</f>
        <v>306</v>
      </c>
    </row>
    <row r="243" spans="1:7" s="11" customFormat="1" ht="12.75">
      <c r="A243" s="90" t="s">
        <v>5</v>
      </c>
      <c r="B243" s="94" t="s">
        <v>616</v>
      </c>
      <c r="C243" s="91" t="s">
        <v>65</v>
      </c>
      <c r="D243" s="91" t="s">
        <v>34</v>
      </c>
      <c r="E243" s="99"/>
      <c r="F243" s="87"/>
      <c r="G243" s="216">
        <f>G244</f>
        <v>306</v>
      </c>
    </row>
    <row r="244" spans="1:7" s="11" customFormat="1" ht="12.75">
      <c r="A244" s="96" t="s">
        <v>7</v>
      </c>
      <c r="B244" s="94" t="s">
        <v>616</v>
      </c>
      <c r="C244" s="95" t="s">
        <v>65</v>
      </c>
      <c r="D244" s="95" t="s">
        <v>75</v>
      </c>
      <c r="E244" s="97"/>
      <c r="F244" s="92"/>
      <c r="G244" s="217">
        <f>G245</f>
        <v>306</v>
      </c>
    </row>
    <row r="245" spans="1:7" s="11" customFormat="1" ht="22.5">
      <c r="A245" s="96" t="s">
        <v>333</v>
      </c>
      <c r="B245" s="94" t="s">
        <v>616</v>
      </c>
      <c r="C245" s="95" t="s">
        <v>65</v>
      </c>
      <c r="D245" s="95" t="s">
        <v>75</v>
      </c>
      <c r="E245" s="97" t="s">
        <v>94</v>
      </c>
      <c r="F245" s="92"/>
      <c r="G245" s="217">
        <f>G246</f>
        <v>306</v>
      </c>
    </row>
    <row r="246" spans="1:7" s="11" customFormat="1" ht="22.5">
      <c r="A246" s="96" t="s">
        <v>614</v>
      </c>
      <c r="B246" s="94" t="s">
        <v>616</v>
      </c>
      <c r="C246" s="95" t="s">
        <v>65</v>
      </c>
      <c r="D246" s="95" t="s">
        <v>75</v>
      </c>
      <c r="E246" s="97" t="s">
        <v>91</v>
      </c>
      <c r="F246" s="92"/>
      <c r="G246" s="217">
        <f>G247</f>
        <v>306</v>
      </c>
    </row>
    <row r="247" spans="1:7" s="11" customFormat="1" ht="12.75">
      <c r="A247" s="93" t="s">
        <v>130</v>
      </c>
      <c r="B247" s="94" t="s">
        <v>616</v>
      </c>
      <c r="C247" s="95" t="s">
        <v>65</v>
      </c>
      <c r="D247" s="95" t="s">
        <v>75</v>
      </c>
      <c r="E247" s="97" t="s">
        <v>91</v>
      </c>
      <c r="F247" s="92">
        <v>721</v>
      </c>
      <c r="G247" s="217">
        <f>436-130</f>
        <v>306</v>
      </c>
    </row>
    <row r="248" spans="1:7" s="60" customFormat="1" ht="32.25">
      <c r="A248" s="90" t="s">
        <v>416</v>
      </c>
      <c r="B248" s="88" t="s">
        <v>289</v>
      </c>
      <c r="C248" s="91"/>
      <c r="D248" s="91"/>
      <c r="E248" s="99"/>
      <c r="F248" s="87"/>
      <c r="G248" s="215">
        <f aca="true" t="shared" si="9" ref="G248:G254">G249</f>
        <v>67.6</v>
      </c>
    </row>
    <row r="249" spans="1:7" s="60" customFormat="1" ht="12.75">
      <c r="A249" s="90" t="s">
        <v>5</v>
      </c>
      <c r="B249" s="88" t="s">
        <v>289</v>
      </c>
      <c r="C249" s="91" t="s">
        <v>65</v>
      </c>
      <c r="D249" s="91" t="s">
        <v>34</v>
      </c>
      <c r="E249" s="99"/>
      <c r="F249" s="87"/>
      <c r="G249" s="215">
        <f t="shared" si="9"/>
        <v>67.6</v>
      </c>
    </row>
    <row r="250" spans="1:7" s="11" customFormat="1" ht="12.75">
      <c r="A250" s="96" t="s">
        <v>7</v>
      </c>
      <c r="B250" s="94" t="s">
        <v>289</v>
      </c>
      <c r="C250" s="95" t="s">
        <v>65</v>
      </c>
      <c r="D250" s="95" t="s">
        <v>75</v>
      </c>
      <c r="E250" s="97"/>
      <c r="F250" s="92"/>
      <c r="G250" s="218">
        <f>G251+G254</f>
        <v>67.6</v>
      </c>
    </row>
    <row r="251" spans="1:7" s="11" customFormat="1" ht="45">
      <c r="A251" s="96" t="s">
        <v>92</v>
      </c>
      <c r="B251" s="94" t="s">
        <v>289</v>
      </c>
      <c r="C251" s="95" t="s">
        <v>65</v>
      </c>
      <c r="D251" s="95" t="s">
        <v>75</v>
      </c>
      <c r="E251" s="97" t="s">
        <v>93</v>
      </c>
      <c r="F251" s="92"/>
      <c r="G251" s="218">
        <f>G252</f>
        <v>15</v>
      </c>
    </row>
    <row r="252" spans="1:7" s="11" customFormat="1" ht="22.5">
      <c r="A252" s="96" t="s">
        <v>89</v>
      </c>
      <c r="B252" s="94" t="s">
        <v>289</v>
      </c>
      <c r="C252" s="95" t="s">
        <v>65</v>
      </c>
      <c r="D252" s="95" t="s">
        <v>75</v>
      </c>
      <c r="E252" s="97" t="s">
        <v>90</v>
      </c>
      <c r="F252" s="92"/>
      <c r="G252" s="218">
        <f>G253</f>
        <v>15</v>
      </c>
    </row>
    <row r="253" spans="1:7" s="11" customFormat="1" ht="12.75">
      <c r="A253" s="93" t="s">
        <v>130</v>
      </c>
      <c r="B253" s="94" t="s">
        <v>289</v>
      </c>
      <c r="C253" s="95" t="s">
        <v>65</v>
      </c>
      <c r="D253" s="95" t="s">
        <v>75</v>
      </c>
      <c r="E253" s="97" t="s">
        <v>90</v>
      </c>
      <c r="F253" s="92">
        <v>721</v>
      </c>
      <c r="G253" s="218">
        <f>92-77</f>
        <v>15</v>
      </c>
    </row>
    <row r="254" spans="1:7" s="11" customFormat="1" ht="22.5">
      <c r="A254" s="96" t="s">
        <v>333</v>
      </c>
      <c r="B254" s="94" t="s">
        <v>289</v>
      </c>
      <c r="C254" s="95" t="s">
        <v>65</v>
      </c>
      <c r="D254" s="95" t="s">
        <v>75</v>
      </c>
      <c r="E254" s="95" t="s">
        <v>94</v>
      </c>
      <c r="F254" s="92"/>
      <c r="G254" s="218">
        <f t="shared" si="9"/>
        <v>52.6</v>
      </c>
    </row>
    <row r="255" spans="1:7" s="11" customFormat="1" ht="23.25" customHeight="1">
      <c r="A255" s="96" t="s">
        <v>610</v>
      </c>
      <c r="B255" s="94" t="s">
        <v>289</v>
      </c>
      <c r="C255" s="95" t="s">
        <v>65</v>
      </c>
      <c r="D255" s="95" t="s">
        <v>75</v>
      </c>
      <c r="E255" s="95" t="s">
        <v>91</v>
      </c>
      <c r="F255" s="92"/>
      <c r="G255" s="218">
        <f>G256</f>
        <v>52.6</v>
      </c>
    </row>
    <row r="256" spans="1:7" s="11" customFormat="1" ht="12.75">
      <c r="A256" s="93" t="s">
        <v>130</v>
      </c>
      <c r="B256" s="94" t="s">
        <v>289</v>
      </c>
      <c r="C256" s="95" t="s">
        <v>65</v>
      </c>
      <c r="D256" s="95" t="s">
        <v>75</v>
      </c>
      <c r="E256" s="95" t="s">
        <v>91</v>
      </c>
      <c r="F256" s="92">
        <v>721</v>
      </c>
      <c r="G256" s="218">
        <f>4+16+32.6</f>
        <v>52.6</v>
      </c>
    </row>
    <row r="257" spans="1:12" s="11" customFormat="1" ht="21.75">
      <c r="A257" s="90" t="s">
        <v>730</v>
      </c>
      <c r="B257" s="88" t="s">
        <v>148</v>
      </c>
      <c r="C257" s="95"/>
      <c r="D257" s="95"/>
      <c r="E257" s="97"/>
      <c r="F257" s="92"/>
      <c r="G257" s="215">
        <f>G258</f>
        <v>3151.4999999999995</v>
      </c>
      <c r="I257" s="79"/>
      <c r="J257" s="79"/>
      <c r="K257" s="79"/>
      <c r="L257" s="79"/>
    </row>
    <row r="258" spans="1:12" s="11" customFormat="1" ht="31.5" customHeight="1">
      <c r="A258" s="90" t="s">
        <v>186</v>
      </c>
      <c r="B258" s="88" t="s">
        <v>235</v>
      </c>
      <c r="C258" s="95"/>
      <c r="D258" s="95"/>
      <c r="E258" s="97"/>
      <c r="F258" s="92"/>
      <c r="G258" s="215">
        <f>G259+G284+G299+G319+G338+G362+G372+G378</f>
        <v>3151.4999999999995</v>
      </c>
      <c r="I258" s="79"/>
      <c r="J258" s="79"/>
      <c r="K258" s="79"/>
      <c r="L258" s="79"/>
    </row>
    <row r="259" spans="1:12" s="11" customFormat="1" ht="32.25">
      <c r="A259" s="90" t="s">
        <v>417</v>
      </c>
      <c r="B259" s="88" t="s">
        <v>236</v>
      </c>
      <c r="C259" s="95"/>
      <c r="D259" s="95"/>
      <c r="E259" s="97"/>
      <c r="F259" s="92"/>
      <c r="G259" s="215">
        <f>G260+G274+G279</f>
        <v>2012.6999999999998</v>
      </c>
      <c r="I259" s="79"/>
      <c r="J259" s="79"/>
      <c r="K259" s="79"/>
      <c r="L259" s="79"/>
    </row>
    <row r="260" spans="1:12" s="11" customFormat="1" ht="12.75">
      <c r="A260" s="90" t="s">
        <v>8</v>
      </c>
      <c r="B260" s="88" t="s">
        <v>236</v>
      </c>
      <c r="C260" s="91" t="s">
        <v>66</v>
      </c>
      <c r="D260" s="91" t="s">
        <v>34</v>
      </c>
      <c r="E260" s="97"/>
      <c r="F260" s="92"/>
      <c r="G260" s="215">
        <f>G261+G265+G269</f>
        <v>1537.6999999999998</v>
      </c>
      <c r="I260" s="79"/>
      <c r="J260" s="79"/>
      <c r="K260" s="79"/>
      <c r="L260" s="79"/>
    </row>
    <row r="261" spans="1:12" s="11" customFormat="1" ht="12.75">
      <c r="A261" s="93" t="s">
        <v>9</v>
      </c>
      <c r="B261" s="94" t="s">
        <v>236</v>
      </c>
      <c r="C261" s="95" t="s">
        <v>66</v>
      </c>
      <c r="D261" s="95" t="s">
        <v>63</v>
      </c>
      <c r="E261" s="97"/>
      <c r="F261" s="92"/>
      <c r="G261" s="218">
        <f>G262</f>
        <v>268.8</v>
      </c>
      <c r="I261" s="79"/>
      <c r="J261" s="79"/>
      <c r="K261" s="79"/>
      <c r="L261" s="79"/>
    </row>
    <row r="262" spans="1:7" s="11" customFormat="1" ht="22.5">
      <c r="A262" s="96" t="s">
        <v>95</v>
      </c>
      <c r="B262" s="94" t="s">
        <v>236</v>
      </c>
      <c r="C262" s="95" t="s">
        <v>66</v>
      </c>
      <c r="D262" s="95" t="s">
        <v>63</v>
      </c>
      <c r="E262" s="97" t="s">
        <v>96</v>
      </c>
      <c r="F262" s="92"/>
      <c r="G262" s="218">
        <f>G263</f>
        <v>268.8</v>
      </c>
    </row>
    <row r="263" spans="1:7" s="11" customFormat="1" ht="12.75">
      <c r="A263" s="96" t="s">
        <v>99</v>
      </c>
      <c r="B263" s="94" t="s">
        <v>236</v>
      </c>
      <c r="C263" s="95" t="s">
        <v>66</v>
      </c>
      <c r="D263" s="95" t="s">
        <v>63</v>
      </c>
      <c r="E263" s="97" t="s">
        <v>100</v>
      </c>
      <c r="F263" s="92"/>
      <c r="G263" s="218">
        <f>G264</f>
        <v>268.8</v>
      </c>
    </row>
    <row r="264" spans="1:7" s="11" customFormat="1" ht="12" customHeight="1">
      <c r="A264" s="93" t="s">
        <v>133</v>
      </c>
      <c r="B264" s="94" t="s">
        <v>236</v>
      </c>
      <c r="C264" s="95" t="s">
        <v>66</v>
      </c>
      <c r="D264" s="95" t="s">
        <v>63</v>
      </c>
      <c r="E264" s="97" t="s">
        <v>100</v>
      </c>
      <c r="F264" s="92">
        <v>725</v>
      </c>
      <c r="G264" s="218">
        <f>287.7-18.9</f>
        <v>268.8</v>
      </c>
    </row>
    <row r="265" spans="1:7" s="11" customFormat="1" ht="12.75">
      <c r="A265" s="93" t="s">
        <v>351</v>
      </c>
      <c r="B265" s="94" t="s">
        <v>236</v>
      </c>
      <c r="C265" s="95" t="s">
        <v>66</v>
      </c>
      <c r="D265" s="95" t="s">
        <v>64</v>
      </c>
      <c r="E265" s="97"/>
      <c r="F265" s="92"/>
      <c r="G265" s="218">
        <f>G266</f>
        <v>808.8</v>
      </c>
    </row>
    <row r="266" spans="1:7" s="11" customFormat="1" ht="22.5">
      <c r="A266" s="96" t="s">
        <v>95</v>
      </c>
      <c r="B266" s="94" t="s">
        <v>236</v>
      </c>
      <c r="C266" s="95" t="s">
        <v>66</v>
      </c>
      <c r="D266" s="95" t="s">
        <v>64</v>
      </c>
      <c r="E266" s="97" t="s">
        <v>96</v>
      </c>
      <c r="F266" s="92"/>
      <c r="G266" s="218">
        <f>G267</f>
        <v>808.8</v>
      </c>
    </row>
    <row r="267" spans="1:7" s="11" customFormat="1" ht="12.75">
      <c r="A267" s="96" t="s">
        <v>99</v>
      </c>
      <c r="B267" s="94" t="s">
        <v>236</v>
      </c>
      <c r="C267" s="95" t="s">
        <v>66</v>
      </c>
      <c r="D267" s="95" t="s">
        <v>64</v>
      </c>
      <c r="E267" s="97" t="s">
        <v>100</v>
      </c>
      <c r="F267" s="92"/>
      <c r="G267" s="218">
        <f>G268</f>
        <v>808.8</v>
      </c>
    </row>
    <row r="268" spans="1:7" s="11" customFormat="1" ht="11.25" customHeight="1">
      <c r="A268" s="93" t="s">
        <v>133</v>
      </c>
      <c r="B268" s="94" t="s">
        <v>236</v>
      </c>
      <c r="C268" s="95" t="s">
        <v>66</v>
      </c>
      <c r="D268" s="95" t="s">
        <v>64</v>
      </c>
      <c r="E268" s="97" t="s">
        <v>100</v>
      </c>
      <c r="F268" s="92">
        <v>725</v>
      </c>
      <c r="G268" s="218">
        <f>862.5-53.7</f>
        <v>808.8</v>
      </c>
    </row>
    <row r="269" spans="1:7" s="11" customFormat="1" ht="12.75">
      <c r="A269" s="93" t="s">
        <v>304</v>
      </c>
      <c r="B269" s="94" t="s">
        <v>236</v>
      </c>
      <c r="C269" s="95" t="s">
        <v>66</v>
      </c>
      <c r="D269" s="95" t="s">
        <v>67</v>
      </c>
      <c r="E269" s="97"/>
      <c r="F269" s="92"/>
      <c r="G269" s="218">
        <f>G270</f>
        <v>460.1</v>
      </c>
    </row>
    <row r="270" spans="1:7" s="11" customFormat="1" ht="22.5">
      <c r="A270" s="96" t="s">
        <v>95</v>
      </c>
      <c r="B270" s="94" t="s">
        <v>236</v>
      </c>
      <c r="C270" s="95" t="s">
        <v>66</v>
      </c>
      <c r="D270" s="95" t="s">
        <v>67</v>
      </c>
      <c r="E270" s="97" t="s">
        <v>96</v>
      </c>
      <c r="F270" s="92"/>
      <c r="G270" s="218">
        <f>G271</f>
        <v>460.1</v>
      </c>
    </row>
    <row r="271" spans="1:7" s="11" customFormat="1" ht="12.75">
      <c r="A271" s="96" t="s">
        <v>99</v>
      </c>
      <c r="B271" s="94" t="s">
        <v>236</v>
      </c>
      <c r="C271" s="95" t="s">
        <v>66</v>
      </c>
      <c r="D271" s="95" t="s">
        <v>67</v>
      </c>
      <c r="E271" s="97" t="s">
        <v>100</v>
      </c>
      <c r="F271" s="92"/>
      <c r="G271" s="218">
        <f>G272+G273</f>
        <v>460.1</v>
      </c>
    </row>
    <row r="272" spans="1:7" s="11" customFormat="1" ht="10.5" customHeight="1">
      <c r="A272" s="93" t="s">
        <v>133</v>
      </c>
      <c r="B272" s="94" t="s">
        <v>236</v>
      </c>
      <c r="C272" s="95" t="s">
        <v>66</v>
      </c>
      <c r="D272" s="95" t="s">
        <v>67</v>
      </c>
      <c r="E272" s="97" t="s">
        <v>100</v>
      </c>
      <c r="F272" s="92">
        <v>725</v>
      </c>
      <c r="G272" s="218">
        <f>222.5-12.4</f>
        <v>210.1</v>
      </c>
    </row>
    <row r="273" spans="1:7" s="11" customFormat="1" ht="22.5">
      <c r="A273" s="93" t="s">
        <v>134</v>
      </c>
      <c r="B273" s="94" t="s">
        <v>236</v>
      </c>
      <c r="C273" s="95" t="s">
        <v>66</v>
      </c>
      <c r="D273" s="95" t="s">
        <v>67</v>
      </c>
      <c r="E273" s="97" t="s">
        <v>100</v>
      </c>
      <c r="F273" s="92">
        <v>726</v>
      </c>
      <c r="G273" s="218">
        <v>250</v>
      </c>
    </row>
    <row r="274" spans="1:7" s="11" customFormat="1" ht="12.75">
      <c r="A274" s="100" t="s">
        <v>122</v>
      </c>
      <c r="B274" s="88" t="s">
        <v>236</v>
      </c>
      <c r="C274" s="91" t="s">
        <v>70</v>
      </c>
      <c r="D274" s="91" t="s">
        <v>34</v>
      </c>
      <c r="E274" s="99"/>
      <c r="F274" s="87"/>
      <c r="G274" s="215">
        <f>G275</f>
        <v>295</v>
      </c>
    </row>
    <row r="275" spans="1:7" s="11" customFormat="1" ht="12.75">
      <c r="A275" s="93" t="s">
        <v>12</v>
      </c>
      <c r="B275" s="94" t="s">
        <v>236</v>
      </c>
      <c r="C275" s="95" t="s">
        <v>70</v>
      </c>
      <c r="D275" s="95" t="s">
        <v>63</v>
      </c>
      <c r="E275" s="97"/>
      <c r="F275" s="92"/>
      <c r="G275" s="218">
        <f>G276</f>
        <v>295</v>
      </c>
    </row>
    <row r="276" spans="1:7" s="11" customFormat="1" ht="22.5">
      <c r="A276" s="96" t="s">
        <v>95</v>
      </c>
      <c r="B276" s="94" t="s">
        <v>236</v>
      </c>
      <c r="C276" s="95" t="s">
        <v>70</v>
      </c>
      <c r="D276" s="95" t="s">
        <v>63</v>
      </c>
      <c r="E276" s="97" t="s">
        <v>96</v>
      </c>
      <c r="F276" s="92"/>
      <c r="G276" s="218">
        <f>G277</f>
        <v>295</v>
      </c>
    </row>
    <row r="277" spans="1:7" s="11" customFormat="1" ht="12.75">
      <c r="A277" s="96" t="s">
        <v>99</v>
      </c>
      <c r="B277" s="94" t="s">
        <v>236</v>
      </c>
      <c r="C277" s="95" t="s">
        <v>70</v>
      </c>
      <c r="D277" s="95" t="s">
        <v>63</v>
      </c>
      <c r="E277" s="97" t="s">
        <v>100</v>
      </c>
      <c r="F277" s="92"/>
      <c r="G277" s="218">
        <f>G278</f>
        <v>295</v>
      </c>
    </row>
    <row r="278" spans="1:7" s="11" customFormat="1" ht="22.5">
      <c r="A278" s="93" t="s">
        <v>134</v>
      </c>
      <c r="B278" s="94" t="s">
        <v>236</v>
      </c>
      <c r="C278" s="95" t="s">
        <v>70</v>
      </c>
      <c r="D278" s="95" t="s">
        <v>63</v>
      </c>
      <c r="E278" s="97" t="s">
        <v>100</v>
      </c>
      <c r="F278" s="92">
        <v>726</v>
      </c>
      <c r="G278" s="218">
        <v>295</v>
      </c>
    </row>
    <row r="279" spans="1:7" s="11" customFormat="1" ht="12.75">
      <c r="A279" s="90" t="s">
        <v>80</v>
      </c>
      <c r="B279" s="88" t="s">
        <v>236</v>
      </c>
      <c r="C279" s="91" t="s">
        <v>71</v>
      </c>
      <c r="D279" s="91" t="s">
        <v>34</v>
      </c>
      <c r="E279" s="99"/>
      <c r="F279" s="87"/>
      <c r="G279" s="215">
        <f>G280</f>
        <v>180</v>
      </c>
    </row>
    <row r="280" spans="1:7" s="11" customFormat="1" ht="12.75">
      <c r="A280" s="93" t="s">
        <v>81</v>
      </c>
      <c r="B280" s="94" t="s">
        <v>236</v>
      </c>
      <c r="C280" s="95" t="s">
        <v>71</v>
      </c>
      <c r="D280" s="95" t="s">
        <v>63</v>
      </c>
      <c r="E280" s="97"/>
      <c r="F280" s="92"/>
      <c r="G280" s="218">
        <f>G281</f>
        <v>180</v>
      </c>
    </row>
    <row r="281" spans="1:7" s="11" customFormat="1" ht="22.5">
      <c r="A281" s="96" t="s">
        <v>95</v>
      </c>
      <c r="B281" s="94" t="s">
        <v>236</v>
      </c>
      <c r="C281" s="95" t="s">
        <v>71</v>
      </c>
      <c r="D281" s="95" t="s">
        <v>63</v>
      </c>
      <c r="E281" s="97" t="s">
        <v>96</v>
      </c>
      <c r="F281" s="92"/>
      <c r="G281" s="218">
        <f>G282</f>
        <v>180</v>
      </c>
    </row>
    <row r="282" spans="1:7" s="11" customFormat="1" ht="12.75">
      <c r="A282" s="96" t="s">
        <v>99</v>
      </c>
      <c r="B282" s="94" t="s">
        <v>236</v>
      </c>
      <c r="C282" s="95" t="s">
        <v>71</v>
      </c>
      <c r="D282" s="95" t="s">
        <v>63</v>
      </c>
      <c r="E282" s="97" t="s">
        <v>100</v>
      </c>
      <c r="F282" s="92"/>
      <c r="G282" s="218">
        <f>G283</f>
        <v>180</v>
      </c>
    </row>
    <row r="283" spans="1:7" s="11" customFormat="1" ht="22.5">
      <c r="A283" s="93" t="s">
        <v>134</v>
      </c>
      <c r="B283" s="94" t="s">
        <v>236</v>
      </c>
      <c r="C283" s="95" t="s">
        <v>71</v>
      </c>
      <c r="D283" s="95" t="s">
        <v>63</v>
      </c>
      <c r="E283" s="97" t="s">
        <v>100</v>
      </c>
      <c r="F283" s="92">
        <v>726</v>
      </c>
      <c r="G283" s="218">
        <v>180</v>
      </c>
    </row>
    <row r="284" spans="1:7" s="11" customFormat="1" ht="12.75">
      <c r="A284" s="90" t="s">
        <v>150</v>
      </c>
      <c r="B284" s="88" t="s">
        <v>240</v>
      </c>
      <c r="C284" s="91"/>
      <c r="D284" s="91"/>
      <c r="E284" s="99"/>
      <c r="F284" s="87"/>
      <c r="G284" s="215">
        <f>G285+G294</f>
        <v>274.2</v>
      </c>
    </row>
    <row r="285" spans="1:7" s="11" customFormat="1" ht="12.75">
      <c r="A285" s="90" t="s">
        <v>8</v>
      </c>
      <c r="B285" s="88" t="s">
        <v>240</v>
      </c>
      <c r="C285" s="91" t="s">
        <v>66</v>
      </c>
      <c r="D285" s="91" t="s">
        <v>34</v>
      </c>
      <c r="E285" s="97"/>
      <c r="F285" s="92"/>
      <c r="G285" s="215">
        <f>G286+G290</f>
        <v>194.2</v>
      </c>
    </row>
    <row r="286" spans="1:7" s="11" customFormat="1" ht="12.75">
      <c r="A286" s="93" t="s">
        <v>351</v>
      </c>
      <c r="B286" s="94" t="s">
        <v>240</v>
      </c>
      <c r="C286" s="95" t="s">
        <v>66</v>
      </c>
      <c r="D286" s="95" t="s">
        <v>64</v>
      </c>
      <c r="E286" s="97"/>
      <c r="F286" s="92"/>
      <c r="G286" s="218">
        <f>G287</f>
        <v>124.2</v>
      </c>
    </row>
    <row r="287" spans="1:7" s="11" customFormat="1" ht="22.5">
      <c r="A287" s="96" t="s">
        <v>95</v>
      </c>
      <c r="B287" s="94" t="s">
        <v>240</v>
      </c>
      <c r="C287" s="95" t="s">
        <v>66</v>
      </c>
      <c r="D287" s="95" t="s">
        <v>64</v>
      </c>
      <c r="E287" s="97" t="s">
        <v>96</v>
      </c>
      <c r="F287" s="92"/>
      <c r="G287" s="218">
        <f>G288</f>
        <v>124.2</v>
      </c>
    </row>
    <row r="288" spans="1:7" s="11" customFormat="1" ht="12.75">
      <c r="A288" s="96" t="s">
        <v>99</v>
      </c>
      <c r="B288" s="94" t="s">
        <v>240</v>
      </c>
      <c r="C288" s="95" t="s">
        <v>66</v>
      </c>
      <c r="D288" s="95" t="s">
        <v>64</v>
      </c>
      <c r="E288" s="97" t="s">
        <v>100</v>
      </c>
      <c r="F288" s="92"/>
      <c r="G288" s="218">
        <f>G289</f>
        <v>124.2</v>
      </c>
    </row>
    <row r="289" spans="1:7" s="11" customFormat="1" ht="13.5" customHeight="1">
      <c r="A289" s="93" t="s">
        <v>133</v>
      </c>
      <c r="B289" s="94" t="s">
        <v>240</v>
      </c>
      <c r="C289" s="95" t="s">
        <v>66</v>
      </c>
      <c r="D289" s="95" t="s">
        <v>64</v>
      </c>
      <c r="E289" s="97" t="s">
        <v>100</v>
      </c>
      <c r="F289" s="92">
        <v>725</v>
      </c>
      <c r="G289" s="218">
        <v>124.2</v>
      </c>
    </row>
    <row r="290" spans="1:7" s="11" customFormat="1" ht="12.75">
      <c r="A290" s="93" t="s">
        <v>304</v>
      </c>
      <c r="B290" s="94" t="s">
        <v>240</v>
      </c>
      <c r="C290" s="95" t="s">
        <v>66</v>
      </c>
      <c r="D290" s="95" t="s">
        <v>67</v>
      </c>
      <c r="E290" s="97"/>
      <c r="F290" s="92"/>
      <c r="G290" s="218">
        <f>G291</f>
        <v>70</v>
      </c>
    </row>
    <row r="291" spans="1:7" s="11" customFormat="1" ht="22.5">
      <c r="A291" s="96" t="s">
        <v>95</v>
      </c>
      <c r="B291" s="94" t="s">
        <v>240</v>
      </c>
      <c r="C291" s="95" t="s">
        <v>66</v>
      </c>
      <c r="D291" s="95" t="s">
        <v>67</v>
      </c>
      <c r="E291" s="97" t="s">
        <v>96</v>
      </c>
      <c r="F291" s="92"/>
      <c r="G291" s="218">
        <f>G292</f>
        <v>70</v>
      </c>
    </row>
    <row r="292" spans="1:7" s="11" customFormat="1" ht="12.75">
      <c r="A292" s="96" t="s">
        <v>99</v>
      </c>
      <c r="B292" s="94" t="s">
        <v>240</v>
      </c>
      <c r="C292" s="95" t="s">
        <v>66</v>
      </c>
      <c r="D292" s="95" t="s">
        <v>67</v>
      </c>
      <c r="E292" s="97" t="s">
        <v>100</v>
      </c>
      <c r="F292" s="92"/>
      <c r="G292" s="218">
        <f>G293</f>
        <v>70</v>
      </c>
    </row>
    <row r="293" spans="1:7" s="11" customFormat="1" ht="22.5">
      <c r="A293" s="93" t="s">
        <v>134</v>
      </c>
      <c r="B293" s="94" t="s">
        <v>240</v>
      </c>
      <c r="C293" s="95" t="s">
        <v>66</v>
      </c>
      <c r="D293" s="95" t="s">
        <v>67</v>
      </c>
      <c r="E293" s="97" t="s">
        <v>100</v>
      </c>
      <c r="F293" s="92">
        <v>726</v>
      </c>
      <c r="G293" s="218">
        <v>70</v>
      </c>
    </row>
    <row r="294" spans="1:7" s="11" customFormat="1" ht="12.75">
      <c r="A294" s="100" t="s">
        <v>122</v>
      </c>
      <c r="B294" s="88" t="s">
        <v>240</v>
      </c>
      <c r="C294" s="91" t="s">
        <v>70</v>
      </c>
      <c r="D294" s="91" t="s">
        <v>34</v>
      </c>
      <c r="E294" s="99"/>
      <c r="F294" s="87"/>
      <c r="G294" s="215">
        <f>G295</f>
        <v>80</v>
      </c>
    </row>
    <row r="295" spans="1:7" s="11" customFormat="1" ht="12.75">
      <c r="A295" s="93" t="s">
        <v>12</v>
      </c>
      <c r="B295" s="94" t="s">
        <v>240</v>
      </c>
      <c r="C295" s="95" t="s">
        <v>70</v>
      </c>
      <c r="D295" s="95" t="s">
        <v>63</v>
      </c>
      <c r="E295" s="97"/>
      <c r="F295" s="92"/>
      <c r="G295" s="218">
        <f>G296</f>
        <v>80</v>
      </c>
    </row>
    <row r="296" spans="1:7" s="11" customFormat="1" ht="22.5">
      <c r="A296" s="96" t="s">
        <v>95</v>
      </c>
      <c r="B296" s="94" t="s">
        <v>240</v>
      </c>
      <c r="C296" s="95" t="s">
        <v>70</v>
      </c>
      <c r="D296" s="95" t="s">
        <v>63</v>
      </c>
      <c r="E296" s="97" t="s">
        <v>96</v>
      </c>
      <c r="F296" s="92"/>
      <c r="G296" s="218">
        <f>G297</f>
        <v>80</v>
      </c>
    </row>
    <row r="297" spans="1:7" s="11" customFormat="1" ht="12.75">
      <c r="A297" s="96" t="s">
        <v>99</v>
      </c>
      <c r="B297" s="94" t="s">
        <v>240</v>
      </c>
      <c r="C297" s="95" t="s">
        <v>70</v>
      </c>
      <c r="D297" s="95" t="s">
        <v>63</v>
      </c>
      <c r="E297" s="97" t="s">
        <v>100</v>
      </c>
      <c r="F297" s="92"/>
      <c r="G297" s="218">
        <f>G298</f>
        <v>80</v>
      </c>
    </row>
    <row r="298" spans="1:7" s="11" customFormat="1" ht="22.5">
      <c r="A298" s="93" t="s">
        <v>134</v>
      </c>
      <c r="B298" s="94" t="s">
        <v>240</v>
      </c>
      <c r="C298" s="95" t="s">
        <v>70</v>
      </c>
      <c r="D298" s="95" t="s">
        <v>63</v>
      </c>
      <c r="E298" s="97" t="s">
        <v>100</v>
      </c>
      <c r="F298" s="92">
        <v>726</v>
      </c>
      <c r="G298" s="218">
        <v>80</v>
      </c>
    </row>
    <row r="299" spans="1:7" s="11" customFormat="1" ht="27.6" customHeight="1">
      <c r="A299" s="90" t="s">
        <v>159</v>
      </c>
      <c r="B299" s="88" t="s">
        <v>249</v>
      </c>
      <c r="C299" s="91"/>
      <c r="D299" s="91"/>
      <c r="E299" s="99"/>
      <c r="F299" s="87"/>
      <c r="G299" s="215">
        <f>G300+G305+G314</f>
        <v>128.7</v>
      </c>
    </row>
    <row r="300" spans="1:7" s="11" customFormat="1" ht="12.75">
      <c r="A300" s="90" t="s">
        <v>8</v>
      </c>
      <c r="B300" s="88" t="s">
        <v>249</v>
      </c>
      <c r="C300" s="91" t="s">
        <v>66</v>
      </c>
      <c r="D300" s="91" t="s">
        <v>34</v>
      </c>
      <c r="E300" s="97"/>
      <c r="F300" s="92"/>
      <c r="G300" s="218">
        <f>G301</f>
        <v>40</v>
      </c>
    </row>
    <row r="301" spans="1:7" s="11" customFormat="1" ht="12.75">
      <c r="A301" s="93" t="s">
        <v>304</v>
      </c>
      <c r="B301" s="94" t="s">
        <v>249</v>
      </c>
      <c r="C301" s="95" t="s">
        <v>66</v>
      </c>
      <c r="D301" s="95" t="s">
        <v>67</v>
      </c>
      <c r="E301" s="97"/>
      <c r="F301" s="92"/>
      <c r="G301" s="218">
        <f>G302</f>
        <v>40</v>
      </c>
    </row>
    <row r="302" spans="1:7" s="11" customFormat="1" ht="22.5">
      <c r="A302" s="96" t="s">
        <v>95</v>
      </c>
      <c r="B302" s="94" t="s">
        <v>249</v>
      </c>
      <c r="C302" s="95" t="s">
        <v>66</v>
      </c>
      <c r="D302" s="95" t="s">
        <v>67</v>
      </c>
      <c r="E302" s="97" t="s">
        <v>96</v>
      </c>
      <c r="F302" s="92"/>
      <c r="G302" s="218">
        <f>G303</f>
        <v>40</v>
      </c>
    </row>
    <row r="303" spans="1:7" s="11" customFormat="1" ht="12.75">
      <c r="A303" s="96" t="s">
        <v>99</v>
      </c>
      <c r="B303" s="94" t="s">
        <v>249</v>
      </c>
      <c r="C303" s="95" t="s">
        <v>66</v>
      </c>
      <c r="D303" s="95" t="s">
        <v>67</v>
      </c>
      <c r="E303" s="97" t="s">
        <v>100</v>
      </c>
      <c r="F303" s="92"/>
      <c r="G303" s="218">
        <f>G304</f>
        <v>40</v>
      </c>
    </row>
    <row r="304" spans="1:7" s="11" customFormat="1" ht="22.5">
      <c r="A304" s="93" t="s">
        <v>134</v>
      </c>
      <c r="B304" s="94" t="s">
        <v>249</v>
      </c>
      <c r="C304" s="95" t="s">
        <v>66</v>
      </c>
      <c r="D304" s="95" t="s">
        <v>67</v>
      </c>
      <c r="E304" s="97" t="s">
        <v>100</v>
      </c>
      <c r="F304" s="92">
        <v>726</v>
      </c>
      <c r="G304" s="218">
        <v>40</v>
      </c>
    </row>
    <row r="305" spans="1:7" s="11" customFormat="1" ht="12.75">
      <c r="A305" s="100" t="s">
        <v>122</v>
      </c>
      <c r="B305" s="88" t="s">
        <v>249</v>
      </c>
      <c r="C305" s="91" t="s">
        <v>70</v>
      </c>
      <c r="D305" s="91" t="s">
        <v>34</v>
      </c>
      <c r="E305" s="99"/>
      <c r="F305" s="87"/>
      <c r="G305" s="215">
        <f>G306+G310</f>
        <v>55.099999999999994</v>
      </c>
    </row>
    <row r="306" spans="1:7" s="11" customFormat="1" ht="12.75">
      <c r="A306" s="93" t="s">
        <v>12</v>
      </c>
      <c r="B306" s="94" t="s">
        <v>249</v>
      </c>
      <c r="C306" s="95" t="s">
        <v>70</v>
      </c>
      <c r="D306" s="95" t="s">
        <v>63</v>
      </c>
      <c r="E306" s="97"/>
      <c r="F306" s="92"/>
      <c r="G306" s="218">
        <f>G307</f>
        <v>18.7</v>
      </c>
    </row>
    <row r="307" spans="1:7" s="11" customFormat="1" ht="22.5">
      <c r="A307" s="96" t="s">
        <v>95</v>
      </c>
      <c r="B307" s="94" t="s">
        <v>249</v>
      </c>
      <c r="C307" s="95" t="s">
        <v>70</v>
      </c>
      <c r="D307" s="95" t="s">
        <v>63</v>
      </c>
      <c r="E307" s="97" t="s">
        <v>96</v>
      </c>
      <c r="F307" s="92"/>
      <c r="G307" s="218">
        <f>G308</f>
        <v>18.7</v>
      </c>
    </row>
    <row r="308" spans="1:7" s="11" customFormat="1" ht="12.75">
      <c r="A308" s="96" t="s">
        <v>99</v>
      </c>
      <c r="B308" s="94" t="s">
        <v>249</v>
      </c>
      <c r="C308" s="95" t="s">
        <v>70</v>
      </c>
      <c r="D308" s="95" t="s">
        <v>63</v>
      </c>
      <c r="E308" s="97" t="s">
        <v>100</v>
      </c>
      <c r="F308" s="92"/>
      <c r="G308" s="218">
        <f>G309</f>
        <v>18.7</v>
      </c>
    </row>
    <row r="309" spans="1:7" s="11" customFormat="1" ht="22.5">
      <c r="A309" s="93" t="s">
        <v>134</v>
      </c>
      <c r="B309" s="94" t="s">
        <v>249</v>
      </c>
      <c r="C309" s="95" t="s">
        <v>70</v>
      </c>
      <c r="D309" s="95" t="s">
        <v>63</v>
      </c>
      <c r="E309" s="97" t="s">
        <v>100</v>
      </c>
      <c r="F309" s="92">
        <v>726</v>
      </c>
      <c r="G309" s="218">
        <f>54.5-20-7.3-8.5</f>
        <v>18.7</v>
      </c>
    </row>
    <row r="310" spans="1:7" s="11" customFormat="1" ht="12.75">
      <c r="A310" s="96" t="s">
        <v>83</v>
      </c>
      <c r="B310" s="94" t="s">
        <v>249</v>
      </c>
      <c r="C310" s="95" t="s">
        <v>70</v>
      </c>
      <c r="D310" s="95" t="s">
        <v>65</v>
      </c>
      <c r="E310" s="97"/>
      <c r="F310" s="92"/>
      <c r="G310" s="218">
        <f>G311</f>
        <v>36.4</v>
      </c>
    </row>
    <row r="311" spans="1:7" s="11" customFormat="1" ht="22.5">
      <c r="A311" s="96" t="s">
        <v>333</v>
      </c>
      <c r="B311" s="94" t="s">
        <v>249</v>
      </c>
      <c r="C311" s="95" t="s">
        <v>70</v>
      </c>
      <c r="D311" s="95" t="s">
        <v>65</v>
      </c>
      <c r="E311" s="97" t="s">
        <v>94</v>
      </c>
      <c r="F311" s="92"/>
      <c r="G311" s="218">
        <f>G312</f>
        <v>36.4</v>
      </c>
    </row>
    <row r="312" spans="1:7" s="11" customFormat="1" ht="22.5">
      <c r="A312" s="96" t="s">
        <v>610</v>
      </c>
      <c r="B312" s="94" t="s">
        <v>249</v>
      </c>
      <c r="C312" s="95" t="s">
        <v>70</v>
      </c>
      <c r="D312" s="95" t="s">
        <v>65</v>
      </c>
      <c r="E312" s="97" t="s">
        <v>91</v>
      </c>
      <c r="F312" s="92"/>
      <c r="G312" s="218">
        <f>G313</f>
        <v>36.4</v>
      </c>
    </row>
    <row r="313" spans="1:7" s="11" customFormat="1" ht="22.5">
      <c r="A313" s="93" t="s">
        <v>134</v>
      </c>
      <c r="B313" s="94" t="s">
        <v>249</v>
      </c>
      <c r="C313" s="95" t="s">
        <v>70</v>
      </c>
      <c r="D313" s="95" t="s">
        <v>65</v>
      </c>
      <c r="E313" s="97" t="s">
        <v>91</v>
      </c>
      <c r="F313" s="92">
        <v>726</v>
      </c>
      <c r="G313" s="218">
        <f>36.4</f>
        <v>36.4</v>
      </c>
    </row>
    <row r="314" spans="1:7" s="11" customFormat="1" ht="12.75">
      <c r="A314" s="90" t="s">
        <v>80</v>
      </c>
      <c r="B314" s="88" t="s">
        <v>249</v>
      </c>
      <c r="C314" s="91" t="s">
        <v>71</v>
      </c>
      <c r="D314" s="91" t="s">
        <v>34</v>
      </c>
      <c r="E314" s="99"/>
      <c r="F314" s="87"/>
      <c r="G314" s="215">
        <f>G315</f>
        <v>33.6</v>
      </c>
    </row>
    <row r="315" spans="1:7" s="11" customFormat="1" ht="12.75">
      <c r="A315" s="93" t="s">
        <v>81</v>
      </c>
      <c r="B315" s="94" t="s">
        <v>249</v>
      </c>
      <c r="C315" s="95" t="s">
        <v>71</v>
      </c>
      <c r="D315" s="95" t="s">
        <v>63</v>
      </c>
      <c r="E315" s="97"/>
      <c r="F315" s="92"/>
      <c r="G315" s="218">
        <f>G316</f>
        <v>33.6</v>
      </c>
    </row>
    <row r="316" spans="1:7" s="11" customFormat="1" ht="22.5">
      <c r="A316" s="96" t="s">
        <v>95</v>
      </c>
      <c r="B316" s="94" t="s">
        <v>249</v>
      </c>
      <c r="C316" s="95" t="s">
        <v>71</v>
      </c>
      <c r="D316" s="95" t="s">
        <v>63</v>
      </c>
      <c r="E316" s="97" t="s">
        <v>96</v>
      </c>
      <c r="F316" s="92"/>
      <c r="G316" s="218">
        <f>G317</f>
        <v>33.6</v>
      </c>
    </row>
    <row r="317" spans="1:7" s="11" customFormat="1" ht="12.75">
      <c r="A317" s="96" t="s">
        <v>99</v>
      </c>
      <c r="B317" s="94" t="s">
        <v>249</v>
      </c>
      <c r="C317" s="95" t="s">
        <v>71</v>
      </c>
      <c r="D317" s="95" t="s">
        <v>63</v>
      </c>
      <c r="E317" s="97" t="s">
        <v>100</v>
      </c>
      <c r="F317" s="92"/>
      <c r="G317" s="218">
        <f>G318</f>
        <v>33.6</v>
      </c>
    </row>
    <row r="318" spans="1:7" s="11" customFormat="1" ht="22.5">
      <c r="A318" s="93" t="s">
        <v>134</v>
      </c>
      <c r="B318" s="94" t="s">
        <v>249</v>
      </c>
      <c r="C318" s="95" t="s">
        <v>71</v>
      </c>
      <c r="D318" s="95" t="s">
        <v>63</v>
      </c>
      <c r="E318" s="97" t="s">
        <v>100</v>
      </c>
      <c r="F318" s="92">
        <v>726</v>
      </c>
      <c r="G318" s="218">
        <v>33.6</v>
      </c>
    </row>
    <row r="319" spans="1:7" s="11" customFormat="1" ht="21.75">
      <c r="A319" s="90" t="s">
        <v>206</v>
      </c>
      <c r="B319" s="88" t="s">
        <v>237</v>
      </c>
      <c r="C319" s="91"/>
      <c r="D319" s="91"/>
      <c r="E319" s="99"/>
      <c r="F319" s="87"/>
      <c r="G319" s="215">
        <f>G320+G333</f>
        <v>393.09999999999997</v>
      </c>
    </row>
    <row r="320" spans="1:7" s="11" customFormat="1" ht="12.75">
      <c r="A320" s="90" t="s">
        <v>8</v>
      </c>
      <c r="B320" s="88" t="s">
        <v>237</v>
      </c>
      <c r="C320" s="91" t="s">
        <v>66</v>
      </c>
      <c r="D320" s="91" t="s">
        <v>34</v>
      </c>
      <c r="E320" s="97"/>
      <c r="F320" s="92"/>
      <c r="G320" s="215">
        <f>G321+G325+G329</f>
        <v>343.09999999999997</v>
      </c>
    </row>
    <row r="321" spans="1:7" s="11" customFormat="1" ht="12.75">
      <c r="A321" s="93" t="s">
        <v>9</v>
      </c>
      <c r="B321" s="94" t="s">
        <v>237</v>
      </c>
      <c r="C321" s="95" t="s">
        <v>66</v>
      </c>
      <c r="D321" s="95" t="s">
        <v>63</v>
      </c>
      <c r="E321" s="97"/>
      <c r="F321" s="92"/>
      <c r="G321" s="218">
        <f>G322</f>
        <v>124.5</v>
      </c>
    </row>
    <row r="322" spans="1:7" s="11" customFormat="1" ht="22.5">
      <c r="A322" s="96" t="s">
        <v>95</v>
      </c>
      <c r="B322" s="94" t="s">
        <v>237</v>
      </c>
      <c r="C322" s="95" t="s">
        <v>66</v>
      </c>
      <c r="D322" s="95" t="s">
        <v>63</v>
      </c>
      <c r="E322" s="97" t="s">
        <v>96</v>
      </c>
      <c r="F322" s="92"/>
      <c r="G322" s="218">
        <f>G323</f>
        <v>124.5</v>
      </c>
    </row>
    <row r="323" spans="1:7" s="11" customFormat="1" ht="12.75">
      <c r="A323" s="96" t="s">
        <v>99</v>
      </c>
      <c r="B323" s="94" t="s">
        <v>237</v>
      </c>
      <c r="C323" s="95" t="s">
        <v>66</v>
      </c>
      <c r="D323" s="95" t="s">
        <v>63</v>
      </c>
      <c r="E323" s="97" t="s">
        <v>100</v>
      </c>
      <c r="F323" s="92"/>
      <c r="G323" s="218">
        <f>G324</f>
        <v>124.5</v>
      </c>
    </row>
    <row r="324" spans="1:7" s="11" customFormat="1" ht="13.5" customHeight="1">
      <c r="A324" s="93" t="s">
        <v>133</v>
      </c>
      <c r="B324" s="94" t="s">
        <v>237</v>
      </c>
      <c r="C324" s="95" t="s">
        <v>66</v>
      </c>
      <c r="D324" s="95" t="s">
        <v>63</v>
      </c>
      <c r="E324" s="97" t="s">
        <v>100</v>
      </c>
      <c r="F324" s="92">
        <v>725</v>
      </c>
      <c r="G324" s="218">
        <v>124.5</v>
      </c>
    </row>
    <row r="325" spans="1:7" s="11" customFormat="1" ht="12.75">
      <c r="A325" s="93" t="s">
        <v>351</v>
      </c>
      <c r="B325" s="94" t="s">
        <v>237</v>
      </c>
      <c r="C325" s="95" t="s">
        <v>66</v>
      </c>
      <c r="D325" s="95" t="s">
        <v>64</v>
      </c>
      <c r="E325" s="97"/>
      <c r="F325" s="92"/>
      <c r="G325" s="218">
        <f>G326</f>
        <v>180.2</v>
      </c>
    </row>
    <row r="326" spans="1:7" s="11" customFormat="1" ht="22.5">
      <c r="A326" s="96" t="s">
        <v>95</v>
      </c>
      <c r="B326" s="94" t="s">
        <v>237</v>
      </c>
      <c r="C326" s="95" t="s">
        <v>66</v>
      </c>
      <c r="D326" s="95" t="s">
        <v>64</v>
      </c>
      <c r="E326" s="97" t="s">
        <v>96</v>
      </c>
      <c r="F326" s="92"/>
      <c r="G326" s="218">
        <f>G327</f>
        <v>180.2</v>
      </c>
    </row>
    <row r="327" spans="1:7" s="11" customFormat="1" ht="12.75">
      <c r="A327" s="96" t="s">
        <v>99</v>
      </c>
      <c r="B327" s="94" t="s">
        <v>237</v>
      </c>
      <c r="C327" s="95" t="s">
        <v>66</v>
      </c>
      <c r="D327" s="95" t="s">
        <v>64</v>
      </c>
      <c r="E327" s="97" t="s">
        <v>100</v>
      </c>
      <c r="F327" s="92"/>
      <c r="G327" s="218">
        <f>G328</f>
        <v>180.2</v>
      </c>
    </row>
    <row r="328" spans="1:7" s="11" customFormat="1" ht="13.5" customHeight="1">
      <c r="A328" s="93" t="s">
        <v>133</v>
      </c>
      <c r="B328" s="94" t="s">
        <v>237</v>
      </c>
      <c r="C328" s="95" t="s">
        <v>66</v>
      </c>
      <c r="D328" s="95" t="s">
        <v>64</v>
      </c>
      <c r="E328" s="97" t="s">
        <v>100</v>
      </c>
      <c r="F328" s="92">
        <v>725</v>
      </c>
      <c r="G328" s="218">
        <f>293.5-113.3</f>
        <v>180.2</v>
      </c>
    </row>
    <row r="329" spans="1:7" s="11" customFormat="1" ht="12.75">
      <c r="A329" s="93" t="s">
        <v>304</v>
      </c>
      <c r="B329" s="94" t="s">
        <v>237</v>
      </c>
      <c r="C329" s="95" t="s">
        <v>66</v>
      </c>
      <c r="D329" s="95" t="s">
        <v>67</v>
      </c>
      <c r="E329" s="97"/>
      <c r="F329" s="92"/>
      <c r="G329" s="218">
        <f>G330</f>
        <v>38.4</v>
      </c>
    </row>
    <row r="330" spans="1:7" s="11" customFormat="1" ht="22.5">
      <c r="A330" s="96" t="s">
        <v>95</v>
      </c>
      <c r="B330" s="94" t="s">
        <v>237</v>
      </c>
      <c r="C330" s="95" t="s">
        <v>66</v>
      </c>
      <c r="D330" s="95" t="s">
        <v>67</v>
      </c>
      <c r="E330" s="97" t="s">
        <v>96</v>
      </c>
      <c r="F330" s="92"/>
      <c r="G330" s="218">
        <f>G331</f>
        <v>38.4</v>
      </c>
    </row>
    <row r="331" spans="1:7" s="11" customFormat="1" ht="12.75">
      <c r="A331" s="96" t="s">
        <v>99</v>
      </c>
      <c r="B331" s="94" t="s">
        <v>237</v>
      </c>
      <c r="C331" s="95" t="s">
        <v>66</v>
      </c>
      <c r="D331" s="95" t="s">
        <v>67</v>
      </c>
      <c r="E331" s="97" t="s">
        <v>100</v>
      </c>
      <c r="F331" s="92"/>
      <c r="G331" s="218">
        <f>G332</f>
        <v>38.4</v>
      </c>
    </row>
    <row r="332" spans="1:7" s="11" customFormat="1" ht="11.25" customHeight="1">
      <c r="A332" s="93" t="s">
        <v>133</v>
      </c>
      <c r="B332" s="94" t="s">
        <v>237</v>
      </c>
      <c r="C332" s="95" t="s">
        <v>66</v>
      </c>
      <c r="D332" s="95" t="s">
        <v>67</v>
      </c>
      <c r="E332" s="97" t="s">
        <v>100</v>
      </c>
      <c r="F332" s="92">
        <v>725</v>
      </c>
      <c r="G332" s="218">
        <v>38.4</v>
      </c>
    </row>
    <row r="333" spans="1:7" s="11" customFormat="1" ht="12.75">
      <c r="A333" s="90" t="s">
        <v>80</v>
      </c>
      <c r="B333" s="88" t="s">
        <v>237</v>
      </c>
      <c r="C333" s="91" t="s">
        <v>71</v>
      </c>
      <c r="D333" s="91" t="s">
        <v>34</v>
      </c>
      <c r="E333" s="99"/>
      <c r="F333" s="87"/>
      <c r="G333" s="215">
        <f>G334</f>
        <v>50</v>
      </c>
    </row>
    <row r="334" spans="1:7" s="11" customFormat="1" ht="12.75">
      <c r="A334" s="93" t="s">
        <v>81</v>
      </c>
      <c r="B334" s="94" t="s">
        <v>237</v>
      </c>
      <c r="C334" s="95" t="s">
        <v>71</v>
      </c>
      <c r="D334" s="95" t="s">
        <v>63</v>
      </c>
      <c r="E334" s="97"/>
      <c r="F334" s="92"/>
      <c r="G334" s="218">
        <f>G335</f>
        <v>50</v>
      </c>
    </row>
    <row r="335" spans="1:7" s="11" customFormat="1" ht="22.5">
      <c r="A335" s="96" t="s">
        <v>95</v>
      </c>
      <c r="B335" s="94" t="s">
        <v>237</v>
      </c>
      <c r="C335" s="95" t="s">
        <v>71</v>
      </c>
      <c r="D335" s="95" t="s">
        <v>63</v>
      </c>
      <c r="E335" s="97" t="s">
        <v>96</v>
      </c>
      <c r="F335" s="92"/>
      <c r="G335" s="218">
        <f>G336</f>
        <v>50</v>
      </c>
    </row>
    <row r="336" spans="1:7" s="11" customFormat="1" ht="12.75">
      <c r="A336" s="96" t="s">
        <v>99</v>
      </c>
      <c r="B336" s="94" t="s">
        <v>237</v>
      </c>
      <c r="C336" s="95" t="s">
        <v>71</v>
      </c>
      <c r="D336" s="95" t="s">
        <v>63</v>
      </c>
      <c r="E336" s="97" t="s">
        <v>100</v>
      </c>
      <c r="F336" s="92"/>
      <c r="G336" s="218">
        <f>G337</f>
        <v>50</v>
      </c>
    </row>
    <row r="337" spans="1:7" s="11" customFormat="1" ht="22.5">
      <c r="A337" s="93" t="s">
        <v>134</v>
      </c>
      <c r="B337" s="94" t="s">
        <v>237</v>
      </c>
      <c r="C337" s="95" t="s">
        <v>71</v>
      </c>
      <c r="D337" s="95" t="s">
        <v>63</v>
      </c>
      <c r="E337" s="97" t="s">
        <v>100</v>
      </c>
      <c r="F337" s="92">
        <v>726</v>
      </c>
      <c r="G337" s="218">
        <v>50</v>
      </c>
    </row>
    <row r="338" spans="1:7" s="11" customFormat="1" ht="31.5" customHeight="1">
      <c r="A338" s="90" t="s">
        <v>334</v>
      </c>
      <c r="B338" s="88" t="s">
        <v>238</v>
      </c>
      <c r="C338" s="91"/>
      <c r="D338" s="91"/>
      <c r="E338" s="99"/>
      <c r="F338" s="87"/>
      <c r="G338" s="215">
        <f>G339+G357+G352</f>
        <v>141.6</v>
      </c>
    </row>
    <row r="339" spans="1:7" s="11" customFormat="1" ht="16.15" customHeight="1">
      <c r="A339" s="90" t="s">
        <v>8</v>
      </c>
      <c r="B339" s="88" t="s">
        <v>238</v>
      </c>
      <c r="C339" s="91" t="s">
        <v>66</v>
      </c>
      <c r="D339" s="91" t="s">
        <v>34</v>
      </c>
      <c r="E339" s="97"/>
      <c r="F339" s="92"/>
      <c r="G339" s="215">
        <f>G340+G344+G348</f>
        <v>100.5</v>
      </c>
    </row>
    <row r="340" spans="1:7" s="11" customFormat="1" ht="14.25" customHeight="1">
      <c r="A340" s="93" t="s">
        <v>9</v>
      </c>
      <c r="B340" s="94" t="s">
        <v>238</v>
      </c>
      <c r="C340" s="95" t="s">
        <v>66</v>
      </c>
      <c r="D340" s="95" t="s">
        <v>63</v>
      </c>
      <c r="E340" s="97"/>
      <c r="F340" s="92"/>
      <c r="G340" s="218">
        <f>G341</f>
        <v>19.200000000000003</v>
      </c>
    </row>
    <row r="341" spans="1:7" s="11" customFormat="1" ht="21.75" customHeight="1">
      <c r="A341" s="96" t="s">
        <v>95</v>
      </c>
      <c r="B341" s="94" t="s">
        <v>238</v>
      </c>
      <c r="C341" s="95" t="s">
        <v>66</v>
      </c>
      <c r="D341" s="95" t="s">
        <v>63</v>
      </c>
      <c r="E341" s="97" t="s">
        <v>96</v>
      </c>
      <c r="F341" s="92"/>
      <c r="G341" s="218">
        <f>G342</f>
        <v>19.200000000000003</v>
      </c>
    </row>
    <row r="342" spans="1:7" s="11" customFormat="1" ht="13.5" customHeight="1">
      <c r="A342" s="96" t="s">
        <v>99</v>
      </c>
      <c r="B342" s="94" t="s">
        <v>238</v>
      </c>
      <c r="C342" s="95" t="s">
        <v>66</v>
      </c>
      <c r="D342" s="95" t="s">
        <v>63</v>
      </c>
      <c r="E342" s="97" t="s">
        <v>100</v>
      </c>
      <c r="F342" s="92"/>
      <c r="G342" s="218">
        <f>G343</f>
        <v>19.200000000000003</v>
      </c>
    </row>
    <row r="343" spans="1:7" s="11" customFormat="1" ht="16.15" customHeight="1">
      <c r="A343" s="93" t="s">
        <v>133</v>
      </c>
      <c r="B343" s="94" t="s">
        <v>238</v>
      </c>
      <c r="C343" s="95" t="s">
        <v>66</v>
      </c>
      <c r="D343" s="95" t="s">
        <v>63</v>
      </c>
      <c r="E343" s="97" t="s">
        <v>100</v>
      </c>
      <c r="F343" s="92">
        <v>725</v>
      </c>
      <c r="G343" s="218">
        <f>21.1-1.9</f>
        <v>19.200000000000003</v>
      </c>
    </row>
    <row r="344" spans="1:7" s="11" customFormat="1" ht="11.25" customHeight="1">
      <c r="A344" s="93" t="s">
        <v>351</v>
      </c>
      <c r="B344" s="94" t="s">
        <v>238</v>
      </c>
      <c r="C344" s="95" t="s">
        <v>66</v>
      </c>
      <c r="D344" s="95" t="s">
        <v>64</v>
      </c>
      <c r="E344" s="97"/>
      <c r="F344" s="92"/>
      <c r="G344" s="218">
        <f>G345</f>
        <v>65.5</v>
      </c>
    </row>
    <row r="345" spans="1:7" s="11" customFormat="1" ht="24.6" customHeight="1">
      <c r="A345" s="96" t="s">
        <v>95</v>
      </c>
      <c r="B345" s="94" t="s">
        <v>238</v>
      </c>
      <c r="C345" s="95" t="s">
        <v>66</v>
      </c>
      <c r="D345" s="95" t="s">
        <v>64</v>
      </c>
      <c r="E345" s="97" t="s">
        <v>96</v>
      </c>
      <c r="F345" s="92"/>
      <c r="G345" s="218">
        <f>G346</f>
        <v>65.5</v>
      </c>
    </row>
    <row r="346" spans="1:7" s="11" customFormat="1" ht="12.75" customHeight="1">
      <c r="A346" s="96" t="s">
        <v>99</v>
      </c>
      <c r="B346" s="94" t="s">
        <v>238</v>
      </c>
      <c r="C346" s="95" t="s">
        <v>66</v>
      </c>
      <c r="D346" s="95" t="s">
        <v>64</v>
      </c>
      <c r="E346" s="97" t="s">
        <v>100</v>
      </c>
      <c r="F346" s="92"/>
      <c r="G346" s="218">
        <f>G347</f>
        <v>65.5</v>
      </c>
    </row>
    <row r="347" spans="1:7" s="11" customFormat="1" ht="16.15" customHeight="1">
      <c r="A347" s="93" t="s">
        <v>133</v>
      </c>
      <c r="B347" s="94" t="s">
        <v>238</v>
      </c>
      <c r="C347" s="95" t="s">
        <v>66</v>
      </c>
      <c r="D347" s="95" t="s">
        <v>64</v>
      </c>
      <c r="E347" s="97" t="s">
        <v>100</v>
      </c>
      <c r="F347" s="92">
        <v>725</v>
      </c>
      <c r="G347" s="218">
        <f>57.8+7.7</f>
        <v>65.5</v>
      </c>
    </row>
    <row r="348" spans="1:7" s="11" customFormat="1" ht="16.15" customHeight="1">
      <c r="A348" s="93" t="s">
        <v>304</v>
      </c>
      <c r="B348" s="94" t="s">
        <v>238</v>
      </c>
      <c r="C348" s="95" t="s">
        <v>66</v>
      </c>
      <c r="D348" s="95" t="s">
        <v>67</v>
      </c>
      <c r="E348" s="97"/>
      <c r="F348" s="92"/>
      <c r="G348" s="218">
        <f>G349</f>
        <v>15.8</v>
      </c>
    </row>
    <row r="349" spans="1:7" s="11" customFormat="1" ht="28.15" customHeight="1">
      <c r="A349" s="96" t="s">
        <v>95</v>
      </c>
      <c r="B349" s="94" t="s">
        <v>238</v>
      </c>
      <c r="C349" s="95" t="s">
        <v>66</v>
      </c>
      <c r="D349" s="95" t="s">
        <v>67</v>
      </c>
      <c r="E349" s="97" t="s">
        <v>96</v>
      </c>
      <c r="F349" s="92"/>
      <c r="G349" s="218">
        <f>G350</f>
        <v>15.8</v>
      </c>
    </row>
    <row r="350" spans="1:7" s="11" customFormat="1" ht="14.25" customHeight="1">
      <c r="A350" s="96" t="s">
        <v>99</v>
      </c>
      <c r="B350" s="94" t="s">
        <v>238</v>
      </c>
      <c r="C350" s="95" t="s">
        <v>66</v>
      </c>
      <c r="D350" s="95" t="s">
        <v>67</v>
      </c>
      <c r="E350" s="97" t="s">
        <v>100</v>
      </c>
      <c r="F350" s="92"/>
      <c r="G350" s="218">
        <f>G351</f>
        <v>15.8</v>
      </c>
    </row>
    <row r="351" spans="1:7" s="11" customFormat="1" ht="12.75" customHeight="1">
      <c r="A351" s="93" t="s">
        <v>133</v>
      </c>
      <c r="B351" s="94" t="s">
        <v>238</v>
      </c>
      <c r="C351" s="95" t="s">
        <v>66</v>
      </c>
      <c r="D351" s="95" t="s">
        <v>67</v>
      </c>
      <c r="E351" s="97" t="s">
        <v>100</v>
      </c>
      <c r="F351" s="92">
        <v>725</v>
      </c>
      <c r="G351" s="218">
        <v>15.8</v>
      </c>
    </row>
    <row r="352" spans="1:7" s="60" customFormat="1" ht="12" customHeight="1">
      <c r="A352" s="100" t="s">
        <v>122</v>
      </c>
      <c r="B352" s="88" t="s">
        <v>238</v>
      </c>
      <c r="C352" s="91" t="s">
        <v>70</v>
      </c>
      <c r="D352" s="91" t="s">
        <v>34</v>
      </c>
      <c r="E352" s="99"/>
      <c r="F352" s="87"/>
      <c r="G352" s="215">
        <f>G353</f>
        <v>20</v>
      </c>
    </row>
    <row r="353" spans="1:7" s="11" customFormat="1" ht="12" customHeight="1">
      <c r="A353" s="93" t="s">
        <v>12</v>
      </c>
      <c r="B353" s="94" t="s">
        <v>238</v>
      </c>
      <c r="C353" s="95" t="s">
        <v>70</v>
      </c>
      <c r="D353" s="95" t="s">
        <v>63</v>
      </c>
      <c r="E353" s="97"/>
      <c r="F353" s="92"/>
      <c r="G353" s="218">
        <f>G354</f>
        <v>20</v>
      </c>
    </row>
    <row r="354" spans="1:7" s="11" customFormat="1" ht="22.5" customHeight="1">
      <c r="A354" s="96" t="s">
        <v>95</v>
      </c>
      <c r="B354" s="94" t="s">
        <v>238</v>
      </c>
      <c r="C354" s="95" t="s">
        <v>70</v>
      </c>
      <c r="D354" s="95" t="s">
        <v>63</v>
      </c>
      <c r="E354" s="97" t="s">
        <v>96</v>
      </c>
      <c r="F354" s="92"/>
      <c r="G354" s="218">
        <f>G355</f>
        <v>20</v>
      </c>
    </row>
    <row r="355" spans="1:7" s="11" customFormat="1" ht="12" customHeight="1">
      <c r="A355" s="96" t="s">
        <v>99</v>
      </c>
      <c r="B355" s="94" t="s">
        <v>238</v>
      </c>
      <c r="C355" s="95" t="s">
        <v>70</v>
      </c>
      <c r="D355" s="95" t="s">
        <v>63</v>
      </c>
      <c r="E355" s="97" t="s">
        <v>100</v>
      </c>
      <c r="F355" s="92"/>
      <c r="G355" s="218">
        <f>G356</f>
        <v>20</v>
      </c>
    </row>
    <row r="356" spans="1:7" s="11" customFormat="1" ht="22.5">
      <c r="A356" s="93" t="s">
        <v>134</v>
      </c>
      <c r="B356" s="94" t="s">
        <v>238</v>
      </c>
      <c r="C356" s="95" t="s">
        <v>70</v>
      </c>
      <c r="D356" s="95" t="s">
        <v>63</v>
      </c>
      <c r="E356" s="97" t="s">
        <v>100</v>
      </c>
      <c r="F356" s="92">
        <v>726</v>
      </c>
      <c r="G356" s="218">
        <v>20</v>
      </c>
    </row>
    <row r="357" spans="1:7" s="11" customFormat="1" ht="12.75" customHeight="1">
      <c r="A357" s="90" t="s">
        <v>80</v>
      </c>
      <c r="B357" s="88" t="s">
        <v>238</v>
      </c>
      <c r="C357" s="91" t="s">
        <v>71</v>
      </c>
      <c r="D357" s="91" t="s">
        <v>34</v>
      </c>
      <c r="E357" s="99"/>
      <c r="F357" s="87"/>
      <c r="G357" s="215">
        <f>G358</f>
        <v>21.099999999999994</v>
      </c>
    </row>
    <row r="358" spans="1:7" s="11" customFormat="1" ht="13.5" customHeight="1">
      <c r="A358" s="93" t="s">
        <v>81</v>
      </c>
      <c r="B358" s="94" t="s">
        <v>238</v>
      </c>
      <c r="C358" s="95" t="s">
        <v>71</v>
      </c>
      <c r="D358" s="95" t="s">
        <v>63</v>
      </c>
      <c r="E358" s="97"/>
      <c r="F358" s="92"/>
      <c r="G358" s="218">
        <f>G359</f>
        <v>21.099999999999994</v>
      </c>
    </row>
    <row r="359" spans="1:7" s="11" customFormat="1" ht="23.25" customHeight="1">
      <c r="A359" s="96" t="s">
        <v>95</v>
      </c>
      <c r="B359" s="94" t="s">
        <v>238</v>
      </c>
      <c r="C359" s="95" t="s">
        <v>71</v>
      </c>
      <c r="D359" s="95" t="s">
        <v>63</v>
      </c>
      <c r="E359" s="97" t="s">
        <v>96</v>
      </c>
      <c r="F359" s="92"/>
      <c r="G359" s="218">
        <f>G360</f>
        <v>21.099999999999994</v>
      </c>
    </row>
    <row r="360" spans="1:7" s="11" customFormat="1" ht="11.25" customHeight="1">
      <c r="A360" s="96" t="s">
        <v>99</v>
      </c>
      <c r="B360" s="94" t="s">
        <v>238</v>
      </c>
      <c r="C360" s="95" t="s">
        <v>71</v>
      </c>
      <c r="D360" s="95" t="s">
        <v>63</v>
      </c>
      <c r="E360" s="97" t="s">
        <v>100</v>
      </c>
      <c r="F360" s="92"/>
      <c r="G360" s="218">
        <f>G361</f>
        <v>21.099999999999994</v>
      </c>
    </row>
    <row r="361" spans="1:7" s="11" customFormat="1" ht="25.5" customHeight="1">
      <c r="A361" s="93" t="s">
        <v>134</v>
      </c>
      <c r="B361" s="94" t="s">
        <v>238</v>
      </c>
      <c r="C361" s="95" t="s">
        <v>71</v>
      </c>
      <c r="D361" s="95" t="s">
        <v>63</v>
      </c>
      <c r="E361" s="97" t="s">
        <v>100</v>
      </c>
      <c r="F361" s="92">
        <v>726</v>
      </c>
      <c r="G361" s="218">
        <f>94.5-73.4</f>
        <v>21.099999999999994</v>
      </c>
    </row>
    <row r="362" spans="1:7" s="60" customFormat="1" ht="12.75">
      <c r="A362" s="90" t="s">
        <v>298</v>
      </c>
      <c r="B362" s="88" t="s">
        <v>299</v>
      </c>
      <c r="C362" s="91"/>
      <c r="D362" s="91"/>
      <c r="E362" s="99"/>
      <c r="F362" s="87"/>
      <c r="G362" s="215">
        <f>G363</f>
        <v>14.9</v>
      </c>
    </row>
    <row r="363" spans="1:7" s="11" customFormat="1" ht="12.75" customHeight="1">
      <c r="A363" s="90" t="s">
        <v>8</v>
      </c>
      <c r="B363" s="88" t="s">
        <v>299</v>
      </c>
      <c r="C363" s="95" t="s">
        <v>66</v>
      </c>
      <c r="D363" s="95" t="s">
        <v>34</v>
      </c>
      <c r="E363" s="97"/>
      <c r="F363" s="92"/>
      <c r="G363" s="218">
        <f>G364+G368</f>
        <v>14.9</v>
      </c>
    </row>
    <row r="364" spans="1:7" s="11" customFormat="1" ht="10.5" customHeight="1">
      <c r="A364" s="93" t="s">
        <v>9</v>
      </c>
      <c r="B364" s="94" t="s">
        <v>299</v>
      </c>
      <c r="C364" s="95" t="s">
        <v>66</v>
      </c>
      <c r="D364" s="95" t="s">
        <v>63</v>
      </c>
      <c r="E364" s="97"/>
      <c r="F364" s="92"/>
      <c r="G364" s="218">
        <f>G365</f>
        <v>5.9</v>
      </c>
    </row>
    <row r="365" spans="1:7" s="11" customFormat="1" ht="22.5" customHeight="1">
      <c r="A365" s="96" t="s">
        <v>95</v>
      </c>
      <c r="B365" s="94" t="s">
        <v>299</v>
      </c>
      <c r="C365" s="95" t="s">
        <v>66</v>
      </c>
      <c r="D365" s="95" t="s">
        <v>63</v>
      </c>
      <c r="E365" s="97" t="s">
        <v>96</v>
      </c>
      <c r="F365" s="92"/>
      <c r="G365" s="218">
        <f>G366</f>
        <v>5.9</v>
      </c>
    </row>
    <row r="366" spans="1:7" s="11" customFormat="1" ht="12.75">
      <c r="A366" s="96" t="s">
        <v>99</v>
      </c>
      <c r="B366" s="94" t="s">
        <v>299</v>
      </c>
      <c r="C366" s="95" t="s">
        <v>66</v>
      </c>
      <c r="D366" s="95" t="s">
        <v>63</v>
      </c>
      <c r="E366" s="97" t="s">
        <v>100</v>
      </c>
      <c r="F366" s="92"/>
      <c r="G366" s="218">
        <f>G367</f>
        <v>5.9</v>
      </c>
    </row>
    <row r="367" spans="1:7" s="11" customFormat="1" ht="12" customHeight="1">
      <c r="A367" s="93" t="s">
        <v>133</v>
      </c>
      <c r="B367" s="94" t="s">
        <v>299</v>
      </c>
      <c r="C367" s="95" t="s">
        <v>66</v>
      </c>
      <c r="D367" s="95" t="s">
        <v>63</v>
      </c>
      <c r="E367" s="97" t="s">
        <v>100</v>
      </c>
      <c r="F367" s="92">
        <v>725</v>
      </c>
      <c r="G367" s="218">
        <f>10-4.1</f>
        <v>5.9</v>
      </c>
    </row>
    <row r="368" spans="1:7" s="11" customFormat="1" ht="12.75">
      <c r="A368" s="93" t="s">
        <v>351</v>
      </c>
      <c r="B368" s="94" t="s">
        <v>299</v>
      </c>
      <c r="C368" s="95" t="s">
        <v>66</v>
      </c>
      <c r="D368" s="95" t="s">
        <v>64</v>
      </c>
      <c r="E368" s="97"/>
      <c r="F368" s="92"/>
      <c r="G368" s="218">
        <f>G369</f>
        <v>9</v>
      </c>
    </row>
    <row r="369" spans="1:7" s="11" customFormat="1" ht="22.5">
      <c r="A369" s="96" t="s">
        <v>95</v>
      </c>
      <c r="B369" s="94" t="s">
        <v>299</v>
      </c>
      <c r="C369" s="95" t="s">
        <v>66</v>
      </c>
      <c r="D369" s="95" t="s">
        <v>64</v>
      </c>
      <c r="E369" s="97" t="s">
        <v>96</v>
      </c>
      <c r="F369" s="92"/>
      <c r="G369" s="218">
        <f>G370</f>
        <v>9</v>
      </c>
    </row>
    <row r="370" spans="1:7" s="11" customFormat="1" ht="12.75">
      <c r="A370" s="96" t="s">
        <v>99</v>
      </c>
      <c r="B370" s="94" t="s">
        <v>299</v>
      </c>
      <c r="C370" s="95" t="s">
        <v>66</v>
      </c>
      <c r="D370" s="95" t="s">
        <v>64</v>
      </c>
      <c r="E370" s="97" t="s">
        <v>100</v>
      </c>
      <c r="F370" s="92"/>
      <c r="G370" s="218">
        <f>G371</f>
        <v>9</v>
      </c>
    </row>
    <row r="371" spans="1:7" s="11" customFormat="1" ht="13.9" customHeight="1">
      <c r="A371" s="93" t="s">
        <v>133</v>
      </c>
      <c r="B371" s="94" t="s">
        <v>299</v>
      </c>
      <c r="C371" s="95" t="s">
        <v>66</v>
      </c>
      <c r="D371" s="95" t="s">
        <v>64</v>
      </c>
      <c r="E371" s="97" t="s">
        <v>100</v>
      </c>
      <c r="F371" s="92">
        <v>725</v>
      </c>
      <c r="G371" s="218">
        <f>25-16</f>
        <v>9</v>
      </c>
    </row>
    <row r="372" spans="1:7" s="60" customFormat="1" ht="13.5" customHeight="1">
      <c r="A372" s="90" t="s">
        <v>418</v>
      </c>
      <c r="B372" s="88" t="s">
        <v>419</v>
      </c>
      <c r="C372" s="99"/>
      <c r="D372" s="91"/>
      <c r="E372" s="99"/>
      <c r="F372" s="87"/>
      <c r="G372" s="215">
        <f>G373</f>
        <v>165.3</v>
      </c>
    </row>
    <row r="373" spans="1:7" s="60" customFormat="1" ht="13.5" customHeight="1">
      <c r="A373" s="90" t="s">
        <v>8</v>
      </c>
      <c r="B373" s="88" t="s">
        <v>419</v>
      </c>
      <c r="C373" s="91" t="s">
        <v>66</v>
      </c>
      <c r="D373" s="91" t="s">
        <v>34</v>
      </c>
      <c r="E373" s="99"/>
      <c r="F373" s="87"/>
      <c r="G373" s="215">
        <f>G374</f>
        <v>165.3</v>
      </c>
    </row>
    <row r="374" spans="1:7" s="11" customFormat="1" ht="13.5" customHeight="1">
      <c r="A374" s="93" t="s">
        <v>351</v>
      </c>
      <c r="B374" s="94" t="s">
        <v>419</v>
      </c>
      <c r="C374" s="95" t="s">
        <v>66</v>
      </c>
      <c r="D374" s="95" t="s">
        <v>64</v>
      </c>
      <c r="E374" s="97"/>
      <c r="F374" s="92"/>
      <c r="G374" s="218">
        <f>G375</f>
        <v>165.3</v>
      </c>
    </row>
    <row r="375" spans="1:7" s="11" customFormat="1" ht="22.5">
      <c r="A375" s="96" t="s">
        <v>95</v>
      </c>
      <c r="B375" s="94" t="s">
        <v>419</v>
      </c>
      <c r="C375" s="95" t="s">
        <v>66</v>
      </c>
      <c r="D375" s="95" t="s">
        <v>64</v>
      </c>
      <c r="E375" s="97" t="s">
        <v>96</v>
      </c>
      <c r="F375" s="92"/>
      <c r="G375" s="218">
        <f>G376</f>
        <v>165.3</v>
      </c>
    </row>
    <row r="376" spans="1:7" s="11" customFormat="1" ht="12.75">
      <c r="A376" s="96" t="s">
        <v>99</v>
      </c>
      <c r="B376" s="94" t="s">
        <v>419</v>
      </c>
      <c r="C376" s="95" t="s">
        <v>66</v>
      </c>
      <c r="D376" s="95" t="s">
        <v>64</v>
      </c>
      <c r="E376" s="97" t="s">
        <v>100</v>
      </c>
      <c r="F376" s="92"/>
      <c r="G376" s="218">
        <f>G377</f>
        <v>165.3</v>
      </c>
    </row>
    <row r="377" spans="1:7" s="11" customFormat="1" ht="22.5">
      <c r="A377" s="93" t="s">
        <v>133</v>
      </c>
      <c r="B377" s="94" t="s">
        <v>419</v>
      </c>
      <c r="C377" s="95" t="s">
        <v>66</v>
      </c>
      <c r="D377" s="95" t="s">
        <v>64</v>
      </c>
      <c r="E377" s="97" t="s">
        <v>100</v>
      </c>
      <c r="F377" s="92">
        <v>725</v>
      </c>
      <c r="G377" s="218">
        <f>123+42.3</f>
        <v>165.3</v>
      </c>
    </row>
    <row r="378" spans="1:7" s="60" customFormat="1" ht="12.75">
      <c r="A378" s="90" t="s">
        <v>420</v>
      </c>
      <c r="B378" s="88" t="s">
        <v>421</v>
      </c>
      <c r="C378" s="91"/>
      <c r="D378" s="91"/>
      <c r="E378" s="99"/>
      <c r="F378" s="87"/>
      <c r="G378" s="215">
        <f>G379</f>
        <v>21</v>
      </c>
    </row>
    <row r="379" spans="1:7" s="60" customFormat="1" ht="12.75">
      <c r="A379" s="90" t="s">
        <v>80</v>
      </c>
      <c r="B379" s="88" t="s">
        <v>421</v>
      </c>
      <c r="C379" s="91" t="s">
        <v>71</v>
      </c>
      <c r="D379" s="91" t="s">
        <v>34</v>
      </c>
      <c r="E379" s="99"/>
      <c r="F379" s="87"/>
      <c r="G379" s="215">
        <f>G380</f>
        <v>21</v>
      </c>
    </row>
    <row r="380" spans="1:7" s="11" customFormat="1" ht="12.75">
      <c r="A380" s="93" t="s">
        <v>81</v>
      </c>
      <c r="B380" s="94" t="s">
        <v>421</v>
      </c>
      <c r="C380" s="95" t="s">
        <v>71</v>
      </c>
      <c r="D380" s="95" t="s">
        <v>63</v>
      </c>
      <c r="E380" s="97"/>
      <c r="F380" s="92"/>
      <c r="G380" s="218">
        <f>G381</f>
        <v>21</v>
      </c>
    </row>
    <row r="381" spans="1:7" s="60" customFormat="1" ht="22.5">
      <c r="A381" s="96" t="s">
        <v>95</v>
      </c>
      <c r="B381" s="94" t="s">
        <v>421</v>
      </c>
      <c r="C381" s="95" t="s">
        <v>71</v>
      </c>
      <c r="D381" s="95" t="s">
        <v>63</v>
      </c>
      <c r="E381" s="97" t="s">
        <v>96</v>
      </c>
      <c r="F381" s="92"/>
      <c r="G381" s="218">
        <f>G382</f>
        <v>21</v>
      </c>
    </row>
    <row r="382" spans="1:7" s="60" customFormat="1" ht="12.75">
      <c r="A382" s="96" t="s">
        <v>99</v>
      </c>
      <c r="B382" s="94" t="s">
        <v>421</v>
      </c>
      <c r="C382" s="95" t="s">
        <v>71</v>
      </c>
      <c r="D382" s="95" t="s">
        <v>63</v>
      </c>
      <c r="E382" s="97" t="s">
        <v>100</v>
      </c>
      <c r="F382" s="92"/>
      <c r="G382" s="218">
        <f>G383</f>
        <v>21</v>
      </c>
    </row>
    <row r="383" spans="1:7" s="11" customFormat="1" ht="22.5">
      <c r="A383" s="93" t="s">
        <v>134</v>
      </c>
      <c r="B383" s="94" t="s">
        <v>421</v>
      </c>
      <c r="C383" s="95" t="s">
        <v>71</v>
      </c>
      <c r="D383" s="95" t="s">
        <v>63</v>
      </c>
      <c r="E383" s="97" t="s">
        <v>100</v>
      </c>
      <c r="F383" s="92">
        <v>726</v>
      </c>
      <c r="G383" s="218">
        <v>21</v>
      </c>
    </row>
    <row r="384" spans="1:7" s="11" customFormat="1" ht="20.45" customHeight="1">
      <c r="A384" s="90" t="s">
        <v>731</v>
      </c>
      <c r="B384" s="88" t="s">
        <v>157</v>
      </c>
      <c r="C384" s="91"/>
      <c r="D384" s="91"/>
      <c r="E384" s="97"/>
      <c r="F384" s="92"/>
      <c r="G384" s="215">
        <f>G385+G392+G476+G486+G508+G515</f>
        <v>224086</v>
      </c>
    </row>
    <row r="385" spans="1:7" s="11" customFormat="1" ht="12.75">
      <c r="A385" s="90" t="s">
        <v>190</v>
      </c>
      <c r="B385" s="88" t="s">
        <v>247</v>
      </c>
      <c r="C385" s="91"/>
      <c r="D385" s="91"/>
      <c r="E385" s="97"/>
      <c r="F385" s="92"/>
      <c r="G385" s="215">
        <f>G387</f>
        <v>25</v>
      </c>
    </row>
    <row r="386" spans="1:7" s="11" customFormat="1" ht="37.9" customHeight="1">
      <c r="A386" s="90" t="s">
        <v>158</v>
      </c>
      <c r="B386" s="88" t="s">
        <v>248</v>
      </c>
      <c r="C386" s="95"/>
      <c r="D386" s="95"/>
      <c r="E386" s="97"/>
      <c r="F386" s="92"/>
      <c r="G386" s="215">
        <f>G387</f>
        <v>25</v>
      </c>
    </row>
    <row r="387" spans="1:7" s="11" customFormat="1" ht="12.75">
      <c r="A387" s="90" t="s">
        <v>8</v>
      </c>
      <c r="B387" s="88" t="s">
        <v>248</v>
      </c>
      <c r="C387" s="91" t="s">
        <v>66</v>
      </c>
      <c r="D387" s="91" t="s">
        <v>34</v>
      </c>
      <c r="E387" s="97"/>
      <c r="F387" s="92"/>
      <c r="G387" s="215">
        <f>G388</f>
        <v>25</v>
      </c>
    </row>
    <row r="388" spans="1:7" s="11" customFormat="1" ht="12.75">
      <c r="A388" s="93" t="s">
        <v>11</v>
      </c>
      <c r="B388" s="94" t="s">
        <v>248</v>
      </c>
      <c r="C388" s="95" t="s">
        <v>66</v>
      </c>
      <c r="D388" s="95" t="s">
        <v>72</v>
      </c>
      <c r="E388" s="97"/>
      <c r="F388" s="92"/>
      <c r="G388" s="218">
        <f>G389</f>
        <v>25</v>
      </c>
    </row>
    <row r="389" spans="1:7" s="11" customFormat="1" ht="22.5">
      <c r="A389" s="96" t="s">
        <v>333</v>
      </c>
      <c r="B389" s="94" t="s">
        <v>248</v>
      </c>
      <c r="C389" s="95" t="s">
        <v>66</v>
      </c>
      <c r="D389" s="95" t="s">
        <v>72</v>
      </c>
      <c r="E389" s="97" t="s">
        <v>94</v>
      </c>
      <c r="F389" s="92"/>
      <c r="G389" s="218">
        <f>G390</f>
        <v>25</v>
      </c>
    </row>
    <row r="390" spans="1:7" s="11" customFormat="1" ht="22.5">
      <c r="A390" s="96" t="s">
        <v>610</v>
      </c>
      <c r="B390" s="94" t="s">
        <v>248</v>
      </c>
      <c r="C390" s="95" t="s">
        <v>66</v>
      </c>
      <c r="D390" s="95" t="s">
        <v>72</v>
      </c>
      <c r="E390" s="97" t="s">
        <v>91</v>
      </c>
      <c r="F390" s="92"/>
      <c r="G390" s="218">
        <f>G391</f>
        <v>25</v>
      </c>
    </row>
    <row r="391" spans="1:7" s="11" customFormat="1" ht="12" customHeight="1">
      <c r="A391" s="93" t="s">
        <v>133</v>
      </c>
      <c r="B391" s="94" t="s">
        <v>248</v>
      </c>
      <c r="C391" s="95" t="s">
        <v>66</v>
      </c>
      <c r="D391" s="95" t="s">
        <v>72</v>
      </c>
      <c r="E391" s="97" t="s">
        <v>91</v>
      </c>
      <c r="F391" s="92">
        <v>725</v>
      </c>
      <c r="G391" s="218">
        <f>75-50</f>
        <v>25</v>
      </c>
    </row>
    <row r="392" spans="1:8" s="60" customFormat="1" ht="21.75">
      <c r="A392" s="100" t="s">
        <v>407</v>
      </c>
      <c r="B392" s="99" t="s">
        <v>338</v>
      </c>
      <c r="C392" s="99"/>
      <c r="D392" s="99"/>
      <c r="E392" s="99"/>
      <c r="F392" s="87"/>
      <c r="G392" s="215">
        <f>G413+G419+G434+G4+G53362+G455+G461+G393+G449+G403</f>
        <v>217556.7</v>
      </c>
      <c r="H392" s="219"/>
    </row>
    <row r="393" spans="1:9" s="60" customFormat="1" ht="74.25">
      <c r="A393" s="227" t="s">
        <v>605</v>
      </c>
      <c r="B393" s="99" t="s">
        <v>606</v>
      </c>
      <c r="C393" s="99"/>
      <c r="D393" s="99"/>
      <c r="E393" s="99"/>
      <c r="F393" s="87"/>
      <c r="G393" s="215">
        <f>G394</f>
        <v>43</v>
      </c>
      <c r="I393" s="219"/>
    </row>
    <row r="394" spans="1:7" s="60" customFormat="1" ht="12.75">
      <c r="A394" s="90" t="s">
        <v>8</v>
      </c>
      <c r="B394" s="99" t="s">
        <v>606</v>
      </c>
      <c r="C394" s="99" t="s">
        <v>66</v>
      </c>
      <c r="D394" s="99" t="s">
        <v>34</v>
      </c>
      <c r="E394" s="99"/>
      <c r="F394" s="87"/>
      <c r="G394" s="215">
        <f>G395+G399</f>
        <v>43</v>
      </c>
    </row>
    <row r="395" spans="1:7" s="60" customFormat="1" ht="12.75">
      <c r="A395" s="96" t="s">
        <v>9</v>
      </c>
      <c r="B395" s="97" t="s">
        <v>606</v>
      </c>
      <c r="C395" s="97" t="s">
        <v>66</v>
      </c>
      <c r="D395" s="97" t="s">
        <v>63</v>
      </c>
      <c r="E395" s="97"/>
      <c r="F395" s="92"/>
      <c r="G395" s="218">
        <f>G396</f>
        <v>40.7</v>
      </c>
    </row>
    <row r="396" spans="1:7" s="60" customFormat="1" ht="22.5">
      <c r="A396" s="96" t="s">
        <v>95</v>
      </c>
      <c r="B396" s="97" t="s">
        <v>606</v>
      </c>
      <c r="C396" s="97" t="s">
        <v>66</v>
      </c>
      <c r="D396" s="97" t="s">
        <v>63</v>
      </c>
      <c r="E396" s="97" t="s">
        <v>96</v>
      </c>
      <c r="F396" s="92"/>
      <c r="G396" s="218">
        <f>G397</f>
        <v>40.7</v>
      </c>
    </row>
    <row r="397" spans="1:7" s="60" customFormat="1" ht="12.75">
      <c r="A397" s="96" t="s">
        <v>99</v>
      </c>
      <c r="B397" s="97" t="s">
        <v>606</v>
      </c>
      <c r="C397" s="97" t="s">
        <v>66</v>
      </c>
      <c r="D397" s="97" t="s">
        <v>63</v>
      </c>
      <c r="E397" s="97" t="s">
        <v>100</v>
      </c>
      <c r="F397" s="92"/>
      <c r="G397" s="218">
        <f>G398</f>
        <v>40.7</v>
      </c>
    </row>
    <row r="398" spans="1:7" s="60" customFormat="1" ht="22.5">
      <c r="A398" s="93" t="s">
        <v>133</v>
      </c>
      <c r="B398" s="97" t="s">
        <v>606</v>
      </c>
      <c r="C398" s="97" t="s">
        <v>66</v>
      </c>
      <c r="D398" s="97" t="s">
        <v>63</v>
      </c>
      <c r="E398" s="97" t="s">
        <v>100</v>
      </c>
      <c r="F398" s="92">
        <v>725</v>
      </c>
      <c r="G398" s="218">
        <f>40.7</f>
        <v>40.7</v>
      </c>
    </row>
    <row r="399" spans="1:7" s="60" customFormat="1" ht="12.75">
      <c r="A399" s="96" t="s">
        <v>10</v>
      </c>
      <c r="B399" s="97" t="s">
        <v>606</v>
      </c>
      <c r="C399" s="97" t="s">
        <v>66</v>
      </c>
      <c r="D399" s="97" t="s">
        <v>64</v>
      </c>
      <c r="E399" s="97"/>
      <c r="F399" s="92"/>
      <c r="G399" s="218">
        <f>G400</f>
        <v>2.299999999999997</v>
      </c>
    </row>
    <row r="400" spans="1:7" s="60" customFormat="1" ht="22.5">
      <c r="A400" s="96" t="s">
        <v>95</v>
      </c>
      <c r="B400" s="97" t="s">
        <v>606</v>
      </c>
      <c r="C400" s="97" t="s">
        <v>66</v>
      </c>
      <c r="D400" s="97" t="s">
        <v>64</v>
      </c>
      <c r="E400" s="97" t="s">
        <v>96</v>
      </c>
      <c r="F400" s="92"/>
      <c r="G400" s="218">
        <f>G401</f>
        <v>2.299999999999997</v>
      </c>
    </row>
    <row r="401" spans="1:7" s="60" customFormat="1" ht="12.75">
      <c r="A401" s="96" t="s">
        <v>99</v>
      </c>
      <c r="B401" s="97" t="s">
        <v>606</v>
      </c>
      <c r="C401" s="97" t="s">
        <v>66</v>
      </c>
      <c r="D401" s="97" t="s">
        <v>64</v>
      </c>
      <c r="E401" s="97" t="s">
        <v>100</v>
      </c>
      <c r="F401" s="92"/>
      <c r="G401" s="218">
        <f>G402</f>
        <v>2.299999999999997</v>
      </c>
    </row>
    <row r="402" spans="1:7" s="60" customFormat="1" ht="22.5">
      <c r="A402" s="93" t="s">
        <v>133</v>
      </c>
      <c r="B402" s="97" t="s">
        <v>606</v>
      </c>
      <c r="C402" s="97" t="s">
        <v>66</v>
      </c>
      <c r="D402" s="97" t="s">
        <v>64</v>
      </c>
      <c r="E402" s="97" t="s">
        <v>100</v>
      </c>
      <c r="F402" s="92">
        <v>725</v>
      </c>
      <c r="G402" s="218">
        <f>81.3-79</f>
        <v>2.299999999999997</v>
      </c>
    </row>
    <row r="403" spans="1:7" s="60" customFormat="1" ht="53.25">
      <c r="A403" s="100" t="s">
        <v>710</v>
      </c>
      <c r="B403" s="99" t="s">
        <v>617</v>
      </c>
      <c r="C403" s="99"/>
      <c r="D403" s="99"/>
      <c r="E403" s="99"/>
      <c r="F403" s="87"/>
      <c r="G403" s="218">
        <f>G404</f>
        <v>20</v>
      </c>
    </row>
    <row r="404" spans="1:7" s="60" customFormat="1" ht="12.75">
      <c r="A404" s="90" t="s">
        <v>8</v>
      </c>
      <c r="B404" s="99" t="s">
        <v>617</v>
      </c>
      <c r="C404" s="99" t="s">
        <v>66</v>
      </c>
      <c r="D404" s="99" t="s">
        <v>34</v>
      </c>
      <c r="E404" s="99"/>
      <c r="F404" s="87"/>
      <c r="G404" s="218">
        <f>G405+G409</f>
        <v>20</v>
      </c>
    </row>
    <row r="405" spans="1:7" s="60" customFormat="1" ht="12.75">
      <c r="A405" s="96" t="s">
        <v>9</v>
      </c>
      <c r="B405" s="97" t="s">
        <v>617</v>
      </c>
      <c r="C405" s="97" t="s">
        <v>66</v>
      </c>
      <c r="D405" s="97" t="s">
        <v>63</v>
      </c>
      <c r="E405" s="97"/>
      <c r="F405" s="92"/>
      <c r="G405" s="218">
        <f>G406</f>
        <v>10</v>
      </c>
    </row>
    <row r="406" spans="1:7" s="60" customFormat="1" ht="22.5">
      <c r="A406" s="96" t="s">
        <v>95</v>
      </c>
      <c r="B406" s="97" t="s">
        <v>617</v>
      </c>
      <c r="C406" s="97" t="s">
        <v>66</v>
      </c>
      <c r="D406" s="97" t="s">
        <v>63</v>
      </c>
      <c r="E406" s="97" t="s">
        <v>96</v>
      </c>
      <c r="F406" s="92"/>
      <c r="G406" s="218">
        <f>G407</f>
        <v>10</v>
      </c>
    </row>
    <row r="407" spans="1:7" s="60" customFormat="1" ht="12.75">
      <c r="A407" s="96" t="s">
        <v>99</v>
      </c>
      <c r="B407" s="97" t="s">
        <v>617</v>
      </c>
      <c r="C407" s="97" t="s">
        <v>66</v>
      </c>
      <c r="D407" s="97" t="s">
        <v>63</v>
      </c>
      <c r="E407" s="97" t="s">
        <v>100</v>
      </c>
      <c r="F407" s="92"/>
      <c r="G407" s="218">
        <f>G408</f>
        <v>10</v>
      </c>
    </row>
    <row r="408" spans="1:7" s="60" customFormat="1" ht="22.5">
      <c r="A408" s="93" t="s">
        <v>133</v>
      </c>
      <c r="B408" s="97" t="s">
        <v>617</v>
      </c>
      <c r="C408" s="97" t="s">
        <v>66</v>
      </c>
      <c r="D408" s="97" t="s">
        <v>63</v>
      </c>
      <c r="E408" s="97" t="s">
        <v>100</v>
      </c>
      <c r="F408" s="92">
        <v>725</v>
      </c>
      <c r="G408" s="218">
        <v>10</v>
      </c>
    </row>
    <row r="409" spans="1:7" s="60" customFormat="1" ht="12.75">
      <c r="A409" s="96" t="s">
        <v>10</v>
      </c>
      <c r="B409" s="97" t="s">
        <v>617</v>
      </c>
      <c r="C409" s="97" t="s">
        <v>66</v>
      </c>
      <c r="D409" s="97" t="s">
        <v>64</v>
      </c>
      <c r="E409" s="97"/>
      <c r="F409" s="92"/>
      <c r="G409" s="218">
        <f>G410</f>
        <v>10</v>
      </c>
    </row>
    <row r="410" spans="1:7" s="60" customFormat="1" ht="22.5">
      <c r="A410" s="96" t="s">
        <v>95</v>
      </c>
      <c r="B410" s="97" t="s">
        <v>617</v>
      </c>
      <c r="C410" s="97" t="s">
        <v>66</v>
      </c>
      <c r="D410" s="97" t="s">
        <v>64</v>
      </c>
      <c r="E410" s="97" t="s">
        <v>96</v>
      </c>
      <c r="F410" s="92"/>
      <c r="G410" s="218">
        <f>G411</f>
        <v>10</v>
      </c>
    </row>
    <row r="411" spans="1:7" s="60" customFormat="1" ht="12.75">
      <c r="A411" s="96" t="s">
        <v>99</v>
      </c>
      <c r="B411" s="97" t="s">
        <v>617</v>
      </c>
      <c r="C411" s="97" t="s">
        <v>66</v>
      </c>
      <c r="D411" s="97" t="s">
        <v>64</v>
      </c>
      <c r="E411" s="97" t="s">
        <v>100</v>
      </c>
      <c r="F411" s="92"/>
      <c r="G411" s="218">
        <f>G412</f>
        <v>10</v>
      </c>
    </row>
    <row r="412" spans="1:7" s="60" customFormat="1" ht="22.5">
      <c r="A412" s="93" t="s">
        <v>133</v>
      </c>
      <c r="B412" s="97" t="s">
        <v>617</v>
      </c>
      <c r="C412" s="97" t="s">
        <v>66</v>
      </c>
      <c r="D412" s="97" t="s">
        <v>64</v>
      </c>
      <c r="E412" s="97" t="s">
        <v>100</v>
      </c>
      <c r="F412" s="92">
        <v>725</v>
      </c>
      <c r="G412" s="218">
        <v>10</v>
      </c>
    </row>
    <row r="413" spans="1:7" s="60" customFormat="1" ht="32.25">
      <c r="A413" s="100" t="s">
        <v>423</v>
      </c>
      <c r="B413" s="99" t="s">
        <v>343</v>
      </c>
      <c r="C413" s="99"/>
      <c r="D413" s="99"/>
      <c r="E413" s="99"/>
      <c r="F413" s="87"/>
      <c r="G413" s="215">
        <f>G414</f>
        <v>141591.6</v>
      </c>
    </row>
    <row r="414" spans="1:7" s="60" customFormat="1" ht="12.75">
      <c r="A414" s="90" t="s">
        <v>8</v>
      </c>
      <c r="B414" s="99" t="s">
        <v>343</v>
      </c>
      <c r="C414" s="99" t="s">
        <v>66</v>
      </c>
      <c r="D414" s="99" t="s">
        <v>34</v>
      </c>
      <c r="E414" s="99"/>
      <c r="F414" s="87"/>
      <c r="G414" s="215">
        <f>G415</f>
        <v>141591.6</v>
      </c>
    </row>
    <row r="415" spans="1:7" s="11" customFormat="1" ht="12.75">
      <c r="A415" s="96" t="s">
        <v>10</v>
      </c>
      <c r="B415" s="97" t="s">
        <v>343</v>
      </c>
      <c r="C415" s="97" t="s">
        <v>66</v>
      </c>
      <c r="D415" s="97" t="s">
        <v>64</v>
      </c>
      <c r="E415" s="97"/>
      <c r="F415" s="92"/>
      <c r="G415" s="218">
        <f>G416</f>
        <v>141591.6</v>
      </c>
    </row>
    <row r="416" spans="1:7" s="11" customFormat="1" ht="22.5">
      <c r="A416" s="96" t="s">
        <v>95</v>
      </c>
      <c r="B416" s="97" t="s">
        <v>343</v>
      </c>
      <c r="C416" s="97" t="s">
        <v>66</v>
      </c>
      <c r="D416" s="97" t="s">
        <v>64</v>
      </c>
      <c r="E416" s="97" t="s">
        <v>96</v>
      </c>
      <c r="F416" s="92"/>
      <c r="G416" s="218">
        <f>G417</f>
        <v>141591.6</v>
      </c>
    </row>
    <row r="417" spans="1:7" s="11" customFormat="1" ht="12.75">
      <c r="A417" s="96" t="s">
        <v>99</v>
      </c>
      <c r="B417" s="97" t="s">
        <v>343</v>
      </c>
      <c r="C417" s="97" t="s">
        <v>66</v>
      </c>
      <c r="D417" s="97" t="s">
        <v>64</v>
      </c>
      <c r="E417" s="97" t="s">
        <v>100</v>
      </c>
      <c r="F417" s="92"/>
      <c r="G417" s="218">
        <f>G418</f>
        <v>141591.6</v>
      </c>
    </row>
    <row r="418" spans="1:7" s="11" customFormat="1" ht="12.75" customHeight="1">
      <c r="A418" s="93" t="s">
        <v>133</v>
      </c>
      <c r="B418" s="97" t="s">
        <v>343</v>
      </c>
      <c r="C418" s="97" t="s">
        <v>66</v>
      </c>
      <c r="D418" s="97" t="s">
        <v>64</v>
      </c>
      <c r="E418" s="97" t="s">
        <v>100</v>
      </c>
      <c r="F418" s="92">
        <v>725</v>
      </c>
      <c r="G418" s="218">
        <f>125808.1+15783.5</f>
        <v>141591.6</v>
      </c>
    </row>
    <row r="419" spans="1:7" s="60" customFormat="1" ht="39.6" customHeight="1">
      <c r="A419" s="100" t="s">
        <v>424</v>
      </c>
      <c r="B419" s="99" t="s">
        <v>339</v>
      </c>
      <c r="C419" s="99"/>
      <c r="D419" s="99"/>
      <c r="E419" s="99"/>
      <c r="F419" s="87"/>
      <c r="G419" s="215">
        <f>G420</f>
        <v>1562.9999999999998</v>
      </c>
    </row>
    <row r="420" spans="1:7" s="60" customFormat="1" ht="12.75">
      <c r="A420" s="90" t="s">
        <v>8</v>
      </c>
      <c r="B420" s="99" t="s">
        <v>339</v>
      </c>
      <c r="C420" s="99" t="s">
        <v>66</v>
      </c>
      <c r="D420" s="99" t="s">
        <v>34</v>
      </c>
      <c r="E420" s="99"/>
      <c r="F420" s="87"/>
      <c r="G420" s="215">
        <f>G421+G425+G429</f>
        <v>1562.9999999999998</v>
      </c>
    </row>
    <row r="421" spans="1:7" s="11" customFormat="1" ht="12.75">
      <c r="A421" s="96" t="s">
        <v>9</v>
      </c>
      <c r="B421" s="97" t="s">
        <v>339</v>
      </c>
      <c r="C421" s="97" t="s">
        <v>66</v>
      </c>
      <c r="D421" s="97" t="s">
        <v>63</v>
      </c>
      <c r="E421" s="97"/>
      <c r="F421" s="92"/>
      <c r="G421" s="218">
        <f>G422</f>
        <v>257.79999999999995</v>
      </c>
    </row>
    <row r="422" spans="1:7" s="11" customFormat="1" ht="22.5">
      <c r="A422" s="96" t="s">
        <v>95</v>
      </c>
      <c r="B422" s="97" t="s">
        <v>339</v>
      </c>
      <c r="C422" s="97" t="s">
        <v>66</v>
      </c>
      <c r="D422" s="97" t="s">
        <v>63</v>
      </c>
      <c r="E422" s="97" t="s">
        <v>96</v>
      </c>
      <c r="F422" s="92"/>
      <c r="G422" s="218">
        <f>G423</f>
        <v>257.79999999999995</v>
      </c>
    </row>
    <row r="423" spans="1:7" s="11" customFormat="1" ht="12.75">
      <c r="A423" s="96" t="s">
        <v>99</v>
      </c>
      <c r="B423" s="97" t="s">
        <v>339</v>
      </c>
      <c r="C423" s="97" t="s">
        <v>66</v>
      </c>
      <c r="D423" s="97" t="s">
        <v>63</v>
      </c>
      <c r="E423" s="97" t="s">
        <v>100</v>
      </c>
      <c r="F423" s="92"/>
      <c r="G423" s="218">
        <f>G424</f>
        <v>257.79999999999995</v>
      </c>
    </row>
    <row r="424" spans="1:7" s="11" customFormat="1" ht="12" customHeight="1">
      <c r="A424" s="93" t="s">
        <v>133</v>
      </c>
      <c r="B424" s="97" t="s">
        <v>339</v>
      </c>
      <c r="C424" s="97" t="s">
        <v>66</v>
      </c>
      <c r="D424" s="97" t="s">
        <v>63</v>
      </c>
      <c r="E424" s="97" t="s">
        <v>100</v>
      </c>
      <c r="F424" s="92">
        <v>725</v>
      </c>
      <c r="G424" s="218">
        <f>191.7+66.1</f>
        <v>257.79999999999995</v>
      </c>
    </row>
    <row r="425" spans="1:7" s="11" customFormat="1" ht="12.75">
      <c r="A425" s="93" t="s">
        <v>10</v>
      </c>
      <c r="B425" s="97" t="s">
        <v>339</v>
      </c>
      <c r="C425" s="97" t="s">
        <v>66</v>
      </c>
      <c r="D425" s="97" t="s">
        <v>64</v>
      </c>
      <c r="E425" s="97"/>
      <c r="F425" s="92"/>
      <c r="G425" s="218">
        <f>G426</f>
        <v>994.9</v>
      </c>
    </row>
    <row r="426" spans="1:7" s="11" customFormat="1" ht="22.5">
      <c r="A426" s="96" t="s">
        <v>95</v>
      </c>
      <c r="B426" s="97" t="s">
        <v>339</v>
      </c>
      <c r="C426" s="97" t="s">
        <v>66</v>
      </c>
      <c r="D426" s="97" t="s">
        <v>64</v>
      </c>
      <c r="E426" s="97" t="s">
        <v>96</v>
      </c>
      <c r="F426" s="92"/>
      <c r="G426" s="218">
        <f>G427</f>
        <v>994.9</v>
      </c>
    </row>
    <row r="427" spans="1:7" s="11" customFormat="1" ht="12.75">
      <c r="A427" s="96" t="s">
        <v>99</v>
      </c>
      <c r="B427" s="97" t="s">
        <v>339</v>
      </c>
      <c r="C427" s="97" t="s">
        <v>66</v>
      </c>
      <c r="D427" s="97" t="s">
        <v>64</v>
      </c>
      <c r="E427" s="97" t="s">
        <v>100</v>
      </c>
      <c r="F427" s="92"/>
      <c r="G427" s="218">
        <f>G428</f>
        <v>994.9</v>
      </c>
    </row>
    <row r="428" spans="1:7" s="11" customFormat="1" ht="12.75" customHeight="1">
      <c r="A428" s="93" t="s">
        <v>133</v>
      </c>
      <c r="B428" s="97" t="s">
        <v>339</v>
      </c>
      <c r="C428" s="97" t="s">
        <v>66</v>
      </c>
      <c r="D428" s="97" t="s">
        <v>64</v>
      </c>
      <c r="E428" s="97" t="s">
        <v>100</v>
      </c>
      <c r="F428" s="92">
        <v>725</v>
      </c>
      <c r="G428" s="218">
        <f>683.9+277.5+33.5</f>
        <v>994.9</v>
      </c>
    </row>
    <row r="429" spans="1:7" s="11" customFormat="1" ht="12.75">
      <c r="A429" s="93" t="s">
        <v>304</v>
      </c>
      <c r="B429" s="97" t="s">
        <v>339</v>
      </c>
      <c r="C429" s="97" t="s">
        <v>66</v>
      </c>
      <c r="D429" s="97" t="s">
        <v>67</v>
      </c>
      <c r="E429" s="97"/>
      <c r="F429" s="92"/>
      <c r="G429" s="218">
        <f>G430</f>
        <v>310.29999999999995</v>
      </c>
    </row>
    <row r="430" spans="1:7" s="11" customFormat="1" ht="22.5">
      <c r="A430" s="96" t="s">
        <v>95</v>
      </c>
      <c r="B430" s="97" t="s">
        <v>339</v>
      </c>
      <c r="C430" s="97" t="s">
        <v>66</v>
      </c>
      <c r="D430" s="97" t="s">
        <v>67</v>
      </c>
      <c r="E430" s="97" t="s">
        <v>96</v>
      </c>
      <c r="F430" s="92"/>
      <c r="G430" s="218">
        <f>G431</f>
        <v>310.29999999999995</v>
      </c>
    </row>
    <row r="431" spans="1:7" s="11" customFormat="1" ht="12.75">
      <c r="A431" s="96" t="s">
        <v>99</v>
      </c>
      <c r="B431" s="97" t="s">
        <v>339</v>
      </c>
      <c r="C431" s="97" t="s">
        <v>66</v>
      </c>
      <c r="D431" s="97" t="s">
        <v>67</v>
      </c>
      <c r="E431" s="97" t="s">
        <v>100</v>
      </c>
      <c r="F431" s="92"/>
      <c r="G431" s="218">
        <f>G432+G433</f>
        <v>310.29999999999995</v>
      </c>
    </row>
    <row r="432" spans="1:7" s="11" customFormat="1" ht="12" customHeight="1">
      <c r="A432" s="93" t="s">
        <v>133</v>
      </c>
      <c r="B432" s="97" t="s">
        <v>339</v>
      </c>
      <c r="C432" s="97" t="s">
        <v>66</v>
      </c>
      <c r="D432" s="97" t="s">
        <v>67</v>
      </c>
      <c r="E432" s="97" t="s">
        <v>100</v>
      </c>
      <c r="F432" s="92">
        <v>725</v>
      </c>
      <c r="G432" s="218">
        <f>156.5-41.4+22.6+3</f>
        <v>140.7</v>
      </c>
    </row>
    <row r="433" spans="1:7" s="11" customFormat="1" ht="22.5">
      <c r="A433" s="93" t="s">
        <v>134</v>
      </c>
      <c r="B433" s="97" t="s">
        <v>339</v>
      </c>
      <c r="C433" s="97" t="s">
        <v>66</v>
      </c>
      <c r="D433" s="97" t="s">
        <v>67</v>
      </c>
      <c r="E433" s="97" t="s">
        <v>100</v>
      </c>
      <c r="F433" s="92">
        <v>726</v>
      </c>
      <c r="G433" s="218">
        <f>252-82.4</f>
        <v>169.6</v>
      </c>
    </row>
    <row r="434" spans="1:7" s="60" customFormat="1" ht="47.45" customHeight="1">
      <c r="A434" s="100" t="s">
        <v>593</v>
      </c>
      <c r="B434" s="99" t="s">
        <v>340</v>
      </c>
      <c r="C434" s="99"/>
      <c r="D434" s="99"/>
      <c r="E434" s="99"/>
      <c r="F434" s="87"/>
      <c r="G434" s="215">
        <f>G435</f>
        <v>4724.7</v>
      </c>
    </row>
    <row r="435" spans="1:7" s="60" customFormat="1" ht="12.75">
      <c r="A435" s="90" t="s">
        <v>8</v>
      </c>
      <c r="B435" s="99" t="s">
        <v>340</v>
      </c>
      <c r="C435" s="99" t="s">
        <v>66</v>
      </c>
      <c r="D435" s="99" t="s">
        <v>34</v>
      </c>
      <c r="E435" s="99"/>
      <c r="F435" s="87"/>
      <c r="G435" s="215">
        <f>G436+G440+G444</f>
        <v>4724.7</v>
      </c>
    </row>
    <row r="436" spans="1:7" s="11" customFormat="1" ht="12.75">
      <c r="A436" s="96" t="s">
        <v>9</v>
      </c>
      <c r="B436" s="97" t="s">
        <v>340</v>
      </c>
      <c r="C436" s="97" t="s">
        <v>66</v>
      </c>
      <c r="D436" s="97" t="s">
        <v>63</v>
      </c>
      <c r="E436" s="97"/>
      <c r="F436" s="92"/>
      <c r="G436" s="218">
        <f>G437</f>
        <v>1006</v>
      </c>
    </row>
    <row r="437" spans="1:7" s="11" customFormat="1" ht="22.5">
      <c r="A437" s="96" t="s">
        <v>95</v>
      </c>
      <c r="B437" s="97" t="s">
        <v>340</v>
      </c>
      <c r="C437" s="97" t="s">
        <v>66</v>
      </c>
      <c r="D437" s="97" t="s">
        <v>63</v>
      </c>
      <c r="E437" s="97" t="s">
        <v>96</v>
      </c>
      <c r="F437" s="92"/>
      <c r="G437" s="218">
        <f>G438</f>
        <v>1006</v>
      </c>
    </row>
    <row r="438" spans="1:7" s="11" customFormat="1" ht="12.75">
      <c r="A438" s="96" t="s">
        <v>99</v>
      </c>
      <c r="B438" s="97" t="s">
        <v>340</v>
      </c>
      <c r="C438" s="97" t="s">
        <v>66</v>
      </c>
      <c r="D438" s="97" t="s">
        <v>63</v>
      </c>
      <c r="E438" s="97" t="s">
        <v>100</v>
      </c>
      <c r="F438" s="92"/>
      <c r="G438" s="218">
        <f>G439</f>
        <v>1006</v>
      </c>
    </row>
    <row r="439" spans="1:7" s="11" customFormat="1" ht="13.5" customHeight="1">
      <c r="A439" s="93" t="s">
        <v>133</v>
      </c>
      <c r="B439" s="97" t="s">
        <v>340</v>
      </c>
      <c r="C439" s="97" t="s">
        <v>66</v>
      </c>
      <c r="D439" s="97" t="s">
        <v>63</v>
      </c>
      <c r="E439" s="97" t="s">
        <v>100</v>
      </c>
      <c r="F439" s="92">
        <v>725</v>
      </c>
      <c r="G439" s="218">
        <f>1136.2-130.2</f>
        <v>1006</v>
      </c>
    </row>
    <row r="440" spans="1:7" s="11" customFormat="1" ht="12.75">
      <c r="A440" s="93" t="s">
        <v>10</v>
      </c>
      <c r="B440" s="97" t="s">
        <v>340</v>
      </c>
      <c r="C440" s="97" t="s">
        <v>66</v>
      </c>
      <c r="D440" s="97" t="s">
        <v>64</v>
      </c>
      <c r="E440" s="97"/>
      <c r="F440" s="92"/>
      <c r="G440" s="218">
        <f>G441</f>
        <v>2588.5</v>
      </c>
    </row>
    <row r="441" spans="1:7" s="11" customFormat="1" ht="22.5">
      <c r="A441" s="96" t="s">
        <v>95</v>
      </c>
      <c r="B441" s="97" t="s">
        <v>340</v>
      </c>
      <c r="C441" s="97" t="s">
        <v>66</v>
      </c>
      <c r="D441" s="97" t="s">
        <v>64</v>
      </c>
      <c r="E441" s="97" t="s">
        <v>96</v>
      </c>
      <c r="F441" s="92"/>
      <c r="G441" s="218">
        <f>G442</f>
        <v>2588.5</v>
      </c>
    </row>
    <row r="442" spans="1:7" s="11" customFormat="1" ht="12.75">
      <c r="A442" s="96" t="s">
        <v>99</v>
      </c>
      <c r="B442" s="97" t="s">
        <v>340</v>
      </c>
      <c r="C442" s="97" t="s">
        <v>66</v>
      </c>
      <c r="D442" s="97" t="s">
        <v>64</v>
      </c>
      <c r="E442" s="97" t="s">
        <v>100</v>
      </c>
      <c r="F442" s="92"/>
      <c r="G442" s="218">
        <f>G443</f>
        <v>2588.5</v>
      </c>
    </row>
    <row r="443" spans="1:7" s="11" customFormat="1" ht="11.25" customHeight="1">
      <c r="A443" s="93" t="s">
        <v>133</v>
      </c>
      <c r="B443" s="97" t="s">
        <v>340</v>
      </c>
      <c r="C443" s="97" t="s">
        <v>66</v>
      </c>
      <c r="D443" s="97" t="s">
        <v>64</v>
      </c>
      <c r="E443" s="97" t="s">
        <v>100</v>
      </c>
      <c r="F443" s="92">
        <v>725</v>
      </c>
      <c r="G443" s="218">
        <f>3329.5-694.6-46.4</f>
        <v>2588.5</v>
      </c>
    </row>
    <row r="444" spans="1:7" s="11" customFormat="1" ht="12.75">
      <c r="A444" s="93" t="s">
        <v>304</v>
      </c>
      <c r="B444" s="97" t="s">
        <v>340</v>
      </c>
      <c r="C444" s="97" t="s">
        <v>66</v>
      </c>
      <c r="D444" s="97" t="s">
        <v>67</v>
      </c>
      <c r="E444" s="97"/>
      <c r="F444" s="92"/>
      <c r="G444" s="218">
        <f>G445</f>
        <v>1130.1999999999998</v>
      </c>
    </row>
    <row r="445" spans="1:7" s="11" customFormat="1" ht="22.5">
      <c r="A445" s="96" t="s">
        <v>95</v>
      </c>
      <c r="B445" s="97" t="s">
        <v>340</v>
      </c>
      <c r="C445" s="97" t="s">
        <v>66</v>
      </c>
      <c r="D445" s="97" t="s">
        <v>67</v>
      </c>
      <c r="E445" s="97" t="s">
        <v>96</v>
      </c>
      <c r="F445" s="92"/>
      <c r="G445" s="218">
        <f>G446</f>
        <v>1130.1999999999998</v>
      </c>
    </row>
    <row r="446" spans="1:7" s="11" customFormat="1" ht="12.75">
      <c r="A446" s="96" t="s">
        <v>99</v>
      </c>
      <c r="B446" s="97" t="s">
        <v>340</v>
      </c>
      <c r="C446" s="97" t="s">
        <v>66</v>
      </c>
      <c r="D446" s="97" t="s">
        <v>67</v>
      </c>
      <c r="E446" s="97" t="s">
        <v>100</v>
      </c>
      <c r="F446" s="92"/>
      <c r="G446" s="218">
        <f>G447+G448</f>
        <v>1130.1999999999998</v>
      </c>
    </row>
    <row r="447" spans="1:7" s="11" customFormat="1" ht="11.25" customHeight="1">
      <c r="A447" s="93" t="s">
        <v>133</v>
      </c>
      <c r="B447" s="97" t="s">
        <v>340</v>
      </c>
      <c r="C447" s="97" t="s">
        <v>66</v>
      </c>
      <c r="D447" s="97" t="s">
        <v>67</v>
      </c>
      <c r="E447" s="97" t="s">
        <v>100</v>
      </c>
      <c r="F447" s="92">
        <v>725</v>
      </c>
      <c r="G447" s="218">
        <f>719.8-60</f>
        <v>659.8</v>
      </c>
    </row>
    <row r="448" spans="1:7" s="11" customFormat="1" ht="22.5">
      <c r="A448" s="93" t="s">
        <v>134</v>
      </c>
      <c r="B448" s="97" t="s">
        <v>340</v>
      </c>
      <c r="C448" s="97" t="s">
        <v>66</v>
      </c>
      <c r="D448" s="97" t="s">
        <v>67</v>
      </c>
      <c r="E448" s="97" t="s">
        <v>100</v>
      </c>
      <c r="F448" s="92">
        <v>726</v>
      </c>
      <c r="G448" s="218">
        <f>580.8-110.4</f>
        <v>470.4</v>
      </c>
    </row>
    <row r="449" spans="1:7" s="60" customFormat="1" ht="42.75" customHeight="1">
      <c r="A449" s="100" t="s">
        <v>425</v>
      </c>
      <c r="B449" s="99" t="s">
        <v>341</v>
      </c>
      <c r="C449" s="99"/>
      <c r="D449" s="99"/>
      <c r="E449" s="99"/>
      <c r="F449" s="87"/>
      <c r="G449" s="215">
        <f>G450</f>
        <v>58976.9</v>
      </c>
    </row>
    <row r="450" spans="1:7" s="60" customFormat="1" ht="12.75">
      <c r="A450" s="90" t="s">
        <v>8</v>
      </c>
      <c r="B450" s="99" t="s">
        <v>341</v>
      </c>
      <c r="C450" s="99" t="s">
        <v>66</v>
      </c>
      <c r="D450" s="99" t="s">
        <v>34</v>
      </c>
      <c r="E450" s="99"/>
      <c r="F450" s="87"/>
      <c r="G450" s="215">
        <f>G451</f>
        <v>58976.9</v>
      </c>
    </row>
    <row r="451" spans="1:7" s="11" customFormat="1" ht="12.75">
      <c r="A451" s="96" t="s">
        <v>9</v>
      </c>
      <c r="B451" s="97" t="s">
        <v>341</v>
      </c>
      <c r="C451" s="97" t="s">
        <v>66</v>
      </c>
      <c r="D451" s="97" t="s">
        <v>63</v>
      </c>
      <c r="E451" s="97"/>
      <c r="F451" s="92"/>
      <c r="G451" s="218">
        <f>G452</f>
        <v>58976.9</v>
      </c>
    </row>
    <row r="452" spans="1:7" s="11" customFormat="1" ht="22.5">
      <c r="A452" s="96" t="s">
        <v>95</v>
      </c>
      <c r="B452" s="97" t="s">
        <v>341</v>
      </c>
      <c r="C452" s="97" t="s">
        <v>66</v>
      </c>
      <c r="D452" s="97" t="s">
        <v>63</v>
      </c>
      <c r="E452" s="97" t="s">
        <v>96</v>
      </c>
      <c r="F452" s="92"/>
      <c r="G452" s="218">
        <f>G453</f>
        <v>58976.9</v>
      </c>
    </row>
    <row r="453" spans="1:7" s="11" customFormat="1" ht="12.75">
      <c r="A453" s="96" t="s">
        <v>99</v>
      </c>
      <c r="B453" s="97" t="s">
        <v>341</v>
      </c>
      <c r="C453" s="97" t="s">
        <v>66</v>
      </c>
      <c r="D453" s="97" t="s">
        <v>63</v>
      </c>
      <c r="E453" s="97" t="s">
        <v>100</v>
      </c>
      <c r="F453" s="92"/>
      <c r="G453" s="218">
        <f>G454</f>
        <v>58976.9</v>
      </c>
    </row>
    <row r="454" spans="1:7" s="11" customFormat="1" ht="10.5" customHeight="1">
      <c r="A454" s="93" t="s">
        <v>133</v>
      </c>
      <c r="B454" s="97" t="s">
        <v>341</v>
      </c>
      <c r="C454" s="97" t="s">
        <v>66</v>
      </c>
      <c r="D454" s="97" t="s">
        <v>63</v>
      </c>
      <c r="E454" s="97" t="s">
        <v>100</v>
      </c>
      <c r="F454" s="92">
        <v>725</v>
      </c>
      <c r="G454" s="218">
        <f>52310.3+6666.6</f>
        <v>58976.9</v>
      </c>
    </row>
    <row r="455" spans="1:7" s="60" customFormat="1" ht="21.75">
      <c r="A455" s="100" t="s">
        <v>426</v>
      </c>
      <c r="B455" s="99" t="s">
        <v>344</v>
      </c>
      <c r="C455" s="99"/>
      <c r="D455" s="99"/>
      <c r="E455" s="99"/>
      <c r="F455" s="87"/>
      <c r="G455" s="215">
        <f>G456</f>
        <v>1117.6000000000001</v>
      </c>
    </row>
    <row r="456" spans="1:7" s="60" customFormat="1" ht="12.75">
      <c r="A456" s="90" t="s">
        <v>8</v>
      </c>
      <c r="B456" s="99" t="s">
        <v>344</v>
      </c>
      <c r="C456" s="99" t="s">
        <v>66</v>
      </c>
      <c r="D456" s="99" t="s">
        <v>34</v>
      </c>
      <c r="E456" s="99"/>
      <c r="F456" s="87"/>
      <c r="G456" s="215">
        <f>G457</f>
        <v>1117.6000000000001</v>
      </c>
    </row>
    <row r="457" spans="1:7" s="11" customFormat="1" ht="12.75">
      <c r="A457" s="96" t="s">
        <v>10</v>
      </c>
      <c r="B457" s="97" t="s">
        <v>344</v>
      </c>
      <c r="C457" s="97" t="s">
        <v>66</v>
      </c>
      <c r="D457" s="97" t="s">
        <v>64</v>
      </c>
      <c r="E457" s="97"/>
      <c r="F457" s="92"/>
      <c r="G457" s="218">
        <f>G458</f>
        <v>1117.6000000000001</v>
      </c>
    </row>
    <row r="458" spans="1:7" s="11" customFormat="1" ht="22.5">
      <c r="A458" s="96" t="s">
        <v>95</v>
      </c>
      <c r="B458" s="97" t="s">
        <v>344</v>
      </c>
      <c r="C458" s="97" t="s">
        <v>66</v>
      </c>
      <c r="D458" s="97" t="s">
        <v>64</v>
      </c>
      <c r="E458" s="97" t="s">
        <v>96</v>
      </c>
      <c r="F458" s="92"/>
      <c r="G458" s="218">
        <f>G459</f>
        <v>1117.6000000000001</v>
      </c>
    </row>
    <row r="459" spans="1:7" s="11" customFormat="1" ht="12.75">
      <c r="A459" s="96" t="s">
        <v>99</v>
      </c>
      <c r="B459" s="97" t="s">
        <v>344</v>
      </c>
      <c r="C459" s="97" t="s">
        <v>66</v>
      </c>
      <c r="D459" s="97" t="s">
        <v>64</v>
      </c>
      <c r="E459" s="97" t="s">
        <v>100</v>
      </c>
      <c r="F459" s="92"/>
      <c r="G459" s="218">
        <f>G460</f>
        <v>1117.6000000000001</v>
      </c>
    </row>
    <row r="460" spans="1:7" s="11" customFormat="1" ht="12.75" customHeight="1">
      <c r="A460" s="93" t="s">
        <v>133</v>
      </c>
      <c r="B460" s="97" t="s">
        <v>344</v>
      </c>
      <c r="C460" s="97" t="s">
        <v>66</v>
      </c>
      <c r="D460" s="97" t="s">
        <v>64</v>
      </c>
      <c r="E460" s="97" t="s">
        <v>100</v>
      </c>
      <c r="F460" s="92">
        <v>725</v>
      </c>
      <c r="G460" s="218">
        <f>1210.9-87.3-6</f>
        <v>1117.6000000000001</v>
      </c>
    </row>
    <row r="461" spans="1:7" s="60" customFormat="1" ht="32.45" customHeight="1">
      <c r="A461" s="100" t="s">
        <v>427</v>
      </c>
      <c r="B461" s="99" t="s">
        <v>342</v>
      </c>
      <c r="C461" s="99"/>
      <c r="D461" s="99"/>
      <c r="E461" s="99"/>
      <c r="F461" s="87"/>
      <c r="G461" s="215">
        <f>G462</f>
        <v>9519.899999999998</v>
      </c>
    </row>
    <row r="462" spans="1:7" s="60" customFormat="1" ht="12.75">
      <c r="A462" s="90" t="s">
        <v>8</v>
      </c>
      <c r="B462" s="99" t="s">
        <v>342</v>
      </c>
      <c r="C462" s="99" t="s">
        <v>66</v>
      </c>
      <c r="D462" s="99" t="s">
        <v>34</v>
      </c>
      <c r="E462" s="99"/>
      <c r="F462" s="87"/>
      <c r="G462" s="215">
        <f>G463+G467+G471</f>
        <v>9519.899999999998</v>
      </c>
    </row>
    <row r="463" spans="1:7" s="11" customFormat="1" ht="12.75">
      <c r="A463" s="96" t="s">
        <v>9</v>
      </c>
      <c r="B463" s="97" t="s">
        <v>342</v>
      </c>
      <c r="C463" s="97" t="s">
        <v>66</v>
      </c>
      <c r="D463" s="97" t="s">
        <v>63</v>
      </c>
      <c r="E463" s="97"/>
      <c r="F463" s="92"/>
      <c r="G463" s="218">
        <f>G464</f>
        <v>2216.6</v>
      </c>
    </row>
    <row r="464" spans="1:7" s="11" customFormat="1" ht="22.5">
      <c r="A464" s="96" t="s">
        <v>95</v>
      </c>
      <c r="B464" s="97" t="s">
        <v>342</v>
      </c>
      <c r="C464" s="97" t="s">
        <v>66</v>
      </c>
      <c r="D464" s="97" t="s">
        <v>63</v>
      </c>
      <c r="E464" s="97" t="s">
        <v>96</v>
      </c>
      <c r="F464" s="92"/>
      <c r="G464" s="218">
        <f>G465</f>
        <v>2216.6</v>
      </c>
    </row>
    <row r="465" spans="1:7" s="11" customFormat="1" ht="12.75">
      <c r="A465" s="96" t="s">
        <v>99</v>
      </c>
      <c r="B465" s="97" t="s">
        <v>342</v>
      </c>
      <c r="C465" s="97" t="s">
        <v>66</v>
      </c>
      <c r="D465" s="97" t="s">
        <v>63</v>
      </c>
      <c r="E465" s="97" t="s">
        <v>100</v>
      </c>
      <c r="F465" s="92"/>
      <c r="G465" s="218">
        <f>G466</f>
        <v>2216.6</v>
      </c>
    </row>
    <row r="466" spans="1:7" s="11" customFormat="1" ht="13.5" customHeight="1">
      <c r="A466" s="93" t="s">
        <v>133</v>
      </c>
      <c r="B466" s="97" t="s">
        <v>342</v>
      </c>
      <c r="C466" s="97" t="s">
        <v>66</v>
      </c>
      <c r="D466" s="97" t="s">
        <v>63</v>
      </c>
      <c r="E466" s="97" t="s">
        <v>100</v>
      </c>
      <c r="F466" s="92">
        <v>725</v>
      </c>
      <c r="G466" s="218">
        <f>1771.5+445.1</f>
        <v>2216.6</v>
      </c>
    </row>
    <row r="467" spans="1:7" s="11" customFormat="1" ht="12.75">
      <c r="A467" s="96" t="s">
        <v>10</v>
      </c>
      <c r="B467" s="97" t="s">
        <v>342</v>
      </c>
      <c r="C467" s="97" t="s">
        <v>66</v>
      </c>
      <c r="D467" s="97" t="s">
        <v>64</v>
      </c>
      <c r="E467" s="97"/>
      <c r="F467" s="92"/>
      <c r="G467" s="218">
        <f>G468</f>
        <v>5092.099999999999</v>
      </c>
    </row>
    <row r="468" spans="1:7" s="11" customFormat="1" ht="22.5">
      <c r="A468" s="96" t="s">
        <v>95</v>
      </c>
      <c r="B468" s="97" t="s">
        <v>342</v>
      </c>
      <c r="C468" s="97" t="s">
        <v>66</v>
      </c>
      <c r="D468" s="97" t="s">
        <v>64</v>
      </c>
      <c r="E468" s="97" t="s">
        <v>96</v>
      </c>
      <c r="F468" s="92"/>
      <c r="G468" s="218">
        <f>G470</f>
        <v>5092.099999999999</v>
      </c>
    </row>
    <row r="469" spans="1:7" s="11" customFormat="1" ht="12.75">
      <c r="A469" s="96" t="s">
        <v>99</v>
      </c>
      <c r="B469" s="97" t="s">
        <v>342</v>
      </c>
      <c r="C469" s="97" t="s">
        <v>66</v>
      </c>
      <c r="D469" s="97" t="s">
        <v>64</v>
      </c>
      <c r="E469" s="97" t="s">
        <v>100</v>
      </c>
      <c r="F469" s="92"/>
      <c r="G469" s="218">
        <f>G470</f>
        <v>5092.099999999999</v>
      </c>
    </row>
    <row r="470" spans="1:7" s="11" customFormat="1" ht="12" customHeight="1">
      <c r="A470" s="93" t="s">
        <v>133</v>
      </c>
      <c r="B470" s="97" t="s">
        <v>342</v>
      </c>
      <c r="C470" s="97" t="s">
        <v>66</v>
      </c>
      <c r="D470" s="97" t="s">
        <v>64</v>
      </c>
      <c r="E470" s="97" t="s">
        <v>100</v>
      </c>
      <c r="F470" s="92">
        <v>725</v>
      </c>
      <c r="G470" s="218">
        <f>8826.4-3734.3</f>
        <v>5092.099999999999</v>
      </c>
    </row>
    <row r="471" spans="1:7" s="11" customFormat="1" ht="12.75">
      <c r="A471" s="93" t="s">
        <v>304</v>
      </c>
      <c r="B471" s="97" t="s">
        <v>342</v>
      </c>
      <c r="C471" s="97" t="s">
        <v>66</v>
      </c>
      <c r="D471" s="97" t="s">
        <v>67</v>
      </c>
      <c r="E471" s="97"/>
      <c r="F471" s="92"/>
      <c r="G471" s="218">
        <f>G472</f>
        <v>2211.2</v>
      </c>
    </row>
    <row r="472" spans="1:7" s="11" customFormat="1" ht="22.5">
      <c r="A472" s="96" t="s">
        <v>95</v>
      </c>
      <c r="B472" s="97" t="s">
        <v>342</v>
      </c>
      <c r="C472" s="97" t="s">
        <v>66</v>
      </c>
      <c r="D472" s="97" t="s">
        <v>67</v>
      </c>
      <c r="E472" s="97" t="s">
        <v>96</v>
      </c>
      <c r="F472" s="92"/>
      <c r="G472" s="218">
        <f>G473</f>
        <v>2211.2</v>
      </c>
    </row>
    <row r="473" spans="1:7" s="11" customFormat="1" ht="12.75">
      <c r="A473" s="96" t="s">
        <v>99</v>
      </c>
      <c r="B473" s="97" t="s">
        <v>342</v>
      </c>
      <c r="C473" s="97" t="s">
        <v>66</v>
      </c>
      <c r="D473" s="97" t="s">
        <v>67</v>
      </c>
      <c r="E473" s="97" t="s">
        <v>100</v>
      </c>
      <c r="F473" s="92"/>
      <c r="G473" s="218">
        <f>G474+G475</f>
        <v>2211.2</v>
      </c>
    </row>
    <row r="474" spans="1:7" s="11" customFormat="1" ht="12" customHeight="1">
      <c r="A474" s="93" t="s">
        <v>133</v>
      </c>
      <c r="B474" s="97" t="s">
        <v>342</v>
      </c>
      <c r="C474" s="97" t="s">
        <v>66</v>
      </c>
      <c r="D474" s="97" t="s">
        <v>67</v>
      </c>
      <c r="E474" s="97" t="s">
        <v>100</v>
      </c>
      <c r="F474" s="92">
        <v>725</v>
      </c>
      <c r="G474" s="218">
        <f>950+200</f>
        <v>1150</v>
      </c>
    </row>
    <row r="475" spans="1:7" s="11" customFormat="1" ht="22.5">
      <c r="A475" s="93" t="s">
        <v>134</v>
      </c>
      <c r="B475" s="97" t="s">
        <v>342</v>
      </c>
      <c r="C475" s="97" t="s">
        <v>66</v>
      </c>
      <c r="D475" s="97" t="s">
        <v>67</v>
      </c>
      <c r="E475" s="97" t="s">
        <v>100</v>
      </c>
      <c r="F475" s="92">
        <v>726</v>
      </c>
      <c r="G475" s="218">
        <f>878+232-48.8</f>
        <v>1061.2</v>
      </c>
    </row>
    <row r="476" spans="1:7" s="60" customFormat="1" ht="36.6" customHeight="1">
      <c r="A476" s="228" t="s">
        <v>429</v>
      </c>
      <c r="B476" s="99" t="s">
        <v>295</v>
      </c>
      <c r="C476" s="99"/>
      <c r="D476" s="99"/>
      <c r="E476" s="99"/>
      <c r="F476" s="87"/>
      <c r="G476" s="215">
        <f>G477</f>
        <v>2133.4</v>
      </c>
    </row>
    <row r="477" spans="1:7" s="60" customFormat="1" ht="33.75" customHeight="1">
      <c r="A477" s="100" t="s">
        <v>428</v>
      </c>
      <c r="B477" s="99" t="s">
        <v>337</v>
      </c>
      <c r="C477" s="99"/>
      <c r="D477" s="99"/>
      <c r="E477" s="99"/>
      <c r="F477" s="87"/>
      <c r="G477" s="215">
        <f>G478</f>
        <v>2133.4</v>
      </c>
    </row>
    <row r="478" spans="1:7" s="60" customFormat="1" ht="12.75">
      <c r="A478" s="90" t="s">
        <v>8</v>
      </c>
      <c r="B478" s="99" t="s">
        <v>337</v>
      </c>
      <c r="C478" s="99" t="s">
        <v>66</v>
      </c>
      <c r="D478" s="99" t="s">
        <v>34</v>
      </c>
      <c r="E478" s="99"/>
      <c r="F478" s="87"/>
      <c r="G478" s="215">
        <f>G479</f>
        <v>2133.4</v>
      </c>
    </row>
    <row r="479" spans="1:7" s="60" customFormat="1" ht="12.75">
      <c r="A479" s="96" t="s">
        <v>11</v>
      </c>
      <c r="B479" s="97" t="s">
        <v>337</v>
      </c>
      <c r="C479" s="99" t="s">
        <v>66</v>
      </c>
      <c r="D479" s="99" t="s">
        <v>72</v>
      </c>
      <c r="E479" s="99"/>
      <c r="F479" s="87"/>
      <c r="G479" s="215">
        <f>G480+G483</f>
        <v>2133.4</v>
      </c>
    </row>
    <row r="480" spans="1:7" s="11" customFormat="1" ht="45">
      <c r="A480" s="96" t="s">
        <v>92</v>
      </c>
      <c r="B480" s="97" t="s">
        <v>337</v>
      </c>
      <c r="C480" s="97" t="s">
        <v>66</v>
      </c>
      <c r="D480" s="97" t="s">
        <v>72</v>
      </c>
      <c r="E480" s="97" t="s">
        <v>93</v>
      </c>
      <c r="F480" s="92"/>
      <c r="G480" s="218">
        <f>G481</f>
        <v>1825</v>
      </c>
    </row>
    <row r="481" spans="1:7" s="11" customFormat="1" ht="22.5">
      <c r="A481" s="96" t="s">
        <v>89</v>
      </c>
      <c r="B481" s="97" t="s">
        <v>337</v>
      </c>
      <c r="C481" s="97" t="s">
        <v>66</v>
      </c>
      <c r="D481" s="97" t="s">
        <v>72</v>
      </c>
      <c r="E481" s="97" t="s">
        <v>90</v>
      </c>
      <c r="F481" s="92"/>
      <c r="G481" s="218">
        <f>G482</f>
        <v>1825</v>
      </c>
    </row>
    <row r="482" spans="1:7" s="11" customFormat="1" ht="12.75">
      <c r="A482" s="96" t="s">
        <v>130</v>
      </c>
      <c r="B482" s="97" t="s">
        <v>337</v>
      </c>
      <c r="C482" s="97" t="s">
        <v>66</v>
      </c>
      <c r="D482" s="97" t="s">
        <v>72</v>
      </c>
      <c r="E482" s="97" t="s">
        <v>90</v>
      </c>
      <c r="F482" s="92">
        <v>721</v>
      </c>
      <c r="G482" s="218">
        <f>2360.6-535.6</f>
        <v>1825</v>
      </c>
    </row>
    <row r="483" spans="1:7" s="11" customFormat="1" ht="22.5">
      <c r="A483" s="96" t="s">
        <v>333</v>
      </c>
      <c r="B483" s="97" t="s">
        <v>337</v>
      </c>
      <c r="C483" s="97" t="s">
        <v>66</v>
      </c>
      <c r="D483" s="97" t="s">
        <v>72</v>
      </c>
      <c r="E483" s="97" t="s">
        <v>94</v>
      </c>
      <c r="F483" s="92"/>
      <c r="G483" s="218">
        <f>G484</f>
        <v>308.4</v>
      </c>
    </row>
    <row r="484" spans="1:7" s="11" customFormat="1" ht="22.5">
      <c r="A484" s="96" t="s">
        <v>610</v>
      </c>
      <c r="B484" s="97" t="s">
        <v>337</v>
      </c>
      <c r="C484" s="97" t="s">
        <v>66</v>
      </c>
      <c r="D484" s="97" t="s">
        <v>72</v>
      </c>
      <c r="E484" s="97" t="s">
        <v>91</v>
      </c>
      <c r="F484" s="92"/>
      <c r="G484" s="218">
        <f>G485</f>
        <v>308.4</v>
      </c>
    </row>
    <row r="485" spans="1:7" s="11" customFormat="1" ht="12.75">
      <c r="A485" s="96" t="s">
        <v>130</v>
      </c>
      <c r="B485" s="97" t="s">
        <v>337</v>
      </c>
      <c r="C485" s="97" t="s">
        <v>66</v>
      </c>
      <c r="D485" s="97" t="s">
        <v>72</v>
      </c>
      <c r="E485" s="97" t="s">
        <v>91</v>
      </c>
      <c r="F485" s="92">
        <v>721</v>
      </c>
      <c r="G485" s="218">
        <f>510.4-202</f>
        <v>308.4</v>
      </c>
    </row>
    <row r="486" spans="1:7" s="60" customFormat="1" ht="32.25">
      <c r="A486" s="100" t="s">
        <v>430</v>
      </c>
      <c r="B486" s="99" t="s">
        <v>431</v>
      </c>
      <c r="C486" s="99"/>
      <c r="D486" s="99"/>
      <c r="E486" s="99"/>
      <c r="F486" s="87"/>
      <c r="G486" s="215">
        <f>G487+G496+G502</f>
        <v>4003.8999999999996</v>
      </c>
    </row>
    <row r="487" spans="1:7" s="60" customFormat="1" ht="21.75">
      <c r="A487" s="100" t="s">
        <v>587</v>
      </c>
      <c r="B487" s="99" t="s">
        <v>432</v>
      </c>
      <c r="C487" s="99"/>
      <c r="D487" s="99"/>
      <c r="E487" s="99"/>
      <c r="F487" s="87"/>
      <c r="G487" s="215">
        <f>G488</f>
        <v>2603.8999999999996</v>
      </c>
    </row>
    <row r="488" spans="1:7" s="60" customFormat="1" ht="12.75">
      <c r="A488" s="100" t="s">
        <v>59</v>
      </c>
      <c r="B488" s="99" t="s">
        <v>432</v>
      </c>
      <c r="C488" s="99" t="s">
        <v>68</v>
      </c>
      <c r="D488" s="99" t="s">
        <v>34</v>
      </c>
      <c r="E488" s="99"/>
      <c r="F488" s="87"/>
      <c r="G488" s="215">
        <f>G489</f>
        <v>2603.8999999999996</v>
      </c>
    </row>
    <row r="489" spans="1:7" s="60" customFormat="1" ht="12.75">
      <c r="A489" s="96" t="s">
        <v>129</v>
      </c>
      <c r="B489" s="97" t="s">
        <v>432</v>
      </c>
      <c r="C489" s="97" t="s">
        <v>68</v>
      </c>
      <c r="D489" s="97" t="s">
        <v>73</v>
      </c>
      <c r="E489" s="99"/>
      <c r="F489" s="87"/>
      <c r="G489" s="215">
        <f>G490+G493</f>
        <v>2603.8999999999996</v>
      </c>
    </row>
    <row r="490" spans="1:7" s="11" customFormat="1" ht="45">
      <c r="A490" s="96" t="s">
        <v>92</v>
      </c>
      <c r="B490" s="97" t="s">
        <v>432</v>
      </c>
      <c r="C490" s="97" t="s">
        <v>68</v>
      </c>
      <c r="D490" s="97" t="s">
        <v>73</v>
      </c>
      <c r="E490" s="97" t="s">
        <v>93</v>
      </c>
      <c r="F490" s="92"/>
      <c r="G490" s="218">
        <f>G491</f>
        <v>2320.2</v>
      </c>
    </row>
    <row r="491" spans="1:7" s="11" customFormat="1" ht="22.5">
      <c r="A491" s="96" t="s">
        <v>89</v>
      </c>
      <c r="B491" s="97" t="s">
        <v>432</v>
      </c>
      <c r="C491" s="97" t="s">
        <v>68</v>
      </c>
      <c r="D491" s="97" t="s">
        <v>73</v>
      </c>
      <c r="E491" s="97" t="s">
        <v>90</v>
      </c>
      <c r="F491" s="92"/>
      <c r="G491" s="218">
        <f>G492</f>
        <v>2320.2</v>
      </c>
    </row>
    <row r="492" spans="1:7" s="11" customFormat="1" ht="12.75">
      <c r="A492" s="96" t="s">
        <v>130</v>
      </c>
      <c r="B492" s="97" t="s">
        <v>432</v>
      </c>
      <c r="C492" s="97" t="s">
        <v>68</v>
      </c>
      <c r="D492" s="97" t="s">
        <v>73</v>
      </c>
      <c r="E492" s="97" t="s">
        <v>90</v>
      </c>
      <c r="F492" s="92">
        <v>721</v>
      </c>
      <c r="G492" s="218">
        <f>2420.2-100</f>
        <v>2320.2</v>
      </c>
    </row>
    <row r="493" spans="1:7" s="11" customFormat="1" ht="22.5">
      <c r="A493" s="96" t="s">
        <v>333</v>
      </c>
      <c r="B493" s="97" t="s">
        <v>432</v>
      </c>
      <c r="C493" s="97" t="s">
        <v>68</v>
      </c>
      <c r="D493" s="97" t="s">
        <v>73</v>
      </c>
      <c r="E493" s="97" t="s">
        <v>94</v>
      </c>
      <c r="F493" s="92"/>
      <c r="G493" s="218">
        <f>G494</f>
        <v>283.7</v>
      </c>
    </row>
    <row r="494" spans="1:7" s="11" customFormat="1" ht="22.5">
      <c r="A494" s="96" t="s">
        <v>610</v>
      </c>
      <c r="B494" s="97" t="s">
        <v>432</v>
      </c>
      <c r="C494" s="97" t="s">
        <v>68</v>
      </c>
      <c r="D494" s="97" t="s">
        <v>73</v>
      </c>
      <c r="E494" s="97" t="s">
        <v>91</v>
      </c>
      <c r="F494" s="92"/>
      <c r="G494" s="218">
        <f>G495</f>
        <v>283.7</v>
      </c>
    </row>
    <row r="495" spans="1:7" s="11" customFormat="1" ht="12.75">
      <c r="A495" s="96" t="s">
        <v>130</v>
      </c>
      <c r="B495" s="97" t="s">
        <v>432</v>
      </c>
      <c r="C495" s="97" t="s">
        <v>68</v>
      </c>
      <c r="D495" s="97" t="s">
        <v>73</v>
      </c>
      <c r="E495" s="97" t="s">
        <v>91</v>
      </c>
      <c r="F495" s="92">
        <v>721</v>
      </c>
      <c r="G495" s="218">
        <f>183.7+100</f>
        <v>283.7</v>
      </c>
    </row>
    <row r="496" spans="1:7" s="11" customFormat="1" ht="53.25">
      <c r="A496" s="128" t="s">
        <v>655</v>
      </c>
      <c r="B496" s="88" t="s">
        <v>656</v>
      </c>
      <c r="C496" s="229"/>
      <c r="D496" s="99"/>
      <c r="E496" s="99"/>
      <c r="F496" s="87"/>
      <c r="G496" s="215">
        <f>G497</f>
        <v>1162.2</v>
      </c>
    </row>
    <row r="497" spans="1:7" s="11" customFormat="1" ht="15.6" customHeight="1">
      <c r="A497" s="90" t="s">
        <v>2</v>
      </c>
      <c r="B497" s="94" t="s">
        <v>656</v>
      </c>
      <c r="C497" s="91" t="s">
        <v>63</v>
      </c>
      <c r="D497" s="91" t="s">
        <v>34</v>
      </c>
      <c r="E497" s="99"/>
      <c r="F497" s="87"/>
      <c r="G497" s="218">
        <f>G498</f>
        <v>1162.2</v>
      </c>
    </row>
    <row r="498" spans="1:7" s="11" customFormat="1" ht="15" customHeight="1">
      <c r="A498" s="93" t="s">
        <v>60</v>
      </c>
      <c r="B498" s="94" t="s">
        <v>656</v>
      </c>
      <c r="C498" s="95" t="s">
        <v>63</v>
      </c>
      <c r="D498" s="95" t="s">
        <v>84</v>
      </c>
      <c r="E498" s="97"/>
      <c r="F498" s="92"/>
      <c r="G498" s="218">
        <f>G499</f>
        <v>1162.2</v>
      </c>
    </row>
    <row r="499" spans="1:7" s="11" customFormat="1" ht="22.5">
      <c r="A499" s="230" t="s">
        <v>659</v>
      </c>
      <c r="B499" s="94" t="s">
        <v>656</v>
      </c>
      <c r="C499" s="95" t="s">
        <v>63</v>
      </c>
      <c r="D499" s="95" t="s">
        <v>84</v>
      </c>
      <c r="E499" s="97" t="s">
        <v>657</v>
      </c>
      <c r="F499" s="92"/>
      <c r="G499" s="218">
        <f>G500</f>
        <v>1162.2</v>
      </c>
    </row>
    <row r="500" spans="1:7" s="11" customFormat="1" ht="12.75">
      <c r="A500" s="96" t="s">
        <v>660</v>
      </c>
      <c r="B500" s="94" t="s">
        <v>656</v>
      </c>
      <c r="C500" s="95" t="s">
        <v>63</v>
      </c>
      <c r="D500" s="95" t="s">
        <v>84</v>
      </c>
      <c r="E500" s="97" t="s">
        <v>658</v>
      </c>
      <c r="F500" s="92"/>
      <c r="G500" s="218">
        <f>G501</f>
        <v>1162.2</v>
      </c>
    </row>
    <row r="501" spans="1:7" s="11" customFormat="1" ht="22.5">
      <c r="A501" s="93" t="s">
        <v>138</v>
      </c>
      <c r="B501" s="94" t="s">
        <v>656</v>
      </c>
      <c r="C501" s="95" t="s">
        <v>63</v>
      </c>
      <c r="D501" s="95" t="s">
        <v>84</v>
      </c>
      <c r="E501" s="97" t="s">
        <v>658</v>
      </c>
      <c r="F501" s="92">
        <v>724</v>
      </c>
      <c r="G501" s="218">
        <f>1000+162.2</f>
        <v>1162.2</v>
      </c>
    </row>
    <row r="502" spans="1:7" s="60" customFormat="1" ht="63.75">
      <c r="A502" s="128" t="s">
        <v>697</v>
      </c>
      <c r="B502" s="88" t="s">
        <v>693</v>
      </c>
      <c r="C502" s="91"/>
      <c r="D502" s="91"/>
      <c r="E502" s="99"/>
      <c r="F502" s="87"/>
      <c r="G502" s="215">
        <f>G503</f>
        <v>237.8</v>
      </c>
    </row>
    <row r="503" spans="1:7" s="11" customFormat="1" ht="12.75">
      <c r="A503" s="90" t="s">
        <v>2</v>
      </c>
      <c r="B503" s="94" t="s">
        <v>693</v>
      </c>
      <c r="C503" s="91" t="s">
        <v>63</v>
      </c>
      <c r="D503" s="91" t="s">
        <v>34</v>
      </c>
      <c r="E503" s="99"/>
      <c r="F503" s="87"/>
      <c r="G503" s="218">
        <f>G504</f>
        <v>237.8</v>
      </c>
    </row>
    <row r="504" spans="1:7" s="11" customFormat="1" ht="12.75">
      <c r="A504" s="93" t="s">
        <v>60</v>
      </c>
      <c r="B504" s="94" t="s">
        <v>693</v>
      </c>
      <c r="C504" s="95" t="s">
        <v>63</v>
      </c>
      <c r="D504" s="95" t="s">
        <v>84</v>
      </c>
      <c r="E504" s="97"/>
      <c r="F504" s="92"/>
      <c r="G504" s="218">
        <f>G505</f>
        <v>237.8</v>
      </c>
    </row>
    <row r="505" spans="1:7" s="11" customFormat="1" ht="22.5">
      <c r="A505" s="230" t="s">
        <v>659</v>
      </c>
      <c r="B505" s="94" t="s">
        <v>693</v>
      </c>
      <c r="C505" s="95" t="s">
        <v>63</v>
      </c>
      <c r="D505" s="95" t="s">
        <v>84</v>
      </c>
      <c r="E505" s="97" t="s">
        <v>657</v>
      </c>
      <c r="F505" s="92"/>
      <c r="G505" s="218">
        <f>G506</f>
        <v>237.8</v>
      </c>
    </row>
    <row r="506" spans="1:7" s="11" customFormat="1" ht="12.75">
      <c r="A506" s="96" t="s">
        <v>660</v>
      </c>
      <c r="B506" s="94" t="s">
        <v>693</v>
      </c>
      <c r="C506" s="95" t="s">
        <v>63</v>
      </c>
      <c r="D506" s="95" t="s">
        <v>84</v>
      </c>
      <c r="E506" s="97" t="s">
        <v>658</v>
      </c>
      <c r="F506" s="92"/>
      <c r="G506" s="218">
        <f>G507</f>
        <v>237.8</v>
      </c>
    </row>
    <row r="507" spans="1:7" s="11" customFormat="1" ht="22.5">
      <c r="A507" s="93" t="s">
        <v>138</v>
      </c>
      <c r="B507" s="94" t="s">
        <v>693</v>
      </c>
      <c r="C507" s="95" t="s">
        <v>63</v>
      </c>
      <c r="D507" s="95" t="s">
        <v>84</v>
      </c>
      <c r="E507" s="97" t="s">
        <v>658</v>
      </c>
      <c r="F507" s="92">
        <v>724</v>
      </c>
      <c r="G507" s="218">
        <f>400-162.2</f>
        <v>237.8</v>
      </c>
    </row>
    <row r="508" spans="1:7" s="60" customFormat="1" ht="32.25">
      <c r="A508" s="100" t="s">
        <v>458</v>
      </c>
      <c r="B508" s="99" t="s">
        <v>459</v>
      </c>
      <c r="C508" s="99"/>
      <c r="D508" s="99"/>
      <c r="E508" s="99"/>
      <c r="F508" s="87"/>
      <c r="G508" s="215">
        <f aca="true" t="shared" si="10" ref="G508:G513">G509</f>
        <v>275</v>
      </c>
    </row>
    <row r="509" spans="1:7" s="11" customFormat="1" ht="22.5">
      <c r="A509" s="96" t="s">
        <v>590</v>
      </c>
      <c r="B509" s="97" t="s">
        <v>583</v>
      </c>
      <c r="C509" s="97"/>
      <c r="D509" s="97"/>
      <c r="E509" s="97"/>
      <c r="F509" s="92"/>
      <c r="G509" s="218">
        <f t="shared" si="10"/>
        <v>275</v>
      </c>
    </row>
    <row r="510" spans="1:7" s="11" customFormat="1" ht="12.75">
      <c r="A510" s="90" t="s">
        <v>8</v>
      </c>
      <c r="B510" s="97" t="s">
        <v>583</v>
      </c>
      <c r="C510" s="97" t="s">
        <v>66</v>
      </c>
      <c r="D510" s="97" t="s">
        <v>34</v>
      </c>
      <c r="E510" s="97"/>
      <c r="F510" s="92"/>
      <c r="G510" s="218">
        <f t="shared" si="10"/>
        <v>275</v>
      </c>
    </row>
    <row r="511" spans="1:7" s="11" customFormat="1" ht="12.75">
      <c r="A511" s="96" t="s">
        <v>10</v>
      </c>
      <c r="B511" s="97" t="s">
        <v>583</v>
      </c>
      <c r="C511" s="97" t="s">
        <v>66</v>
      </c>
      <c r="D511" s="97" t="s">
        <v>64</v>
      </c>
      <c r="E511" s="97"/>
      <c r="F511" s="92"/>
      <c r="G511" s="218">
        <f t="shared" si="10"/>
        <v>275</v>
      </c>
    </row>
    <row r="512" spans="1:7" s="11" customFormat="1" ht="22.5">
      <c r="A512" s="96" t="s">
        <v>95</v>
      </c>
      <c r="B512" s="97" t="s">
        <v>583</v>
      </c>
      <c r="C512" s="97" t="s">
        <v>66</v>
      </c>
      <c r="D512" s="97" t="s">
        <v>64</v>
      </c>
      <c r="E512" s="97" t="s">
        <v>96</v>
      </c>
      <c r="F512" s="92"/>
      <c r="G512" s="218">
        <f t="shared" si="10"/>
        <v>275</v>
      </c>
    </row>
    <row r="513" spans="1:7" s="11" customFormat="1" ht="12.75">
      <c r="A513" s="96" t="s">
        <v>99</v>
      </c>
      <c r="B513" s="97" t="s">
        <v>583</v>
      </c>
      <c r="C513" s="97" t="s">
        <v>66</v>
      </c>
      <c r="D513" s="97" t="s">
        <v>64</v>
      </c>
      <c r="E513" s="97" t="s">
        <v>100</v>
      </c>
      <c r="F513" s="92"/>
      <c r="G513" s="218">
        <f t="shared" si="10"/>
        <v>275</v>
      </c>
    </row>
    <row r="514" spans="1:7" s="11" customFormat="1" ht="22.5">
      <c r="A514" s="93" t="s">
        <v>133</v>
      </c>
      <c r="B514" s="97" t="s">
        <v>583</v>
      </c>
      <c r="C514" s="97" t="s">
        <v>66</v>
      </c>
      <c r="D514" s="97" t="s">
        <v>64</v>
      </c>
      <c r="E514" s="97" t="s">
        <v>100</v>
      </c>
      <c r="F514" s="92">
        <v>725</v>
      </c>
      <c r="G514" s="218">
        <v>275</v>
      </c>
    </row>
    <row r="515" spans="1:7" s="60" customFormat="1" ht="12.75">
      <c r="A515" s="128" t="s">
        <v>675</v>
      </c>
      <c r="B515" s="99" t="s">
        <v>676</v>
      </c>
      <c r="C515" s="99"/>
      <c r="D515" s="99"/>
      <c r="E515" s="99"/>
      <c r="F515" s="87"/>
      <c r="G515" s="215">
        <f>G516</f>
        <v>92</v>
      </c>
    </row>
    <row r="516" spans="1:7" s="11" customFormat="1" ht="22.5">
      <c r="A516" s="148" t="s">
        <v>709</v>
      </c>
      <c r="B516" s="97" t="s">
        <v>677</v>
      </c>
      <c r="C516" s="97"/>
      <c r="D516" s="97"/>
      <c r="E516" s="97"/>
      <c r="F516" s="92"/>
      <c r="G516" s="218">
        <f>G517</f>
        <v>92</v>
      </c>
    </row>
    <row r="517" spans="1:7" s="11" customFormat="1" ht="12.75">
      <c r="A517" s="90" t="s">
        <v>8</v>
      </c>
      <c r="B517" s="97" t="s">
        <v>677</v>
      </c>
      <c r="C517" s="97"/>
      <c r="D517" s="97"/>
      <c r="E517" s="97"/>
      <c r="F517" s="92"/>
      <c r="G517" s="218">
        <f>G518</f>
        <v>92</v>
      </c>
    </row>
    <row r="518" spans="1:7" s="11" customFormat="1" ht="12.75">
      <c r="A518" s="93" t="s">
        <v>11</v>
      </c>
      <c r="B518" s="97" t="s">
        <v>677</v>
      </c>
      <c r="C518" s="95" t="s">
        <v>66</v>
      </c>
      <c r="D518" s="95" t="s">
        <v>72</v>
      </c>
      <c r="E518" s="97"/>
      <c r="F518" s="92"/>
      <c r="G518" s="218">
        <f>G519</f>
        <v>92</v>
      </c>
    </row>
    <row r="519" spans="1:7" s="11" customFormat="1" ht="12.75">
      <c r="A519" s="96" t="s">
        <v>101</v>
      </c>
      <c r="B519" s="97" t="s">
        <v>677</v>
      </c>
      <c r="C519" s="95" t="s">
        <v>66</v>
      </c>
      <c r="D519" s="95" t="s">
        <v>72</v>
      </c>
      <c r="E519" s="97" t="s">
        <v>102</v>
      </c>
      <c r="F519" s="92"/>
      <c r="G519" s="218">
        <f>G521</f>
        <v>92</v>
      </c>
    </row>
    <row r="520" spans="1:7" s="11" customFormat="1" ht="12.75">
      <c r="A520" s="148" t="s">
        <v>126</v>
      </c>
      <c r="B520" s="97" t="s">
        <v>677</v>
      </c>
      <c r="C520" s="95" t="s">
        <v>66</v>
      </c>
      <c r="D520" s="95" t="s">
        <v>72</v>
      </c>
      <c r="E520" s="97" t="s">
        <v>125</v>
      </c>
      <c r="F520" s="92"/>
      <c r="G520" s="218">
        <f>G521</f>
        <v>92</v>
      </c>
    </row>
    <row r="521" spans="1:7" s="11" customFormat="1" ht="22.5">
      <c r="A521" s="93" t="s">
        <v>133</v>
      </c>
      <c r="B521" s="97" t="s">
        <v>677</v>
      </c>
      <c r="C521" s="95" t="s">
        <v>66</v>
      </c>
      <c r="D521" s="95" t="s">
        <v>72</v>
      </c>
      <c r="E521" s="97" t="s">
        <v>125</v>
      </c>
      <c r="F521" s="92">
        <v>725</v>
      </c>
      <c r="G521" s="218">
        <v>92</v>
      </c>
    </row>
    <row r="522" spans="1:7" s="11" customFormat="1" ht="32.25">
      <c r="A522" s="90" t="s">
        <v>732</v>
      </c>
      <c r="B522" s="88" t="s">
        <v>156</v>
      </c>
      <c r="C522" s="91"/>
      <c r="D522" s="91"/>
      <c r="E522" s="97"/>
      <c r="F522" s="92"/>
      <c r="G522" s="215">
        <f>G523+G536+G548</f>
        <v>540.3</v>
      </c>
    </row>
    <row r="523" spans="1:7" s="11" customFormat="1" ht="21.75">
      <c r="A523" s="90" t="s">
        <v>184</v>
      </c>
      <c r="B523" s="88" t="s">
        <v>246</v>
      </c>
      <c r="C523" s="91"/>
      <c r="D523" s="91"/>
      <c r="E523" s="97"/>
      <c r="F523" s="92"/>
      <c r="G523" s="215">
        <f>G524+G530</f>
        <v>46.7</v>
      </c>
    </row>
    <row r="524" spans="1:7" s="11" customFormat="1" ht="45" customHeight="1">
      <c r="A524" s="90" t="s">
        <v>434</v>
      </c>
      <c r="B524" s="88" t="s">
        <v>279</v>
      </c>
      <c r="C524" s="91"/>
      <c r="D524" s="91"/>
      <c r="E524" s="97"/>
      <c r="F524" s="92"/>
      <c r="G524" s="215">
        <f>G525</f>
        <v>8</v>
      </c>
    </row>
    <row r="525" spans="1:7" s="11" customFormat="1" ht="12.75">
      <c r="A525" s="90" t="s">
        <v>2</v>
      </c>
      <c r="B525" s="88" t="s">
        <v>279</v>
      </c>
      <c r="C525" s="91" t="s">
        <v>63</v>
      </c>
      <c r="D525" s="91" t="s">
        <v>34</v>
      </c>
      <c r="E525" s="97"/>
      <c r="F525" s="92"/>
      <c r="G525" s="215">
        <f>G526</f>
        <v>8</v>
      </c>
    </row>
    <row r="526" spans="1:7" s="11" customFormat="1" ht="12.75">
      <c r="A526" s="93" t="s">
        <v>60</v>
      </c>
      <c r="B526" s="94" t="s">
        <v>279</v>
      </c>
      <c r="C526" s="95" t="s">
        <v>63</v>
      </c>
      <c r="D526" s="95" t="s">
        <v>84</v>
      </c>
      <c r="E526" s="97"/>
      <c r="F526" s="92"/>
      <c r="G526" s="218">
        <f>G527</f>
        <v>8</v>
      </c>
    </row>
    <row r="527" spans="1:7" s="11" customFormat="1" ht="22.5">
      <c r="A527" s="96" t="s">
        <v>333</v>
      </c>
      <c r="B527" s="94" t="s">
        <v>279</v>
      </c>
      <c r="C527" s="95" t="s">
        <v>63</v>
      </c>
      <c r="D527" s="95" t="s">
        <v>84</v>
      </c>
      <c r="E527" s="97" t="s">
        <v>94</v>
      </c>
      <c r="F527" s="92"/>
      <c r="G527" s="218">
        <f>G528</f>
        <v>8</v>
      </c>
    </row>
    <row r="528" spans="1:7" s="11" customFormat="1" ht="21.75" customHeight="1">
      <c r="A528" s="96" t="s">
        <v>610</v>
      </c>
      <c r="B528" s="94" t="s">
        <v>279</v>
      </c>
      <c r="C528" s="95" t="s">
        <v>63</v>
      </c>
      <c r="D528" s="95" t="s">
        <v>84</v>
      </c>
      <c r="E528" s="97" t="s">
        <v>91</v>
      </c>
      <c r="F528" s="92"/>
      <c r="G528" s="218">
        <f>G529</f>
        <v>8</v>
      </c>
    </row>
    <row r="529" spans="1:7" s="11" customFormat="1" ht="12.75">
      <c r="A529" s="93" t="s">
        <v>130</v>
      </c>
      <c r="B529" s="94" t="s">
        <v>279</v>
      </c>
      <c r="C529" s="95" t="s">
        <v>63</v>
      </c>
      <c r="D529" s="95" t="s">
        <v>84</v>
      </c>
      <c r="E529" s="97" t="s">
        <v>91</v>
      </c>
      <c r="F529" s="92">
        <v>721</v>
      </c>
      <c r="G529" s="218">
        <f>50-40-2</f>
        <v>8</v>
      </c>
    </row>
    <row r="530" spans="1:7" s="60" customFormat="1" ht="32.25">
      <c r="A530" s="90" t="s">
        <v>435</v>
      </c>
      <c r="B530" s="88" t="s">
        <v>436</v>
      </c>
      <c r="C530" s="91"/>
      <c r="D530" s="91"/>
      <c r="E530" s="99"/>
      <c r="F530" s="87"/>
      <c r="G530" s="215">
        <f>G531</f>
        <v>38.7</v>
      </c>
    </row>
    <row r="531" spans="1:7" s="60" customFormat="1" ht="12.75">
      <c r="A531" s="90" t="s">
        <v>2</v>
      </c>
      <c r="B531" s="88" t="s">
        <v>436</v>
      </c>
      <c r="C531" s="91" t="s">
        <v>63</v>
      </c>
      <c r="D531" s="91" t="s">
        <v>34</v>
      </c>
      <c r="E531" s="99"/>
      <c r="F531" s="87"/>
      <c r="G531" s="215">
        <f>G532</f>
        <v>38.7</v>
      </c>
    </row>
    <row r="532" spans="1:7" s="11" customFormat="1" ht="12.75">
      <c r="A532" s="93" t="s">
        <v>60</v>
      </c>
      <c r="B532" s="94" t="s">
        <v>436</v>
      </c>
      <c r="C532" s="95" t="s">
        <v>63</v>
      </c>
      <c r="D532" s="95" t="s">
        <v>84</v>
      </c>
      <c r="E532" s="97"/>
      <c r="F532" s="92"/>
      <c r="G532" s="218">
        <f>G533</f>
        <v>38.7</v>
      </c>
    </row>
    <row r="533" spans="1:7" s="11" customFormat="1" ht="45">
      <c r="A533" s="96" t="s">
        <v>92</v>
      </c>
      <c r="B533" s="94" t="s">
        <v>436</v>
      </c>
      <c r="C533" s="95" t="s">
        <v>63</v>
      </c>
      <c r="D533" s="95" t="s">
        <v>84</v>
      </c>
      <c r="E533" s="97" t="s">
        <v>93</v>
      </c>
      <c r="F533" s="92"/>
      <c r="G533" s="218">
        <f>G534</f>
        <v>38.7</v>
      </c>
    </row>
    <row r="534" spans="1:7" s="11" customFormat="1" ht="22.5">
      <c r="A534" s="96" t="s">
        <v>89</v>
      </c>
      <c r="B534" s="94" t="s">
        <v>436</v>
      </c>
      <c r="C534" s="95" t="s">
        <v>63</v>
      </c>
      <c r="D534" s="95" t="s">
        <v>84</v>
      </c>
      <c r="E534" s="97" t="s">
        <v>90</v>
      </c>
      <c r="F534" s="92"/>
      <c r="G534" s="218">
        <f>G535</f>
        <v>38.7</v>
      </c>
    </row>
    <row r="535" spans="1:7" s="11" customFormat="1" ht="12.75">
      <c r="A535" s="93" t="s">
        <v>130</v>
      </c>
      <c r="B535" s="94" t="s">
        <v>436</v>
      </c>
      <c r="C535" s="95" t="s">
        <v>63</v>
      </c>
      <c r="D535" s="95" t="s">
        <v>84</v>
      </c>
      <c r="E535" s="97" t="s">
        <v>90</v>
      </c>
      <c r="F535" s="92">
        <v>721</v>
      </c>
      <c r="G535" s="218">
        <f>40+2-3.3</f>
        <v>38.7</v>
      </c>
    </row>
    <row r="536" spans="1:8" s="11" customFormat="1" ht="30.75" customHeight="1">
      <c r="A536" s="90" t="s">
        <v>458</v>
      </c>
      <c r="B536" s="88" t="s">
        <v>311</v>
      </c>
      <c r="C536" s="95"/>
      <c r="D536" s="95"/>
      <c r="E536" s="97"/>
      <c r="F536" s="92"/>
      <c r="G536" s="215">
        <f>G542+G537</f>
        <v>323.3</v>
      </c>
      <c r="H536" s="222"/>
    </row>
    <row r="537" spans="1:7" s="11" customFormat="1" ht="22.5">
      <c r="A537" s="148" t="s">
        <v>629</v>
      </c>
      <c r="B537" s="94" t="s">
        <v>630</v>
      </c>
      <c r="C537" s="95"/>
      <c r="D537" s="95"/>
      <c r="E537" s="97"/>
      <c r="F537" s="92"/>
      <c r="G537" s="218">
        <f>G539</f>
        <v>23.3</v>
      </c>
    </row>
    <row r="538" spans="1:7" s="11" customFormat="1" ht="12.75">
      <c r="A538" s="93" t="s">
        <v>60</v>
      </c>
      <c r="B538" s="94" t="s">
        <v>630</v>
      </c>
      <c r="C538" s="95" t="s">
        <v>63</v>
      </c>
      <c r="D538" s="95" t="s">
        <v>84</v>
      </c>
      <c r="E538" s="97"/>
      <c r="F538" s="92"/>
      <c r="G538" s="218">
        <f>G539</f>
        <v>23.3</v>
      </c>
    </row>
    <row r="539" spans="1:7" s="11" customFormat="1" ht="22.5">
      <c r="A539" s="148" t="s">
        <v>333</v>
      </c>
      <c r="B539" s="94" t="s">
        <v>630</v>
      </c>
      <c r="C539" s="95" t="s">
        <v>63</v>
      </c>
      <c r="D539" s="95" t="s">
        <v>84</v>
      </c>
      <c r="E539" s="97"/>
      <c r="F539" s="92"/>
      <c r="G539" s="218">
        <f>G540</f>
        <v>23.3</v>
      </c>
    </row>
    <row r="540" spans="1:7" s="11" customFormat="1" ht="22.5">
      <c r="A540" s="96" t="s">
        <v>610</v>
      </c>
      <c r="B540" s="94" t="s">
        <v>630</v>
      </c>
      <c r="C540" s="95" t="s">
        <v>63</v>
      </c>
      <c r="D540" s="95" t="s">
        <v>84</v>
      </c>
      <c r="E540" s="97" t="s">
        <v>91</v>
      </c>
      <c r="F540" s="92"/>
      <c r="G540" s="218">
        <f>G541</f>
        <v>23.3</v>
      </c>
    </row>
    <row r="541" spans="1:7" s="11" customFormat="1" ht="18.75" customHeight="1">
      <c r="A541" s="93" t="s">
        <v>130</v>
      </c>
      <c r="B541" s="94" t="s">
        <v>630</v>
      </c>
      <c r="C541" s="95" t="s">
        <v>63</v>
      </c>
      <c r="D541" s="95" t="s">
        <v>84</v>
      </c>
      <c r="E541" s="97" t="s">
        <v>91</v>
      </c>
      <c r="F541" s="92">
        <v>721</v>
      </c>
      <c r="G541" s="218">
        <f>20+3.3</f>
        <v>23.3</v>
      </c>
    </row>
    <row r="542" spans="1:7" s="11" customFormat="1" ht="12.75">
      <c r="A542" s="90" t="s">
        <v>165</v>
      </c>
      <c r="B542" s="88" t="s">
        <v>312</v>
      </c>
      <c r="C542" s="95"/>
      <c r="D542" s="95"/>
      <c r="E542" s="97"/>
      <c r="F542" s="92"/>
      <c r="G542" s="215">
        <f>G543</f>
        <v>300</v>
      </c>
    </row>
    <row r="543" spans="1:7" s="11" customFormat="1" ht="12.75">
      <c r="A543" s="90" t="s">
        <v>80</v>
      </c>
      <c r="B543" s="88" t="s">
        <v>312</v>
      </c>
      <c r="C543" s="91" t="s">
        <v>71</v>
      </c>
      <c r="D543" s="91" t="s">
        <v>34</v>
      </c>
      <c r="E543" s="99"/>
      <c r="F543" s="87"/>
      <c r="G543" s="215">
        <f>G544</f>
        <v>300</v>
      </c>
    </row>
    <row r="544" spans="1:7" s="11" customFormat="1" ht="12.75">
      <c r="A544" s="93" t="s">
        <v>81</v>
      </c>
      <c r="B544" s="94" t="s">
        <v>312</v>
      </c>
      <c r="C544" s="95" t="s">
        <v>71</v>
      </c>
      <c r="D544" s="95" t="s">
        <v>63</v>
      </c>
      <c r="E544" s="97"/>
      <c r="F544" s="92"/>
      <c r="G544" s="218">
        <f>G545</f>
        <v>300</v>
      </c>
    </row>
    <row r="545" spans="1:7" s="11" customFormat="1" ht="22.5">
      <c r="A545" s="96" t="s">
        <v>95</v>
      </c>
      <c r="B545" s="94" t="s">
        <v>312</v>
      </c>
      <c r="C545" s="95" t="s">
        <v>71</v>
      </c>
      <c r="D545" s="95" t="s">
        <v>63</v>
      </c>
      <c r="E545" s="97" t="s">
        <v>96</v>
      </c>
      <c r="F545" s="92"/>
      <c r="G545" s="218">
        <f>G546</f>
        <v>300</v>
      </c>
    </row>
    <row r="546" spans="1:7" s="11" customFormat="1" ht="12.75">
      <c r="A546" s="96" t="s">
        <v>99</v>
      </c>
      <c r="B546" s="94" t="s">
        <v>312</v>
      </c>
      <c r="C546" s="95" t="s">
        <v>71</v>
      </c>
      <c r="D546" s="95" t="s">
        <v>63</v>
      </c>
      <c r="E546" s="97" t="s">
        <v>100</v>
      </c>
      <c r="F546" s="92"/>
      <c r="G546" s="218">
        <f>G547</f>
        <v>300</v>
      </c>
    </row>
    <row r="547" spans="1:7" s="11" customFormat="1" ht="22.5">
      <c r="A547" s="93" t="s">
        <v>134</v>
      </c>
      <c r="B547" s="94" t="s">
        <v>312</v>
      </c>
      <c r="C547" s="95" t="s">
        <v>71</v>
      </c>
      <c r="D547" s="95" t="s">
        <v>63</v>
      </c>
      <c r="E547" s="97" t="s">
        <v>100</v>
      </c>
      <c r="F547" s="92">
        <v>726</v>
      </c>
      <c r="G547" s="218">
        <v>300</v>
      </c>
    </row>
    <row r="548" spans="1:7" s="11" customFormat="1" ht="21.75">
      <c r="A548" s="100" t="s">
        <v>309</v>
      </c>
      <c r="B548" s="88" t="s">
        <v>310</v>
      </c>
      <c r="C548" s="95"/>
      <c r="D548" s="95"/>
      <c r="E548" s="97"/>
      <c r="F548" s="92"/>
      <c r="G548" s="215">
        <f aca="true" t="shared" si="11" ref="G548:G553">G549</f>
        <v>170.3</v>
      </c>
    </row>
    <row r="549" spans="1:7" s="11" customFormat="1" ht="21.75">
      <c r="A549" s="90" t="s">
        <v>345</v>
      </c>
      <c r="B549" s="88" t="s">
        <v>346</v>
      </c>
      <c r="C549" s="95"/>
      <c r="D549" s="95"/>
      <c r="E549" s="97"/>
      <c r="F549" s="92"/>
      <c r="G549" s="215">
        <f t="shared" si="11"/>
        <v>170.3</v>
      </c>
    </row>
    <row r="550" spans="1:7" s="11" customFormat="1" ht="12.75">
      <c r="A550" s="90" t="s">
        <v>8</v>
      </c>
      <c r="B550" s="88" t="s">
        <v>346</v>
      </c>
      <c r="C550" s="91" t="s">
        <v>66</v>
      </c>
      <c r="D550" s="91" t="s">
        <v>34</v>
      </c>
      <c r="E550" s="97"/>
      <c r="F550" s="92"/>
      <c r="G550" s="215">
        <f t="shared" si="11"/>
        <v>170.3</v>
      </c>
    </row>
    <row r="551" spans="1:7" s="11" customFormat="1" ht="12.75">
      <c r="A551" s="93" t="s">
        <v>336</v>
      </c>
      <c r="B551" s="94" t="s">
        <v>346</v>
      </c>
      <c r="C551" s="95" t="s">
        <v>66</v>
      </c>
      <c r="D551" s="95" t="s">
        <v>66</v>
      </c>
      <c r="E551" s="97"/>
      <c r="F551" s="92"/>
      <c r="G551" s="218">
        <f t="shared" si="11"/>
        <v>170.3</v>
      </c>
    </row>
    <row r="552" spans="1:7" s="11" customFormat="1" ht="22.5">
      <c r="A552" s="96" t="s">
        <v>95</v>
      </c>
      <c r="B552" s="94" t="s">
        <v>346</v>
      </c>
      <c r="C552" s="95" t="s">
        <v>66</v>
      </c>
      <c r="D552" s="95" t="s">
        <v>66</v>
      </c>
      <c r="E552" s="97" t="s">
        <v>96</v>
      </c>
      <c r="F552" s="92"/>
      <c r="G552" s="218">
        <f t="shared" si="11"/>
        <v>170.3</v>
      </c>
    </row>
    <row r="553" spans="1:7" s="11" customFormat="1" ht="12.75">
      <c r="A553" s="96" t="s">
        <v>99</v>
      </c>
      <c r="B553" s="94" t="s">
        <v>346</v>
      </c>
      <c r="C553" s="95" t="s">
        <v>66</v>
      </c>
      <c r="D553" s="95" t="s">
        <v>66</v>
      </c>
      <c r="E553" s="97" t="s">
        <v>100</v>
      </c>
      <c r="F553" s="92"/>
      <c r="G553" s="218">
        <f t="shared" si="11"/>
        <v>170.3</v>
      </c>
    </row>
    <row r="554" spans="1:7" s="11" customFormat="1" ht="13.5" customHeight="1">
      <c r="A554" s="93" t="s">
        <v>133</v>
      </c>
      <c r="B554" s="94" t="s">
        <v>346</v>
      </c>
      <c r="C554" s="95" t="s">
        <v>66</v>
      </c>
      <c r="D554" s="95" t="s">
        <v>66</v>
      </c>
      <c r="E554" s="97" t="s">
        <v>100</v>
      </c>
      <c r="F554" s="92">
        <v>725</v>
      </c>
      <c r="G554" s="218">
        <v>170.3</v>
      </c>
    </row>
    <row r="555" spans="1:7" s="11" customFormat="1" ht="21.75">
      <c r="A555" s="90" t="s">
        <v>733</v>
      </c>
      <c r="B555" s="88" t="s">
        <v>167</v>
      </c>
      <c r="C555" s="91"/>
      <c r="D555" s="91"/>
      <c r="E555" s="97"/>
      <c r="F555" s="92"/>
      <c r="G555" s="215">
        <f>G556</f>
        <v>1237.9</v>
      </c>
    </row>
    <row r="556" spans="1:7" s="11" customFormat="1" ht="23.25" customHeight="1">
      <c r="A556" s="90" t="s">
        <v>194</v>
      </c>
      <c r="B556" s="88" t="s">
        <v>258</v>
      </c>
      <c r="C556" s="91"/>
      <c r="D556" s="91"/>
      <c r="E556" s="97"/>
      <c r="F556" s="92"/>
      <c r="G556" s="215">
        <f>G563+G569+G557</f>
        <v>1237.9</v>
      </c>
    </row>
    <row r="557" spans="1:7" s="11" customFormat="1" ht="45">
      <c r="A557" s="148" t="s">
        <v>427</v>
      </c>
      <c r="B557" s="94" t="s">
        <v>652</v>
      </c>
      <c r="C557" s="91"/>
      <c r="D557" s="91"/>
      <c r="E557" s="97"/>
      <c r="F557" s="92"/>
      <c r="G557" s="215">
        <f>G558</f>
        <v>87.9</v>
      </c>
    </row>
    <row r="558" spans="1:7" s="11" customFormat="1" ht="12.75">
      <c r="A558" s="90" t="s">
        <v>80</v>
      </c>
      <c r="B558" s="94" t="s">
        <v>652</v>
      </c>
      <c r="C558" s="91" t="s">
        <v>71</v>
      </c>
      <c r="D558" s="91" t="s">
        <v>34</v>
      </c>
      <c r="E558" s="97"/>
      <c r="F558" s="92"/>
      <c r="G558" s="215">
        <f>G559</f>
        <v>87.9</v>
      </c>
    </row>
    <row r="559" spans="1:7" s="11" customFormat="1" ht="12.75">
      <c r="A559" s="93" t="s">
        <v>81</v>
      </c>
      <c r="B559" s="94" t="s">
        <v>652</v>
      </c>
      <c r="C559" s="95" t="s">
        <v>71</v>
      </c>
      <c r="D559" s="95" t="s">
        <v>63</v>
      </c>
      <c r="E559" s="97"/>
      <c r="F559" s="92"/>
      <c r="G559" s="218">
        <f>G560</f>
        <v>87.9</v>
      </c>
    </row>
    <row r="560" spans="1:7" s="11" customFormat="1" ht="23.25" customHeight="1">
      <c r="A560" s="96" t="s">
        <v>95</v>
      </c>
      <c r="B560" s="94" t="s">
        <v>652</v>
      </c>
      <c r="C560" s="95" t="s">
        <v>71</v>
      </c>
      <c r="D560" s="95" t="s">
        <v>63</v>
      </c>
      <c r="E560" s="97" t="s">
        <v>96</v>
      </c>
      <c r="F560" s="92"/>
      <c r="G560" s="218">
        <f>G561</f>
        <v>87.9</v>
      </c>
    </row>
    <row r="561" spans="1:7" s="11" customFormat="1" ht="23.25" customHeight="1">
      <c r="A561" s="96" t="s">
        <v>99</v>
      </c>
      <c r="B561" s="94" t="s">
        <v>652</v>
      </c>
      <c r="C561" s="95" t="s">
        <v>71</v>
      </c>
      <c r="D561" s="95" t="s">
        <v>63</v>
      </c>
      <c r="E561" s="97" t="s">
        <v>100</v>
      </c>
      <c r="F561" s="92"/>
      <c r="G561" s="218">
        <f>G562</f>
        <v>87.9</v>
      </c>
    </row>
    <row r="562" spans="1:7" s="11" customFormat="1" ht="23.25" customHeight="1">
      <c r="A562" s="93" t="s">
        <v>134</v>
      </c>
      <c r="B562" s="94" t="s">
        <v>652</v>
      </c>
      <c r="C562" s="95" t="s">
        <v>71</v>
      </c>
      <c r="D562" s="95" t="s">
        <v>63</v>
      </c>
      <c r="E562" s="97" t="s">
        <v>100</v>
      </c>
      <c r="F562" s="92">
        <v>726</v>
      </c>
      <c r="G562" s="218">
        <v>87.9</v>
      </c>
    </row>
    <row r="563" spans="1:7" s="11" customFormat="1" ht="12.75">
      <c r="A563" s="90" t="s">
        <v>147</v>
      </c>
      <c r="B563" s="88" t="s">
        <v>260</v>
      </c>
      <c r="C563" s="95"/>
      <c r="D563" s="95"/>
      <c r="E563" s="97"/>
      <c r="F563" s="92"/>
      <c r="G563" s="215">
        <f>G564</f>
        <v>300</v>
      </c>
    </row>
    <row r="564" spans="1:7" s="11" customFormat="1" ht="12.75">
      <c r="A564" s="90" t="s">
        <v>80</v>
      </c>
      <c r="B564" s="88" t="s">
        <v>260</v>
      </c>
      <c r="C564" s="91" t="s">
        <v>71</v>
      </c>
      <c r="D564" s="91" t="s">
        <v>34</v>
      </c>
      <c r="E564" s="97"/>
      <c r="F564" s="92"/>
      <c r="G564" s="215">
        <f>G565</f>
        <v>300</v>
      </c>
    </row>
    <row r="565" spans="1:7" s="11" customFormat="1" ht="12.75">
      <c r="A565" s="93" t="s">
        <v>81</v>
      </c>
      <c r="B565" s="94" t="s">
        <v>260</v>
      </c>
      <c r="C565" s="95" t="s">
        <v>71</v>
      </c>
      <c r="D565" s="95" t="s">
        <v>63</v>
      </c>
      <c r="E565" s="97"/>
      <c r="F565" s="92"/>
      <c r="G565" s="218">
        <f>G566</f>
        <v>300</v>
      </c>
    </row>
    <row r="566" spans="1:7" s="11" customFormat="1" ht="22.5">
      <c r="A566" s="96" t="s">
        <v>95</v>
      </c>
      <c r="B566" s="94" t="s">
        <v>260</v>
      </c>
      <c r="C566" s="95" t="s">
        <v>71</v>
      </c>
      <c r="D566" s="95" t="s">
        <v>63</v>
      </c>
      <c r="E566" s="97" t="s">
        <v>96</v>
      </c>
      <c r="F566" s="92"/>
      <c r="G566" s="218">
        <f>G567</f>
        <v>300</v>
      </c>
    </row>
    <row r="567" spans="1:7" s="11" customFormat="1" ht="12.75">
      <c r="A567" s="96" t="s">
        <v>99</v>
      </c>
      <c r="B567" s="94" t="s">
        <v>260</v>
      </c>
      <c r="C567" s="95" t="s">
        <v>71</v>
      </c>
      <c r="D567" s="95" t="s">
        <v>63</v>
      </c>
      <c r="E567" s="97" t="s">
        <v>100</v>
      </c>
      <c r="F567" s="92"/>
      <c r="G567" s="218">
        <f>G568</f>
        <v>300</v>
      </c>
    </row>
    <row r="568" spans="1:7" s="11" customFormat="1" ht="22.5">
      <c r="A568" s="93" t="s">
        <v>134</v>
      </c>
      <c r="B568" s="94" t="s">
        <v>260</v>
      </c>
      <c r="C568" s="95" t="s">
        <v>71</v>
      </c>
      <c r="D568" s="95" t="s">
        <v>63</v>
      </c>
      <c r="E568" s="97" t="s">
        <v>100</v>
      </c>
      <c r="F568" s="92">
        <v>726</v>
      </c>
      <c r="G568" s="218">
        <v>300</v>
      </c>
    </row>
    <row r="569" spans="1:7" s="11" customFormat="1" ht="21.75">
      <c r="A569" s="90" t="s">
        <v>319</v>
      </c>
      <c r="B569" s="88" t="s">
        <v>259</v>
      </c>
      <c r="C569" s="91"/>
      <c r="D569" s="91"/>
      <c r="E569" s="97"/>
      <c r="F569" s="92"/>
      <c r="G569" s="215">
        <f>G570</f>
        <v>850</v>
      </c>
    </row>
    <row r="570" spans="1:7" s="11" customFormat="1" ht="12.75">
      <c r="A570" s="90" t="s">
        <v>80</v>
      </c>
      <c r="B570" s="88" t="s">
        <v>259</v>
      </c>
      <c r="C570" s="91" t="s">
        <v>71</v>
      </c>
      <c r="D570" s="91" t="s">
        <v>34</v>
      </c>
      <c r="E570" s="97"/>
      <c r="F570" s="92"/>
      <c r="G570" s="215">
        <f>G571</f>
        <v>850</v>
      </c>
    </row>
    <row r="571" spans="1:7" s="11" customFormat="1" ht="12.75">
      <c r="A571" s="93" t="s">
        <v>81</v>
      </c>
      <c r="B571" s="94" t="s">
        <v>259</v>
      </c>
      <c r="C571" s="95" t="s">
        <v>71</v>
      </c>
      <c r="D571" s="95" t="s">
        <v>63</v>
      </c>
      <c r="E571" s="97"/>
      <c r="F571" s="92"/>
      <c r="G571" s="218">
        <f>G572</f>
        <v>850</v>
      </c>
    </row>
    <row r="572" spans="1:7" s="11" customFormat="1" ht="22.5">
      <c r="A572" s="96" t="s">
        <v>95</v>
      </c>
      <c r="B572" s="94" t="s">
        <v>259</v>
      </c>
      <c r="C572" s="95" t="s">
        <v>71</v>
      </c>
      <c r="D572" s="95" t="s">
        <v>63</v>
      </c>
      <c r="E572" s="97" t="s">
        <v>96</v>
      </c>
      <c r="F572" s="92"/>
      <c r="G572" s="218">
        <f>G573</f>
        <v>850</v>
      </c>
    </row>
    <row r="573" spans="1:7" s="11" customFormat="1" ht="12.75">
      <c r="A573" s="96" t="s">
        <v>99</v>
      </c>
      <c r="B573" s="94" t="s">
        <v>259</v>
      </c>
      <c r="C573" s="95" t="s">
        <v>71</v>
      </c>
      <c r="D573" s="95" t="s">
        <v>63</v>
      </c>
      <c r="E573" s="97" t="s">
        <v>100</v>
      </c>
      <c r="F573" s="92"/>
      <c r="G573" s="218">
        <f>G574</f>
        <v>850</v>
      </c>
    </row>
    <row r="574" spans="1:7" s="11" customFormat="1" ht="22.5">
      <c r="A574" s="93" t="s">
        <v>134</v>
      </c>
      <c r="B574" s="94" t="s">
        <v>259</v>
      </c>
      <c r="C574" s="95" t="s">
        <v>71</v>
      </c>
      <c r="D574" s="95" t="s">
        <v>63</v>
      </c>
      <c r="E574" s="97" t="s">
        <v>100</v>
      </c>
      <c r="F574" s="92">
        <v>726</v>
      </c>
      <c r="G574" s="218">
        <f>580+270</f>
        <v>850</v>
      </c>
    </row>
    <row r="575" spans="1:7" s="11" customFormat="1" ht="32.25" customHeight="1">
      <c r="A575" s="100" t="s">
        <v>734</v>
      </c>
      <c r="B575" s="88" t="s">
        <v>141</v>
      </c>
      <c r="C575" s="95"/>
      <c r="D575" s="95"/>
      <c r="E575" s="99"/>
      <c r="F575" s="87"/>
      <c r="G575" s="215">
        <f aca="true" t="shared" si="12" ref="G575:G581">G576</f>
        <v>350</v>
      </c>
    </row>
    <row r="576" spans="1:7" s="11" customFormat="1" ht="42" customHeight="1">
      <c r="A576" s="100" t="s">
        <v>286</v>
      </c>
      <c r="B576" s="88" t="s">
        <v>229</v>
      </c>
      <c r="C576" s="95"/>
      <c r="D576" s="95"/>
      <c r="E576" s="99"/>
      <c r="F576" s="87"/>
      <c r="G576" s="215">
        <f t="shared" si="12"/>
        <v>350</v>
      </c>
    </row>
    <row r="577" spans="1:7" s="11" customFormat="1" ht="21.75" customHeight="1">
      <c r="A577" s="100" t="s">
        <v>140</v>
      </c>
      <c r="B577" s="88" t="s">
        <v>230</v>
      </c>
      <c r="C577" s="95"/>
      <c r="D577" s="95"/>
      <c r="E577" s="99"/>
      <c r="F577" s="87"/>
      <c r="G577" s="215">
        <f t="shared" si="12"/>
        <v>350</v>
      </c>
    </row>
    <row r="578" spans="1:7" s="11" customFormat="1" ht="21.75">
      <c r="A578" s="100" t="s">
        <v>4</v>
      </c>
      <c r="B578" s="88" t="s">
        <v>230</v>
      </c>
      <c r="C578" s="91" t="s">
        <v>67</v>
      </c>
      <c r="D578" s="91" t="s">
        <v>34</v>
      </c>
      <c r="E578" s="99"/>
      <c r="F578" s="87"/>
      <c r="G578" s="215">
        <f t="shared" si="12"/>
        <v>350</v>
      </c>
    </row>
    <row r="579" spans="1:7" s="11" customFormat="1" ht="22.5">
      <c r="A579" s="96" t="s">
        <v>77</v>
      </c>
      <c r="B579" s="94" t="s">
        <v>230</v>
      </c>
      <c r="C579" s="95" t="s">
        <v>67</v>
      </c>
      <c r="D579" s="95" t="s">
        <v>72</v>
      </c>
      <c r="E579" s="97"/>
      <c r="F579" s="92"/>
      <c r="G579" s="218">
        <f t="shared" si="12"/>
        <v>350</v>
      </c>
    </row>
    <row r="580" spans="1:7" s="11" customFormat="1" ht="22.5">
      <c r="A580" s="96" t="s">
        <v>333</v>
      </c>
      <c r="B580" s="94" t="s">
        <v>230</v>
      </c>
      <c r="C580" s="95" t="s">
        <v>67</v>
      </c>
      <c r="D580" s="95" t="s">
        <v>72</v>
      </c>
      <c r="E580" s="102" t="s">
        <v>94</v>
      </c>
      <c r="F580" s="92"/>
      <c r="G580" s="218">
        <f t="shared" si="12"/>
        <v>350</v>
      </c>
    </row>
    <row r="581" spans="1:7" s="11" customFormat="1" ht="27.6" customHeight="1">
      <c r="A581" s="96" t="s">
        <v>610</v>
      </c>
      <c r="B581" s="94" t="s">
        <v>230</v>
      </c>
      <c r="C581" s="95" t="s">
        <v>67</v>
      </c>
      <c r="D581" s="95" t="s">
        <v>72</v>
      </c>
      <c r="E581" s="102" t="s">
        <v>91</v>
      </c>
      <c r="F581" s="92"/>
      <c r="G581" s="218">
        <f t="shared" si="12"/>
        <v>350</v>
      </c>
    </row>
    <row r="582" spans="1:7" s="11" customFormat="1" ht="12.75">
      <c r="A582" s="93" t="s">
        <v>130</v>
      </c>
      <c r="B582" s="94" t="s">
        <v>230</v>
      </c>
      <c r="C582" s="95" t="s">
        <v>67</v>
      </c>
      <c r="D582" s="95" t="s">
        <v>72</v>
      </c>
      <c r="E582" s="97" t="s">
        <v>91</v>
      </c>
      <c r="F582" s="92">
        <v>721</v>
      </c>
      <c r="G582" s="218">
        <v>350</v>
      </c>
    </row>
    <row r="583" spans="1:7" s="11" customFormat="1" ht="32.25">
      <c r="A583" s="100" t="s">
        <v>750</v>
      </c>
      <c r="B583" s="88" t="s">
        <v>632</v>
      </c>
      <c r="C583" s="95"/>
      <c r="D583" s="95"/>
      <c r="E583" s="99"/>
      <c r="F583" s="87"/>
      <c r="G583" s="216">
        <f>G584</f>
        <v>1000</v>
      </c>
    </row>
    <row r="584" spans="1:7" s="11" customFormat="1" ht="33" customHeight="1">
      <c r="A584" s="90" t="s">
        <v>636</v>
      </c>
      <c r="B584" s="88" t="s">
        <v>633</v>
      </c>
      <c r="C584" s="91"/>
      <c r="D584" s="91"/>
      <c r="E584" s="99"/>
      <c r="F584" s="87"/>
      <c r="G584" s="216">
        <f>G585</f>
        <v>1000</v>
      </c>
    </row>
    <row r="585" spans="1:7" s="11" customFormat="1" ht="21.75">
      <c r="A585" s="90" t="s">
        <v>635</v>
      </c>
      <c r="B585" s="97" t="s">
        <v>634</v>
      </c>
      <c r="C585" s="91"/>
      <c r="D585" s="91"/>
      <c r="E585" s="99"/>
      <c r="F585" s="87"/>
      <c r="G585" s="216">
        <f>G586</f>
        <v>1000</v>
      </c>
    </row>
    <row r="586" spans="1:7" s="11" customFormat="1" ht="22.5">
      <c r="A586" s="96" t="s">
        <v>333</v>
      </c>
      <c r="B586" s="97" t="s">
        <v>634</v>
      </c>
      <c r="C586" s="95" t="s">
        <v>63</v>
      </c>
      <c r="D586" s="95" t="s">
        <v>84</v>
      </c>
      <c r="E586" s="102" t="s">
        <v>94</v>
      </c>
      <c r="F586" s="92"/>
      <c r="G586" s="217">
        <f>G587</f>
        <v>1000</v>
      </c>
    </row>
    <row r="587" spans="1:7" s="11" customFormat="1" ht="22.5">
      <c r="A587" s="96" t="s">
        <v>614</v>
      </c>
      <c r="B587" s="97" t="s">
        <v>634</v>
      </c>
      <c r="C587" s="95" t="s">
        <v>63</v>
      </c>
      <c r="D587" s="95" t="s">
        <v>84</v>
      </c>
      <c r="E587" s="102" t="s">
        <v>91</v>
      </c>
      <c r="F587" s="92"/>
      <c r="G587" s="217">
        <f>G588</f>
        <v>1000</v>
      </c>
    </row>
    <row r="588" spans="1:7" s="11" customFormat="1" ht="19.5" customHeight="1">
      <c r="A588" s="98" t="s">
        <v>138</v>
      </c>
      <c r="B588" s="97" t="s">
        <v>634</v>
      </c>
      <c r="C588" s="95" t="s">
        <v>63</v>
      </c>
      <c r="D588" s="95" t="s">
        <v>84</v>
      </c>
      <c r="E588" s="97" t="s">
        <v>91</v>
      </c>
      <c r="F588" s="92">
        <v>724</v>
      </c>
      <c r="G588" s="217">
        <f>944+56</f>
        <v>1000</v>
      </c>
    </row>
    <row r="589" spans="1:9" s="11" customFormat="1" ht="32.25">
      <c r="A589" s="90" t="s">
        <v>743</v>
      </c>
      <c r="B589" s="88" t="s">
        <v>146</v>
      </c>
      <c r="C589" s="95"/>
      <c r="D589" s="95"/>
      <c r="E589" s="97"/>
      <c r="F589" s="92"/>
      <c r="G589" s="215">
        <f>G590</f>
        <v>4127.400000000001</v>
      </c>
      <c r="I589" s="132"/>
    </row>
    <row r="590" spans="1:9" s="11" customFormat="1" ht="23.25" customHeight="1">
      <c r="A590" s="90" t="s">
        <v>594</v>
      </c>
      <c r="B590" s="88" t="s">
        <v>234</v>
      </c>
      <c r="C590" s="95"/>
      <c r="D590" s="95"/>
      <c r="E590" s="97"/>
      <c r="F590" s="92"/>
      <c r="G590" s="215">
        <f>G591+G607+G625+G619+G601+G613</f>
        <v>4127.400000000001</v>
      </c>
      <c r="I590" s="132"/>
    </row>
    <row r="591" spans="1:7" s="11" customFormat="1" ht="21.75">
      <c r="A591" s="90" t="s">
        <v>296</v>
      </c>
      <c r="B591" s="88" t="s">
        <v>297</v>
      </c>
      <c r="C591" s="95"/>
      <c r="D591" s="95"/>
      <c r="E591" s="97"/>
      <c r="F591" s="92"/>
      <c r="G591" s="215">
        <f>G592</f>
        <v>188.70000000000002</v>
      </c>
    </row>
    <row r="592" spans="1:9" s="11" customFormat="1" ht="12.75">
      <c r="A592" s="90" t="s">
        <v>8</v>
      </c>
      <c r="B592" s="88" t="s">
        <v>297</v>
      </c>
      <c r="C592" s="91" t="s">
        <v>66</v>
      </c>
      <c r="D592" s="91" t="s">
        <v>34</v>
      </c>
      <c r="E592" s="97"/>
      <c r="F592" s="92"/>
      <c r="G592" s="215">
        <f>G593+G597</f>
        <v>188.70000000000002</v>
      </c>
      <c r="I592" s="132"/>
    </row>
    <row r="593" spans="1:7" s="11" customFormat="1" ht="12.75">
      <c r="A593" s="93" t="s">
        <v>9</v>
      </c>
      <c r="B593" s="94" t="s">
        <v>297</v>
      </c>
      <c r="C593" s="95" t="s">
        <v>66</v>
      </c>
      <c r="D593" s="95" t="s">
        <v>63</v>
      </c>
      <c r="E593" s="97"/>
      <c r="F593" s="92"/>
      <c r="G593" s="218">
        <f>G594</f>
        <v>75.4</v>
      </c>
    </row>
    <row r="594" spans="1:7" s="11" customFormat="1" ht="22.5">
      <c r="A594" s="96" t="s">
        <v>95</v>
      </c>
      <c r="B594" s="94" t="s">
        <v>297</v>
      </c>
      <c r="C594" s="95" t="s">
        <v>66</v>
      </c>
      <c r="D594" s="95" t="s">
        <v>63</v>
      </c>
      <c r="E594" s="97" t="s">
        <v>96</v>
      </c>
      <c r="F594" s="92"/>
      <c r="G594" s="218">
        <f>G595</f>
        <v>75.4</v>
      </c>
    </row>
    <row r="595" spans="1:7" s="11" customFormat="1" ht="12.75">
      <c r="A595" s="96" t="s">
        <v>99</v>
      </c>
      <c r="B595" s="94" t="s">
        <v>297</v>
      </c>
      <c r="C595" s="95" t="s">
        <v>66</v>
      </c>
      <c r="D595" s="95" t="s">
        <v>63</v>
      </c>
      <c r="E595" s="97" t="s">
        <v>100</v>
      </c>
      <c r="F595" s="92"/>
      <c r="G595" s="218">
        <f>G596</f>
        <v>75.4</v>
      </c>
    </row>
    <row r="596" spans="1:7" s="11" customFormat="1" ht="13.5" customHeight="1">
      <c r="A596" s="93" t="s">
        <v>133</v>
      </c>
      <c r="B596" s="94" t="s">
        <v>297</v>
      </c>
      <c r="C596" s="95" t="s">
        <v>66</v>
      </c>
      <c r="D596" s="95" t="s">
        <v>63</v>
      </c>
      <c r="E596" s="97" t="s">
        <v>100</v>
      </c>
      <c r="F596" s="92">
        <v>725</v>
      </c>
      <c r="G596" s="218">
        <f>126-50.6</f>
        <v>75.4</v>
      </c>
    </row>
    <row r="597" spans="1:7" s="11" customFormat="1" ht="12.75">
      <c r="A597" s="93" t="s">
        <v>351</v>
      </c>
      <c r="B597" s="94" t="s">
        <v>297</v>
      </c>
      <c r="C597" s="95" t="s">
        <v>66</v>
      </c>
      <c r="D597" s="95" t="s">
        <v>64</v>
      </c>
      <c r="E597" s="97"/>
      <c r="F597" s="92"/>
      <c r="G597" s="218">
        <f>G598</f>
        <v>113.30000000000001</v>
      </c>
    </row>
    <row r="598" spans="1:7" s="11" customFormat="1" ht="22.5">
      <c r="A598" s="96" t="s">
        <v>95</v>
      </c>
      <c r="B598" s="94" t="s">
        <v>297</v>
      </c>
      <c r="C598" s="95" t="s">
        <v>66</v>
      </c>
      <c r="D598" s="95" t="s">
        <v>64</v>
      </c>
      <c r="E598" s="97" t="s">
        <v>96</v>
      </c>
      <c r="F598" s="92"/>
      <c r="G598" s="218">
        <f>G599</f>
        <v>113.30000000000001</v>
      </c>
    </row>
    <row r="599" spans="1:7" s="11" customFormat="1" ht="12.75">
      <c r="A599" s="96" t="s">
        <v>99</v>
      </c>
      <c r="B599" s="94" t="s">
        <v>297</v>
      </c>
      <c r="C599" s="95" t="s">
        <v>66</v>
      </c>
      <c r="D599" s="95" t="s">
        <v>64</v>
      </c>
      <c r="E599" s="97" t="s">
        <v>100</v>
      </c>
      <c r="F599" s="92"/>
      <c r="G599" s="218">
        <f>G600</f>
        <v>113.30000000000001</v>
      </c>
    </row>
    <row r="600" spans="1:7" s="11" customFormat="1" ht="11.25" customHeight="1">
      <c r="A600" s="93" t="s">
        <v>133</v>
      </c>
      <c r="B600" s="94" t="s">
        <v>297</v>
      </c>
      <c r="C600" s="95" t="s">
        <v>66</v>
      </c>
      <c r="D600" s="95" t="s">
        <v>64</v>
      </c>
      <c r="E600" s="97" t="s">
        <v>100</v>
      </c>
      <c r="F600" s="92">
        <v>725</v>
      </c>
      <c r="G600" s="218">
        <f>276-162.7</f>
        <v>113.30000000000001</v>
      </c>
    </row>
    <row r="601" spans="1:7" s="60" customFormat="1" ht="21.75">
      <c r="A601" s="100" t="s">
        <v>437</v>
      </c>
      <c r="B601" s="99" t="s">
        <v>300</v>
      </c>
      <c r="C601" s="91"/>
      <c r="D601" s="91"/>
      <c r="E601" s="99"/>
      <c r="F601" s="87"/>
      <c r="G601" s="215">
        <f>G602</f>
        <v>1248.2000000000003</v>
      </c>
    </row>
    <row r="602" spans="1:7" s="60" customFormat="1" ht="12.75">
      <c r="A602" s="90" t="s">
        <v>8</v>
      </c>
      <c r="B602" s="99" t="s">
        <v>300</v>
      </c>
      <c r="C602" s="91" t="s">
        <v>66</v>
      </c>
      <c r="D602" s="91" t="s">
        <v>34</v>
      </c>
      <c r="E602" s="99"/>
      <c r="F602" s="87"/>
      <c r="G602" s="215">
        <f>G603</f>
        <v>1248.2000000000003</v>
      </c>
    </row>
    <row r="603" spans="1:7" s="11" customFormat="1" ht="12.75">
      <c r="A603" s="93" t="s">
        <v>351</v>
      </c>
      <c r="B603" s="97" t="s">
        <v>300</v>
      </c>
      <c r="C603" s="95" t="s">
        <v>66</v>
      </c>
      <c r="D603" s="95" t="s">
        <v>64</v>
      </c>
      <c r="E603" s="97"/>
      <c r="F603" s="92"/>
      <c r="G603" s="218">
        <f>G604</f>
        <v>1248.2000000000003</v>
      </c>
    </row>
    <row r="604" spans="1:7" s="11" customFormat="1" ht="22.5">
      <c r="A604" s="96" t="s">
        <v>95</v>
      </c>
      <c r="B604" s="97" t="s">
        <v>300</v>
      </c>
      <c r="C604" s="95" t="s">
        <v>66</v>
      </c>
      <c r="D604" s="95" t="s">
        <v>64</v>
      </c>
      <c r="E604" s="97" t="s">
        <v>96</v>
      </c>
      <c r="F604" s="92"/>
      <c r="G604" s="218">
        <f>G605</f>
        <v>1248.2000000000003</v>
      </c>
    </row>
    <row r="605" spans="1:7" s="11" customFormat="1" ht="12.75">
      <c r="A605" s="96" t="s">
        <v>99</v>
      </c>
      <c r="B605" s="97" t="s">
        <v>300</v>
      </c>
      <c r="C605" s="95" t="s">
        <v>66</v>
      </c>
      <c r="D605" s="95" t="s">
        <v>64</v>
      </c>
      <c r="E605" s="97" t="s">
        <v>100</v>
      </c>
      <c r="F605" s="92"/>
      <c r="G605" s="218">
        <f>G606</f>
        <v>1248.2000000000003</v>
      </c>
    </row>
    <row r="606" spans="1:7" s="11" customFormat="1" ht="22.5">
      <c r="A606" s="93" t="s">
        <v>133</v>
      </c>
      <c r="B606" s="97" t="s">
        <v>300</v>
      </c>
      <c r="C606" s="95" t="s">
        <v>66</v>
      </c>
      <c r="D606" s="95" t="s">
        <v>64</v>
      </c>
      <c r="E606" s="97" t="s">
        <v>100</v>
      </c>
      <c r="F606" s="92">
        <v>725</v>
      </c>
      <c r="G606" s="218">
        <f>1777.4-453.1-76.1</f>
        <v>1248.2000000000003</v>
      </c>
    </row>
    <row r="607" spans="1:7" s="11" customFormat="1" ht="32.25">
      <c r="A607" s="100" t="s">
        <v>438</v>
      </c>
      <c r="B607" s="99" t="s">
        <v>301</v>
      </c>
      <c r="C607" s="95"/>
      <c r="D607" s="95"/>
      <c r="E607" s="97"/>
      <c r="F607" s="92"/>
      <c r="G607" s="215">
        <f>G608</f>
        <v>1537.5</v>
      </c>
    </row>
    <row r="608" spans="1:7" s="11" customFormat="1" ht="12.75">
      <c r="A608" s="90" t="s">
        <v>8</v>
      </c>
      <c r="B608" s="99" t="s">
        <v>301</v>
      </c>
      <c r="C608" s="91" t="s">
        <v>66</v>
      </c>
      <c r="D608" s="91" t="s">
        <v>34</v>
      </c>
      <c r="E608" s="97"/>
      <c r="F608" s="92"/>
      <c r="G608" s="215">
        <f>G609</f>
        <v>1537.5</v>
      </c>
    </row>
    <row r="609" spans="1:7" s="11" customFormat="1" ht="12.75">
      <c r="A609" s="93" t="s">
        <v>351</v>
      </c>
      <c r="B609" s="97" t="s">
        <v>301</v>
      </c>
      <c r="C609" s="95" t="s">
        <v>66</v>
      </c>
      <c r="D609" s="95" t="s">
        <v>64</v>
      </c>
      <c r="E609" s="97"/>
      <c r="F609" s="92"/>
      <c r="G609" s="218">
        <f>G610</f>
        <v>1537.5</v>
      </c>
    </row>
    <row r="610" spans="1:7" s="11" customFormat="1" ht="22.5">
      <c r="A610" s="96" t="s">
        <v>95</v>
      </c>
      <c r="B610" s="97" t="s">
        <v>301</v>
      </c>
      <c r="C610" s="95" t="s">
        <v>66</v>
      </c>
      <c r="D610" s="95" t="s">
        <v>64</v>
      </c>
      <c r="E610" s="97" t="s">
        <v>96</v>
      </c>
      <c r="F610" s="92"/>
      <c r="G610" s="218">
        <f>G611</f>
        <v>1537.5</v>
      </c>
    </row>
    <row r="611" spans="1:7" s="11" customFormat="1" ht="12.75">
      <c r="A611" s="96" t="s">
        <v>99</v>
      </c>
      <c r="B611" s="97" t="s">
        <v>301</v>
      </c>
      <c r="C611" s="95" t="s">
        <v>66</v>
      </c>
      <c r="D611" s="95" t="s">
        <v>64</v>
      </c>
      <c r="E611" s="97" t="s">
        <v>100</v>
      </c>
      <c r="F611" s="92"/>
      <c r="G611" s="218">
        <f>G612</f>
        <v>1537.5</v>
      </c>
    </row>
    <row r="612" spans="1:7" s="11" customFormat="1" ht="13.5" customHeight="1">
      <c r="A612" s="93" t="s">
        <v>133</v>
      </c>
      <c r="B612" s="97" t="s">
        <v>301</v>
      </c>
      <c r="C612" s="95" t="s">
        <v>66</v>
      </c>
      <c r="D612" s="95" t="s">
        <v>64</v>
      </c>
      <c r="E612" s="97" t="s">
        <v>100</v>
      </c>
      <c r="F612" s="92">
        <v>725</v>
      </c>
      <c r="G612" s="218">
        <f>2000-462.5</f>
        <v>1537.5</v>
      </c>
    </row>
    <row r="613" spans="1:7" s="60" customFormat="1" ht="32.25">
      <c r="A613" s="90" t="s">
        <v>439</v>
      </c>
      <c r="B613" s="88" t="s">
        <v>302</v>
      </c>
      <c r="C613" s="91"/>
      <c r="D613" s="91"/>
      <c r="E613" s="99"/>
      <c r="F613" s="87"/>
      <c r="G613" s="215">
        <f>G614</f>
        <v>808.8</v>
      </c>
    </row>
    <row r="614" spans="1:7" s="60" customFormat="1" ht="12.75">
      <c r="A614" s="90" t="s">
        <v>8</v>
      </c>
      <c r="B614" s="88" t="s">
        <v>302</v>
      </c>
      <c r="C614" s="91" t="s">
        <v>66</v>
      </c>
      <c r="D614" s="91" t="s">
        <v>34</v>
      </c>
      <c r="E614" s="99"/>
      <c r="F614" s="87"/>
      <c r="G614" s="215">
        <f>G615</f>
        <v>808.8</v>
      </c>
    </row>
    <row r="615" spans="1:7" s="11" customFormat="1" ht="10.5" customHeight="1">
      <c r="A615" s="93" t="s">
        <v>351</v>
      </c>
      <c r="B615" s="94" t="s">
        <v>302</v>
      </c>
      <c r="C615" s="95" t="s">
        <v>66</v>
      </c>
      <c r="D615" s="95" t="s">
        <v>64</v>
      </c>
      <c r="E615" s="97"/>
      <c r="F615" s="92"/>
      <c r="G615" s="218">
        <f>G616</f>
        <v>808.8</v>
      </c>
    </row>
    <row r="616" spans="1:7" s="11" customFormat="1" ht="22.5">
      <c r="A616" s="96" t="s">
        <v>95</v>
      </c>
      <c r="B616" s="94" t="s">
        <v>302</v>
      </c>
      <c r="C616" s="95" t="s">
        <v>66</v>
      </c>
      <c r="D616" s="95" t="s">
        <v>64</v>
      </c>
      <c r="E616" s="97" t="s">
        <v>96</v>
      </c>
      <c r="F616" s="92"/>
      <c r="G616" s="218">
        <f>G617</f>
        <v>808.8</v>
      </c>
    </row>
    <row r="617" spans="1:7" s="11" customFormat="1" ht="12.75">
      <c r="A617" s="96" t="s">
        <v>99</v>
      </c>
      <c r="B617" s="94" t="s">
        <v>302</v>
      </c>
      <c r="C617" s="95" t="s">
        <v>66</v>
      </c>
      <c r="D617" s="95" t="s">
        <v>64</v>
      </c>
      <c r="E617" s="97" t="s">
        <v>100</v>
      </c>
      <c r="F617" s="92"/>
      <c r="G617" s="218">
        <f>G618</f>
        <v>808.8</v>
      </c>
    </row>
    <row r="618" spans="1:7" s="11" customFormat="1" ht="22.5">
      <c r="A618" s="93" t="s">
        <v>133</v>
      </c>
      <c r="B618" s="94" t="s">
        <v>302</v>
      </c>
      <c r="C618" s="95" t="s">
        <v>66</v>
      </c>
      <c r="D618" s="95" t="s">
        <v>64</v>
      </c>
      <c r="E618" s="97" t="s">
        <v>100</v>
      </c>
      <c r="F618" s="92">
        <v>725</v>
      </c>
      <c r="G618" s="218">
        <f>510.9+297.9</f>
        <v>808.8</v>
      </c>
    </row>
    <row r="619" spans="1:7" s="60" customFormat="1" ht="32.25">
      <c r="A619" s="90" t="s">
        <v>440</v>
      </c>
      <c r="B619" s="88" t="s">
        <v>303</v>
      </c>
      <c r="C619" s="91"/>
      <c r="D619" s="91"/>
      <c r="E619" s="99"/>
      <c r="F619" s="87"/>
      <c r="G619" s="215">
        <f>G620</f>
        <v>250.8</v>
      </c>
    </row>
    <row r="620" spans="1:7" s="60" customFormat="1" ht="12.75">
      <c r="A620" s="90" t="s">
        <v>8</v>
      </c>
      <c r="B620" s="88" t="s">
        <v>303</v>
      </c>
      <c r="C620" s="91" t="s">
        <v>66</v>
      </c>
      <c r="D620" s="91" t="s">
        <v>34</v>
      </c>
      <c r="E620" s="99"/>
      <c r="F620" s="87"/>
      <c r="G620" s="215">
        <f>G621</f>
        <v>250.8</v>
      </c>
    </row>
    <row r="621" spans="1:7" s="11" customFormat="1" ht="12.75">
      <c r="A621" s="93" t="s">
        <v>351</v>
      </c>
      <c r="B621" s="94" t="s">
        <v>303</v>
      </c>
      <c r="C621" s="95" t="s">
        <v>66</v>
      </c>
      <c r="D621" s="95" t="s">
        <v>64</v>
      </c>
      <c r="E621" s="97"/>
      <c r="F621" s="92"/>
      <c r="G621" s="218">
        <f>G622</f>
        <v>250.8</v>
      </c>
    </row>
    <row r="622" spans="1:7" s="11" customFormat="1" ht="22.5">
      <c r="A622" s="96" t="s">
        <v>95</v>
      </c>
      <c r="B622" s="94" t="s">
        <v>303</v>
      </c>
      <c r="C622" s="95" t="s">
        <v>66</v>
      </c>
      <c r="D622" s="95" t="s">
        <v>64</v>
      </c>
      <c r="E622" s="97" t="s">
        <v>96</v>
      </c>
      <c r="F622" s="92"/>
      <c r="G622" s="218">
        <f>G623</f>
        <v>250.8</v>
      </c>
    </row>
    <row r="623" spans="1:7" s="11" customFormat="1" ht="12.75">
      <c r="A623" s="96" t="s">
        <v>99</v>
      </c>
      <c r="B623" s="94" t="s">
        <v>303</v>
      </c>
      <c r="C623" s="95" t="s">
        <v>66</v>
      </c>
      <c r="D623" s="95" t="s">
        <v>64</v>
      </c>
      <c r="E623" s="97" t="s">
        <v>100</v>
      </c>
      <c r="F623" s="92"/>
      <c r="G623" s="218">
        <f>G624</f>
        <v>250.8</v>
      </c>
    </row>
    <row r="624" spans="1:7" s="11" customFormat="1" ht="13.5" customHeight="1">
      <c r="A624" s="93" t="s">
        <v>133</v>
      </c>
      <c r="B624" s="94" t="s">
        <v>303</v>
      </c>
      <c r="C624" s="95" t="s">
        <v>66</v>
      </c>
      <c r="D624" s="95" t="s">
        <v>64</v>
      </c>
      <c r="E624" s="97" t="s">
        <v>100</v>
      </c>
      <c r="F624" s="92">
        <v>725</v>
      </c>
      <c r="G624" s="218">
        <f>336-85.2</f>
        <v>250.8</v>
      </c>
    </row>
    <row r="625" spans="1:7" s="11" customFormat="1" ht="21.75">
      <c r="A625" s="90" t="s">
        <v>207</v>
      </c>
      <c r="B625" s="88" t="s">
        <v>239</v>
      </c>
      <c r="C625" s="95"/>
      <c r="D625" s="95"/>
      <c r="E625" s="97"/>
      <c r="F625" s="92"/>
      <c r="G625" s="215">
        <f>G626</f>
        <v>93.4</v>
      </c>
    </row>
    <row r="626" spans="1:7" s="11" customFormat="1" ht="12.75">
      <c r="A626" s="90" t="s">
        <v>8</v>
      </c>
      <c r="B626" s="88" t="s">
        <v>239</v>
      </c>
      <c r="C626" s="91" t="s">
        <v>66</v>
      </c>
      <c r="D626" s="91" t="s">
        <v>34</v>
      </c>
      <c r="E626" s="97"/>
      <c r="F626" s="92"/>
      <c r="G626" s="218">
        <f>G627</f>
        <v>93.4</v>
      </c>
    </row>
    <row r="627" spans="1:7" s="11" customFormat="1" ht="12.75">
      <c r="A627" s="93" t="s">
        <v>351</v>
      </c>
      <c r="B627" s="94" t="s">
        <v>239</v>
      </c>
      <c r="C627" s="95" t="s">
        <v>66</v>
      </c>
      <c r="D627" s="95" t="s">
        <v>64</v>
      </c>
      <c r="E627" s="97"/>
      <c r="F627" s="92"/>
      <c r="G627" s="218">
        <f>G628</f>
        <v>93.4</v>
      </c>
    </row>
    <row r="628" spans="1:7" s="11" customFormat="1" ht="22.5">
      <c r="A628" s="96" t="s">
        <v>95</v>
      </c>
      <c r="B628" s="94" t="s">
        <v>239</v>
      </c>
      <c r="C628" s="95" t="s">
        <v>66</v>
      </c>
      <c r="D628" s="95" t="s">
        <v>64</v>
      </c>
      <c r="E628" s="97" t="s">
        <v>96</v>
      </c>
      <c r="F628" s="92"/>
      <c r="G628" s="218">
        <f>G629</f>
        <v>93.4</v>
      </c>
    </row>
    <row r="629" spans="1:7" s="11" customFormat="1" ht="12.75">
      <c r="A629" s="96" t="s">
        <v>99</v>
      </c>
      <c r="B629" s="94" t="s">
        <v>239</v>
      </c>
      <c r="C629" s="95" t="s">
        <v>66</v>
      </c>
      <c r="D629" s="95" t="s">
        <v>64</v>
      </c>
      <c r="E629" s="97" t="s">
        <v>100</v>
      </c>
      <c r="F629" s="92"/>
      <c r="G629" s="218">
        <f>G630</f>
        <v>93.4</v>
      </c>
    </row>
    <row r="630" spans="1:7" s="11" customFormat="1" ht="13.5" customHeight="1">
      <c r="A630" s="93" t="s">
        <v>133</v>
      </c>
      <c r="B630" s="94" t="s">
        <v>239</v>
      </c>
      <c r="C630" s="95" t="s">
        <v>66</v>
      </c>
      <c r="D630" s="95" t="s">
        <v>64</v>
      </c>
      <c r="E630" s="97" t="s">
        <v>100</v>
      </c>
      <c r="F630" s="92">
        <v>725</v>
      </c>
      <c r="G630" s="218">
        <v>93.4</v>
      </c>
    </row>
    <row r="631" spans="1:7" s="11" customFormat="1" ht="32.25">
      <c r="A631" s="100" t="s">
        <v>735</v>
      </c>
      <c r="B631" s="88" t="s">
        <v>202</v>
      </c>
      <c r="C631" s="91"/>
      <c r="D631" s="91"/>
      <c r="E631" s="99"/>
      <c r="F631" s="87"/>
      <c r="G631" s="215">
        <f aca="true" t="shared" si="13" ref="G631:G636">G632</f>
        <v>800</v>
      </c>
    </row>
    <row r="632" spans="1:7" s="11" customFormat="1" ht="21">
      <c r="A632" s="101" t="s">
        <v>654</v>
      </c>
      <c r="B632" s="88" t="s">
        <v>261</v>
      </c>
      <c r="C632" s="95"/>
      <c r="D632" s="95"/>
      <c r="E632" s="97"/>
      <c r="F632" s="92"/>
      <c r="G632" s="215">
        <f>G633</f>
        <v>800</v>
      </c>
    </row>
    <row r="633" spans="1:7" s="60" customFormat="1" ht="36" customHeight="1">
      <c r="A633" s="127" t="s">
        <v>609</v>
      </c>
      <c r="B633" s="88" t="s">
        <v>262</v>
      </c>
      <c r="C633" s="91"/>
      <c r="D633" s="91"/>
      <c r="E633" s="99"/>
      <c r="F633" s="87"/>
      <c r="G633" s="215">
        <f t="shared" si="13"/>
        <v>800</v>
      </c>
    </row>
    <row r="634" spans="1:7" s="60" customFormat="1" ht="12.75">
      <c r="A634" s="101" t="s">
        <v>128</v>
      </c>
      <c r="B634" s="88" t="s">
        <v>262</v>
      </c>
      <c r="C634" s="91" t="s">
        <v>69</v>
      </c>
      <c r="D634" s="91" t="s">
        <v>34</v>
      </c>
      <c r="E634" s="99"/>
      <c r="F634" s="87"/>
      <c r="G634" s="215">
        <f t="shared" si="13"/>
        <v>800</v>
      </c>
    </row>
    <row r="635" spans="1:7" s="11" customFormat="1" ht="12.75">
      <c r="A635" s="98" t="s">
        <v>172</v>
      </c>
      <c r="B635" s="94" t="s">
        <v>262</v>
      </c>
      <c r="C635" s="95" t="s">
        <v>69</v>
      </c>
      <c r="D635" s="95" t="s">
        <v>64</v>
      </c>
      <c r="E635" s="97"/>
      <c r="F635" s="92"/>
      <c r="G635" s="218">
        <f t="shared" si="13"/>
        <v>800</v>
      </c>
    </row>
    <row r="636" spans="1:7" s="11" customFormat="1" ht="12.75">
      <c r="A636" s="96" t="s">
        <v>110</v>
      </c>
      <c r="B636" s="94" t="s">
        <v>262</v>
      </c>
      <c r="C636" s="95" t="s">
        <v>69</v>
      </c>
      <c r="D636" s="95" t="s">
        <v>64</v>
      </c>
      <c r="E636" s="97" t="s">
        <v>111</v>
      </c>
      <c r="F636" s="92"/>
      <c r="G636" s="218">
        <f t="shared" si="13"/>
        <v>800</v>
      </c>
    </row>
    <row r="637" spans="1:7" s="11" customFormat="1" ht="33.75">
      <c r="A637" s="96" t="s">
        <v>135</v>
      </c>
      <c r="B637" s="94" t="s">
        <v>262</v>
      </c>
      <c r="C637" s="95" t="s">
        <v>69</v>
      </c>
      <c r="D637" s="95" t="s">
        <v>64</v>
      </c>
      <c r="E637" s="97" t="s">
        <v>112</v>
      </c>
      <c r="F637" s="92"/>
      <c r="G637" s="218">
        <f>G638</f>
        <v>800</v>
      </c>
    </row>
    <row r="638" spans="1:7" s="11" customFormat="1" ht="22.5">
      <c r="A638" s="96" t="s">
        <v>320</v>
      </c>
      <c r="B638" s="94" t="s">
        <v>262</v>
      </c>
      <c r="C638" s="95" t="s">
        <v>69</v>
      </c>
      <c r="D638" s="95" t="s">
        <v>64</v>
      </c>
      <c r="E638" s="97" t="s">
        <v>112</v>
      </c>
      <c r="F638" s="92">
        <v>727</v>
      </c>
      <c r="G638" s="218">
        <f>1700-900</f>
        <v>800</v>
      </c>
    </row>
    <row r="639" spans="1:7" s="11" customFormat="1" ht="33.6" customHeight="1">
      <c r="A639" s="184" t="s">
        <v>736</v>
      </c>
      <c r="B639" s="88" t="s">
        <v>326</v>
      </c>
      <c r="C639" s="99"/>
      <c r="D639" s="91"/>
      <c r="E639" s="91"/>
      <c r="F639" s="87"/>
      <c r="G639" s="215">
        <f>G640</f>
        <v>1825.2</v>
      </c>
    </row>
    <row r="640" spans="1:7" s="60" customFormat="1" ht="12.75">
      <c r="A640" s="90" t="s">
        <v>200</v>
      </c>
      <c r="B640" s="88" t="s">
        <v>327</v>
      </c>
      <c r="C640" s="99"/>
      <c r="D640" s="91"/>
      <c r="E640" s="91"/>
      <c r="F640" s="87"/>
      <c r="G640" s="215">
        <f>G647+G641</f>
        <v>1825.2</v>
      </c>
    </row>
    <row r="641" spans="1:7" s="60" customFormat="1" ht="12.75">
      <c r="A641" s="127" t="s">
        <v>718</v>
      </c>
      <c r="B641" s="88" t="s">
        <v>719</v>
      </c>
      <c r="C641" s="99"/>
      <c r="D641" s="91"/>
      <c r="E641" s="91"/>
      <c r="F641" s="87"/>
      <c r="G641" s="215">
        <f>G642</f>
        <v>1200</v>
      </c>
    </row>
    <row r="642" spans="1:7" s="60" customFormat="1" ht="12.75">
      <c r="A642" s="100" t="s">
        <v>5</v>
      </c>
      <c r="B642" s="88" t="s">
        <v>719</v>
      </c>
      <c r="C642" s="99" t="s">
        <v>65</v>
      </c>
      <c r="D642" s="91" t="s">
        <v>34</v>
      </c>
      <c r="E642" s="91"/>
      <c r="F642" s="87"/>
      <c r="G642" s="215">
        <f>G643</f>
        <v>1200</v>
      </c>
    </row>
    <row r="643" spans="1:7" s="60" customFormat="1" ht="12.75">
      <c r="A643" s="96" t="s">
        <v>79</v>
      </c>
      <c r="B643" s="94" t="s">
        <v>719</v>
      </c>
      <c r="C643" s="97" t="s">
        <v>65</v>
      </c>
      <c r="D643" s="95" t="s">
        <v>72</v>
      </c>
      <c r="E643" s="95"/>
      <c r="F643" s="92"/>
      <c r="G643" s="218">
        <f>G644</f>
        <v>1200</v>
      </c>
    </row>
    <row r="644" spans="1:7" s="60" customFormat="1" ht="22.5">
      <c r="A644" s="96" t="s">
        <v>333</v>
      </c>
      <c r="B644" s="94" t="s">
        <v>719</v>
      </c>
      <c r="C644" s="97" t="s">
        <v>65</v>
      </c>
      <c r="D644" s="95" t="s">
        <v>72</v>
      </c>
      <c r="E644" s="95" t="s">
        <v>94</v>
      </c>
      <c r="F644" s="92"/>
      <c r="G644" s="218">
        <f>G645</f>
        <v>1200</v>
      </c>
    </row>
    <row r="645" spans="1:7" s="60" customFormat="1" ht="22.5">
      <c r="A645" s="96" t="s">
        <v>610</v>
      </c>
      <c r="B645" s="94" t="s">
        <v>719</v>
      </c>
      <c r="C645" s="97" t="s">
        <v>65</v>
      </c>
      <c r="D645" s="95" t="s">
        <v>72</v>
      </c>
      <c r="E645" s="95" t="s">
        <v>91</v>
      </c>
      <c r="F645" s="92"/>
      <c r="G645" s="218">
        <f>G646</f>
        <v>1200</v>
      </c>
    </row>
    <row r="646" spans="1:7" s="60" customFormat="1" ht="22.5">
      <c r="A646" s="96" t="s">
        <v>320</v>
      </c>
      <c r="B646" s="94" t="s">
        <v>719</v>
      </c>
      <c r="C646" s="97" t="s">
        <v>65</v>
      </c>
      <c r="D646" s="95" t="s">
        <v>72</v>
      </c>
      <c r="E646" s="95" t="s">
        <v>91</v>
      </c>
      <c r="F646" s="92">
        <v>727</v>
      </c>
      <c r="G646" s="218">
        <v>1200</v>
      </c>
    </row>
    <row r="647" spans="1:7" s="60" customFormat="1" ht="53.25">
      <c r="A647" s="128" t="s">
        <v>678</v>
      </c>
      <c r="B647" s="88" t="s">
        <v>679</v>
      </c>
      <c r="C647" s="99"/>
      <c r="D647" s="91"/>
      <c r="E647" s="91"/>
      <c r="F647" s="87"/>
      <c r="G647" s="215">
        <f>G648</f>
        <v>625.2</v>
      </c>
    </row>
    <row r="648" spans="1:7" s="60" customFormat="1" ht="12.75">
      <c r="A648" s="100" t="s">
        <v>5</v>
      </c>
      <c r="B648" s="88" t="s">
        <v>679</v>
      </c>
      <c r="C648" s="99" t="s">
        <v>65</v>
      </c>
      <c r="D648" s="91" t="s">
        <v>34</v>
      </c>
      <c r="E648" s="91"/>
      <c r="F648" s="87"/>
      <c r="G648" s="215">
        <f>G649</f>
        <v>625.2</v>
      </c>
    </row>
    <row r="649" spans="1:7" s="11" customFormat="1" ht="12.75">
      <c r="A649" s="96" t="s">
        <v>79</v>
      </c>
      <c r="B649" s="94" t="s">
        <v>679</v>
      </c>
      <c r="C649" s="97" t="s">
        <v>65</v>
      </c>
      <c r="D649" s="95" t="s">
        <v>72</v>
      </c>
      <c r="E649" s="95"/>
      <c r="F649" s="92"/>
      <c r="G649" s="218">
        <f>G650</f>
        <v>625.2</v>
      </c>
    </row>
    <row r="650" spans="1:7" s="11" customFormat="1" ht="22.5">
      <c r="A650" s="96" t="s">
        <v>333</v>
      </c>
      <c r="B650" s="94" t="s">
        <v>679</v>
      </c>
      <c r="C650" s="97" t="s">
        <v>65</v>
      </c>
      <c r="D650" s="95" t="s">
        <v>72</v>
      </c>
      <c r="E650" s="97" t="s">
        <v>94</v>
      </c>
      <c r="F650" s="92"/>
      <c r="G650" s="218">
        <f>G651</f>
        <v>625.2</v>
      </c>
    </row>
    <row r="651" spans="1:7" s="11" customFormat="1" ht="22.5">
      <c r="A651" s="96" t="s">
        <v>610</v>
      </c>
      <c r="B651" s="94" t="s">
        <v>679</v>
      </c>
      <c r="C651" s="97" t="s">
        <v>65</v>
      </c>
      <c r="D651" s="95" t="s">
        <v>72</v>
      </c>
      <c r="E651" s="97" t="s">
        <v>91</v>
      </c>
      <c r="F651" s="92"/>
      <c r="G651" s="218">
        <f>G652</f>
        <v>625.2</v>
      </c>
    </row>
    <row r="652" spans="1:7" s="11" customFormat="1" ht="22.5">
      <c r="A652" s="96" t="s">
        <v>320</v>
      </c>
      <c r="B652" s="94" t="s">
        <v>679</v>
      </c>
      <c r="C652" s="97" t="s">
        <v>65</v>
      </c>
      <c r="D652" s="95" t="s">
        <v>72</v>
      </c>
      <c r="E652" s="97" t="s">
        <v>91</v>
      </c>
      <c r="F652" s="92">
        <v>727</v>
      </c>
      <c r="G652" s="218">
        <v>625.2</v>
      </c>
    </row>
    <row r="653" spans="1:7" s="11" customFormat="1" ht="42.75">
      <c r="A653" s="100" t="s">
        <v>737</v>
      </c>
      <c r="B653" s="99" t="s">
        <v>449</v>
      </c>
      <c r="C653" s="97"/>
      <c r="D653" s="97"/>
      <c r="E653" s="102"/>
      <c r="F653" s="102"/>
      <c r="G653" s="215">
        <f>G667+G674+G654</f>
        <v>124.9</v>
      </c>
    </row>
    <row r="654" spans="1:7" s="60" customFormat="1" ht="32.25">
      <c r="A654" s="90" t="s">
        <v>290</v>
      </c>
      <c r="B654" s="99" t="s">
        <v>456</v>
      </c>
      <c r="C654" s="99"/>
      <c r="D654" s="99"/>
      <c r="E654" s="99"/>
      <c r="F654" s="99"/>
      <c r="G654" s="215">
        <f>G661+G655</f>
        <v>64.9</v>
      </c>
    </row>
    <row r="655" spans="1:7" s="60" customFormat="1" ht="32.25">
      <c r="A655" s="100" t="s">
        <v>700</v>
      </c>
      <c r="B655" s="97" t="s">
        <v>701</v>
      </c>
      <c r="C655" s="99"/>
      <c r="D655" s="99"/>
      <c r="E655" s="99"/>
      <c r="F655" s="99"/>
      <c r="G655" s="215">
        <f>G656</f>
        <v>34.9</v>
      </c>
    </row>
    <row r="656" spans="1:7" s="60" customFormat="1" ht="12.75">
      <c r="A656" s="100" t="s">
        <v>59</v>
      </c>
      <c r="B656" s="97" t="s">
        <v>701</v>
      </c>
      <c r="C656" s="99" t="s">
        <v>68</v>
      </c>
      <c r="D656" s="99" t="s">
        <v>34</v>
      </c>
      <c r="E656" s="99"/>
      <c r="F656" s="99"/>
      <c r="G656" s="215">
        <f>G657</f>
        <v>34.9</v>
      </c>
    </row>
    <row r="657" spans="1:7" s="60" customFormat="1" ht="12.75">
      <c r="A657" s="96" t="s">
        <v>129</v>
      </c>
      <c r="B657" s="97" t="s">
        <v>701</v>
      </c>
      <c r="C657" s="97" t="s">
        <v>68</v>
      </c>
      <c r="D657" s="97" t="s">
        <v>73</v>
      </c>
      <c r="E657" s="97"/>
      <c r="F657" s="97"/>
      <c r="G657" s="218">
        <f>G658</f>
        <v>34.9</v>
      </c>
    </row>
    <row r="658" spans="1:7" s="60" customFormat="1" ht="22.5">
      <c r="A658" s="96" t="s">
        <v>95</v>
      </c>
      <c r="B658" s="97" t="s">
        <v>701</v>
      </c>
      <c r="C658" s="97" t="s">
        <v>68</v>
      </c>
      <c r="D658" s="97" t="s">
        <v>73</v>
      </c>
      <c r="E658" s="97" t="s">
        <v>96</v>
      </c>
      <c r="F658" s="97"/>
      <c r="G658" s="218">
        <f>G659</f>
        <v>34.9</v>
      </c>
    </row>
    <row r="659" spans="1:7" s="60" customFormat="1" ht="33.75">
      <c r="A659" s="96" t="s">
        <v>713</v>
      </c>
      <c r="B659" s="97" t="s">
        <v>701</v>
      </c>
      <c r="C659" s="97" t="s">
        <v>68</v>
      </c>
      <c r="D659" s="97" t="s">
        <v>73</v>
      </c>
      <c r="E659" s="97" t="s">
        <v>291</v>
      </c>
      <c r="F659" s="97"/>
      <c r="G659" s="218">
        <f>G660</f>
        <v>34.9</v>
      </c>
    </row>
    <row r="660" spans="1:7" s="60" customFormat="1" ht="12.75">
      <c r="A660" s="96" t="s">
        <v>130</v>
      </c>
      <c r="B660" s="97" t="s">
        <v>701</v>
      </c>
      <c r="C660" s="97" t="s">
        <v>68</v>
      </c>
      <c r="D660" s="97" t="s">
        <v>73</v>
      </c>
      <c r="E660" s="97" t="s">
        <v>291</v>
      </c>
      <c r="F660" s="97" t="s">
        <v>270</v>
      </c>
      <c r="G660" s="218">
        <v>34.9</v>
      </c>
    </row>
    <row r="661" spans="1:7" s="60" customFormat="1" ht="21.75">
      <c r="A661" s="100" t="s">
        <v>455</v>
      </c>
      <c r="B661" s="99" t="s">
        <v>457</v>
      </c>
      <c r="C661" s="99"/>
      <c r="D661" s="99"/>
      <c r="E661" s="99"/>
      <c r="F661" s="99"/>
      <c r="G661" s="215">
        <f>G662</f>
        <v>30</v>
      </c>
    </row>
    <row r="662" spans="1:7" s="60" customFormat="1" ht="12.75">
      <c r="A662" s="100" t="s">
        <v>59</v>
      </c>
      <c r="B662" s="99" t="s">
        <v>457</v>
      </c>
      <c r="C662" s="99" t="s">
        <v>68</v>
      </c>
      <c r="D662" s="99" t="s">
        <v>34</v>
      </c>
      <c r="E662" s="99"/>
      <c r="F662" s="99"/>
      <c r="G662" s="215">
        <f>G663</f>
        <v>30</v>
      </c>
    </row>
    <row r="663" spans="1:7" s="11" customFormat="1" ht="12.75">
      <c r="A663" s="96" t="s">
        <v>129</v>
      </c>
      <c r="B663" s="97" t="s">
        <v>457</v>
      </c>
      <c r="C663" s="97" t="s">
        <v>68</v>
      </c>
      <c r="D663" s="97" t="s">
        <v>73</v>
      </c>
      <c r="E663" s="97"/>
      <c r="F663" s="97"/>
      <c r="G663" s="218">
        <f>G664</f>
        <v>30</v>
      </c>
    </row>
    <row r="664" spans="1:7" s="11" customFormat="1" ht="22.5">
      <c r="A664" s="96" t="s">
        <v>95</v>
      </c>
      <c r="B664" s="97" t="s">
        <v>457</v>
      </c>
      <c r="C664" s="97" t="s">
        <v>68</v>
      </c>
      <c r="D664" s="97" t="s">
        <v>73</v>
      </c>
      <c r="E664" s="97" t="s">
        <v>96</v>
      </c>
      <c r="F664" s="97"/>
      <c r="G664" s="218">
        <f>G665</f>
        <v>30</v>
      </c>
    </row>
    <row r="665" spans="1:7" s="11" customFormat="1" ht="33.75">
      <c r="A665" s="96" t="s">
        <v>713</v>
      </c>
      <c r="B665" s="97" t="s">
        <v>457</v>
      </c>
      <c r="C665" s="97" t="s">
        <v>68</v>
      </c>
      <c r="D665" s="97" t="s">
        <v>73</v>
      </c>
      <c r="E665" s="97" t="s">
        <v>291</v>
      </c>
      <c r="F665" s="97"/>
      <c r="G665" s="218">
        <f>G666</f>
        <v>30</v>
      </c>
    </row>
    <row r="666" spans="1:7" s="11" customFormat="1" ht="12.75">
      <c r="A666" s="96" t="s">
        <v>130</v>
      </c>
      <c r="B666" s="97" t="s">
        <v>457</v>
      </c>
      <c r="C666" s="97" t="s">
        <v>68</v>
      </c>
      <c r="D666" s="97" t="s">
        <v>73</v>
      </c>
      <c r="E666" s="97" t="s">
        <v>291</v>
      </c>
      <c r="F666" s="97" t="s">
        <v>270</v>
      </c>
      <c r="G666" s="218">
        <v>30</v>
      </c>
    </row>
    <row r="667" spans="1:7" s="11" customFormat="1" ht="21.75">
      <c r="A667" s="100" t="s">
        <v>445</v>
      </c>
      <c r="B667" s="99" t="s">
        <v>450</v>
      </c>
      <c r="C667" s="97"/>
      <c r="D667" s="97"/>
      <c r="E667" s="102"/>
      <c r="F667" s="102"/>
      <c r="G667" s="215">
        <f aca="true" t="shared" si="14" ref="G667:G672">G668</f>
        <v>13.600000000000001</v>
      </c>
    </row>
    <row r="668" spans="1:7" s="11" customFormat="1" ht="21.75">
      <c r="A668" s="100" t="s">
        <v>446</v>
      </c>
      <c r="B668" s="99" t="s">
        <v>451</v>
      </c>
      <c r="C668" s="97"/>
      <c r="D668" s="97"/>
      <c r="E668" s="102"/>
      <c r="F668" s="102"/>
      <c r="G668" s="215">
        <f t="shared" si="14"/>
        <v>13.600000000000001</v>
      </c>
    </row>
    <row r="669" spans="1:7" s="60" customFormat="1" ht="12.75">
      <c r="A669" s="90" t="s">
        <v>2</v>
      </c>
      <c r="B669" s="99" t="s">
        <v>451</v>
      </c>
      <c r="C669" s="99" t="s">
        <v>63</v>
      </c>
      <c r="D669" s="99" t="s">
        <v>34</v>
      </c>
      <c r="E669" s="103"/>
      <c r="F669" s="103"/>
      <c r="G669" s="215">
        <f t="shared" si="14"/>
        <v>13.600000000000001</v>
      </c>
    </row>
    <row r="670" spans="1:7" s="11" customFormat="1" ht="12.75">
      <c r="A670" s="96" t="s">
        <v>60</v>
      </c>
      <c r="B670" s="97" t="s">
        <v>451</v>
      </c>
      <c r="C670" s="97" t="s">
        <v>63</v>
      </c>
      <c r="D670" s="97" t="s">
        <v>84</v>
      </c>
      <c r="E670" s="102"/>
      <c r="F670" s="102"/>
      <c r="G670" s="218">
        <f t="shared" si="14"/>
        <v>13.600000000000001</v>
      </c>
    </row>
    <row r="671" spans="1:7" s="11" customFormat="1" ht="45">
      <c r="A671" s="96" t="s">
        <v>92</v>
      </c>
      <c r="B671" s="97" t="s">
        <v>451</v>
      </c>
      <c r="C671" s="97" t="s">
        <v>63</v>
      </c>
      <c r="D671" s="97" t="s">
        <v>84</v>
      </c>
      <c r="E671" s="102" t="s">
        <v>93</v>
      </c>
      <c r="F671" s="102"/>
      <c r="G671" s="218">
        <f t="shared" si="14"/>
        <v>13.600000000000001</v>
      </c>
    </row>
    <row r="672" spans="1:7" s="11" customFormat="1" ht="22.5">
      <c r="A672" s="96" t="s">
        <v>89</v>
      </c>
      <c r="B672" s="97" t="s">
        <v>451</v>
      </c>
      <c r="C672" s="97" t="s">
        <v>63</v>
      </c>
      <c r="D672" s="97" t="s">
        <v>84</v>
      </c>
      <c r="E672" s="102" t="s">
        <v>90</v>
      </c>
      <c r="F672" s="102"/>
      <c r="G672" s="218">
        <f t="shared" si="14"/>
        <v>13.600000000000001</v>
      </c>
    </row>
    <row r="673" spans="1:7" s="11" customFormat="1" ht="12.75">
      <c r="A673" s="96" t="s">
        <v>130</v>
      </c>
      <c r="B673" s="97" t="s">
        <v>451</v>
      </c>
      <c r="C673" s="97" t="s">
        <v>63</v>
      </c>
      <c r="D673" s="97" t="s">
        <v>84</v>
      </c>
      <c r="E673" s="102" t="s">
        <v>90</v>
      </c>
      <c r="F673" s="102" t="s">
        <v>270</v>
      </c>
      <c r="G673" s="218">
        <f>50-16.4-20</f>
        <v>13.600000000000001</v>
      </c>
    </row>
    <row r="674" spans="1:7" s="60" customFormat="1" ht="21.75">
      <c r="A674" s="100" t="s">
        <v>447</v>
      </c>
      <c r="B674" s="99" t="s">
        <v>452</v>
      </c>
      <c r="C674" s="99"/>
      <c r="D674" s="99"/>
      <c r="E674" s="103"/>
      <c r="F674" s="103"/>
      <c r="G674" s="215">
        <f>G675+G681</f>
        <v>46.4</v>
      </c>
    </row>
    <row r="675" spans="1:7" s="60" customFormat="1" ht="32.25">
      <c r="A675" s="100" t="s">
        <v>448</v>
      </c>
      <c r="B675" s="99" t="s">
        <v>453</v>
      </c>
      <c r="C675" s="99"/>
      <c r="D675" s="99"/>
      <c r="E675" s="103"/>
      <c r="F675" s="103"/>
      <c r="G675" s="215">
        <f>G676</f>
        <v>20.9</v>
      </c>
    </row>
    <row r="676" spans="1:7" s="60" customFormat="1" ht="12.75">
      <c r="A676" s="90" t="s">
        <v>2</v>
      </c>
      <c r="B676" s="99" t="s">
        <v>453</v>
      </c>
      <c r="C676" s="99" t="s">
        <v>63</v>
      </c>
      <c r="D676" s="99" t="s">
        <v>34</v>
      </c>
      <c r="E676" s="103"/>
      <c r="F676" s="103"/>
      <c r="G676" s="215">
        <f>G677</f>
        <v>20.9</v>
      </c>
    </row>
    <row r="677" spans="1:7" s="60" customFormat="1" ht="12.75">
      <c r="A677" s="96" t="s">
        <v>60</v>
      </c>
      <c r="B677" s="97" t="s">
        <v>453</v>
      </c>
      <c r="C677" s="97" t="s">
        <v>63</v>
      </c>
      <c r="D677" s="97" t="s">
        <v>84</v>
      </c>
      <c r="E677" s="103"/>
      <c r="F677" s="103"/>
      <c r="G677" s="218">
        <f>G678</f>
        <v>20.9</v>
      </c>
    </row>
    <row r="678" spans="1:7" s="11" customFormat="1" ht="45">
      <c r="A678" s="96" t="s">
        <v>92</v>
      </c>
      <c r="B678" s="97" t="s">
        <v>453</v>
      </c>
      <c r="C678" s="97" t="s">
        <v>63</v>
      </c>
      <c r="D678" s="97" t="s">
        <v>84</v>
      </c>
      <c r="E678" s="102" t="s">
        <v>93</v>
      </c>
      <c r="F678" s="102"/>
      <c r="G678" s="218">
        <f>G679</f>
        <v>20.9</v>
      </c>
    </row>
    <row r="679" spans="1:7" s="11" customFormat="1" ht="22.5">
      <c r="A679" s="96" t="s">
        <v>89</v>
      </c>
      <c r="B679" s="97" t="s">
        <v>453</v>
      </c>
      <c r="C679" s="97" t="s">
        <v>63</v>
      </c>
      <c r="D679" s="97" t="s">
        <v>84</v>
      </c>
      <c r="E679" s="102" t="s">
        <v>90</v>
      </c>
      <c r="F679" s="102"/>
      <c r="G679" s="218">
        <f>G680</f>
        <v>20.9</v>
      </c>
    </row>
    <row r="680" spans="1:7" s="11" customFormat="1" ht="12.75">
      <c r="A680" s="96" t="s">
        <v>130</v>
      </c>
      <c r="B680" s="97" t="s">
        <v>453</v>
      </c>
      <c r="C680" s="97" t="s">
        <v>63</v>
      </c>
      <c r="D680" s="97" t="s">
        <v>84</v>
      </c>
      <c r="E680" s="102" t="s">
        <v>90</v>
      </c>
      <c r="F680" s="102" t="s">
        <v>270</v>
      </c>
      <c r="G680" s="218">
        <f>14+6.9</f>
        <v>20.9</v>
      </c>
    </row>
    <row r="681" spans="1:7" s="60" customFormat="1" ht="32.25">
      <c r="A681" s="100" t="s">
        <v>539</v>
      </c>
      <c r="B681" s="99" t="s">
        <v>454</v>
      </c>
      <c r="C681" s="99"/>
      <c r="D681" s="99"/>
      <c r="E681" s="103"/>
      <c r="F681" s="103"/>
      <c r="G681" s="215">
        <f>G682+G687</f>
        <v>25.5</v>
      </c>
    </row>
    <row r="682" spans="1:7" s="60" customFormat="1" ht="12.75">
      <c r="A682" s="90" t="s">
        <v>2</v>
      </c>
      <c r="B682" s="99" t="s">
        <v>454</v>
      </c>
      <c r="C682" s="99" t="s">
        <v>63</v>
      </c>
      <c r="D682" s="99" t="s">
        <v>34</v>
      </c>
      <c r="E682" s="103"/>
      <c r="F682" s="103"/>
      <c r="G682" s="215">
        <f>G683</f>
        <v>10</v>
      </c>
    </row>
    <row r="683" spans="1:7" s="60" customFormat="1" ht="12.75">
      <c r="A683" s="96" t="s">
        <v>60</v>
      </c>
      <c r="B683" s="97" t="s">
        <v>454</v>
      </c>
      <c r="C683" s="97" t="s">
        <v>63</v>
      </c>
      <c r="D683" s="97" t="s">
        <v>84</v>
      </c>
      <c r="E683" s="103"/>
      <c r="F683" s="103"/>
      <c r="G683" s="215">
        <f>G684</f>
        <v>10</v>
      </c>
    </row>
    <row r="684" spans="1:7" s="11" customFormat="1" ht="22.5">
      <c r="A684" s="96" t="s">
        <v>333</v>
      </c>
      <c r="B684" s="97" t="s">
        <v>454</v>
      </c>
      <c r="C684" s="97" t="s">
        <v>63</v>
      </c>
      <c r="D684" s="97" t="s">
        <v>84</v>
      </c>
      <c r="E684" s="97" t="s">
        <v>94</v>
      </c>
      <c r="F684" s="97"/>
      <c r="G684" s="218">
        <f>G685</f>
        <v>10</v>
      </c>
    </row>
    <row r="685" spans="1:7" s="11" customFormat="1" ht="22.5">
      <c r="A685" s="96" t="s">
        <v>610</v>
      </c>
      <c r="B685" s="97" t="s">
        <v>454</v>
      </c>
      <c r="C685" s="97" t="s">
        <v>63</v>
      </c>
      <c r="D685" s="97" t="s">
        <v>84</v>
      </c>
      <c r="E685" s="97" t="s">
        <v>91</v>
      </c>
      <c r="F685" s="97"/>
      <c r="G685" s="218">
        <f>G686</f>
        <v>10</v>
      </c>
    </row>
    <row r="686" spans="1:7" s="11" customFormat="1" ht="12.75">
      <c r="A686" s="96" t="s">
        <v>130</v>
      </c>
      <c r="B686" s="97" t="s">
        <v>454</v>
      </c>
      <c r="C686" s="97" t="s">
        <v>63</v>
      </c>
      <c r="D686" s="97" t="s">
        <v>84</v>
      </c>
      <c r="E686" s="97" t="s">
        <v>91</v>
      </c>
      <c r="F686" s="97" t="s">
        <v>270</v>
      </c>
      <c r="G686" s="218">
        <v>10</v>
      </c>
    </row>
    <row r="687" spans="1:7" s="60" customFormat="1" ht="12.75">
      <c r="A687" s="100" t="s">
        <v>122</v>
      </c>
      <c r="B687" s="99" t="s">
        <v>454</v>
      </c>
      <c r="C687" s="91" t="s">
        <v>70</v>
      </c>
      <c r="D687" s="91" t="s">
        <v>34</v>
      </c>
      <c r="E687" s="91"/>
      <c r="F687" s="87"/>
      <c r="G687" s="215">
        <f>G688</f>
        <v>15.5</v>
      </c>
    </row>
    <row r="688" spans="1:7" s="11" customFormat="1" ht="12.75">
      <c r="A688" s="96" t="s">
        <v>83</v>
      </c>
      <c r="B688" s="97" t="s">
        <v>454</v>
      </c>
      <c r="C688" s="95" t="s">
        <v>70</v>
      </c>
      <c r="D688" s="95" t="s">
        <v>65</v>
      </c>
      <c r="E688" s="95"/>
      <c r="F688" s="92"/>
      <c r="G688" s="218">
        <f>G689</f>
        <v>15.5</v>
      </c>
    </row>
    <row r="689" spans="1:7" s="11" customFormat="1" ht="22.5">
      <c r="A689" s="96" t="s">
        <v>333</v>
      </c>
      <c r="B689" s="97" t="s">
        <v>454</v>
      </c>
      <c r="C689" s="95" t="s">
        <v>70</v>
      </c>
      <c r="D689" s="95" t="s">
        <v>65</v>
      </c>
      <c r="E689" s="97" t="s">
        <v>94</v>
      </c>
      <c r="F689" s="92"/>
      <c r="G689" s="218">
        <f>G690</f>
        <v>15.5</v>
      </c>
    </row>
    <row r="690" spans="1:7" s="11" customFormat="1" ht="22.5">
      <c r="A690" s="96" t="s">
        <v>610</v>
      </c>
      <c r="B690" s="97" t="s">
        <v>454</v>
      </c>
      <c r="C690" s="95" t="s">
        <v>70</v>
      </c>
      <c r="D690" s="95" t="s">
        <v>65</v>
      </c>
      <c r="E690" s="97" t="s">
        <v>91</v>
      </c>
      <c r="F690" s="92"/>
      <c r="G690" s="218">
        <f>G691</f>
        <v>15.5</v>
      </c>
    </row>
    <row r="691" spans="1:7" s="11" customFormat="1" ht="22.5">
      <c r="A691" s="93" t="s">
        <v>134</v>
      </c>
      <c r="B691" s="97" t="s">
        <v>454</v>
      </c>
      <c r="C691" s="95" t="s">
        <v>70</v>
      </c>
      <c r="D691" s="95" t="s">
        <v>65</v>
      </c>
      <c r="E691" s="97" t="s">
        <v>91</v>
      </c>
      <c r="F691" s="92">
        <v>726</v>
      </c>
      <c r="G691" s="218">
        <f>6+9.5</f>
        <v>15.5</v>
      </c>
    </row>
    <row r="692" spans="1:7" s="60" customFormat="1" ht="32.45" customHeight="1">
      <c r="A692" s="100" t="s">
        <v>738</v>
      </c>
      <c r="B692" s="88" t="s">
        <v>355</v>
      </c>
      <c r="C692" s="91"/>
      <c r="D692" s="91"/>
      <c r="E692" s="99"/>
      <c r="F692" s="87"/>
      <c r="G692" s="215">
        <f aca="true" t="shared" si="15" ref="G692:G704">G693</f>
        <v>20366.8</v>
      </c>
    </row>
    <row r="693" spans="1:7" s="60" customFormat="1" ht="21.75" customHeight="1">
      <c r="A693" s="100" t="s">
        <v>441</v>
      </c>
      <c r="B693" s="88" t="s">
        <v>356</v>
      </c>
      <c r="C693" s="91"/>
      <c r="D693" s="91"/>
      <c r="E693" s="99"/>
      <c r="F693" s="87"/>
      <c r="G693" s="215">
        <f>G694+G700</f>
        <v>20366.8</v>
      </c>
    </row>
    <row r="694" spans="1:7" s="60" customFormat="1" ht="42.75">
      <c r="A694" s="128" t="s">
        <v>680</v>
      </c>
      <c r="B694" s="88" t="s">
        <v>681</v>
      </c>
      <c r="C694" s="91"/>
      <c r="D694" s="91"/>
      <c r="E694" s="99"/>
      <c r="F694" s="87"/>
      <c r="G694" s="215">
        <f t="shared" si="15"/>
        <v>300</v>
      </c>
    </row>
    <row r="695" spans="1:7" s="60" customFormat="1" ht="12.75">
      <c r="A695" s="101" t="s">
        <v>128</v>
      </c>
      <c r="B695" s="88" t="s">
        <v>681</v>
      </c>
      <c r="C695" s="91" t="s">
        <v>69</v>
      </c>
      <c r="D695" s="91" t="s">
        <v>34</v>
      </c>
      <c r="E695" s="99"/>
      <c r="F695" s="87"/>
      <c r="G695" s="215">
        <f t="shared" si="15"/>
        <v>300</v>
      </c>
    </row>
    <row r="696" spans="1:7" s="60" customFormat="1" ht="12.75">
      <c r="A696" s="98" t="s">
        <v>172</v>
      </c>
      <c r="B696" s="94" t="s">
        <v>681</v>
      </c>
      <c r="C696" s="95" t="s">
        <v>69</v>
      </c>
      <c r="D696" s="95" t="s">
        <v>64</v>
      </c>
      <c r="E696" s="99"/>
      <c r="F696" s="87"/>
      <c r="G696" s="218">
        <f t="shared" si="15"/>
        <v>300</v>
      </c>
    </row>
    <row r="697" spans="1:7" s="11" customFormat="1" ht="22.5">
      <c r="A697" s="96" t="s">
        <v>333</v>
      </c>
      <c r="B697" s="94" t="s">
        <v>681</v>
      </c>
      <c r="C697" s="95" t="s">
        <v>69</v>
      </c>
      <c r="D697" s="95" t="s">
        <v>64</v>
      </c>
      <c r="E697" s="97" t="s">
        <v>94</v>
      </c>
      <c r="F697" s="92"/>
      <c r="G697" s="218">
        <f t="shared" si="15"/>
        <v>300</v>
      </c>
    </row>
    <row r="698" spans="1:7" s="11" customFormat="1" ht="22.5">
      <c r="A698" s="96" t="s">
        <v>610</v>
      </c>
      <c r="B698" s="94" t="s">
        <v>681</v>
      </c>
      <c r="C698" s="95" t="s">
        <v>69</v>
      </c>
      <c r="D698" s="95" t="s">
        <v>64</v>
      </c>
      <c r="E698" s="97" t="s">
        <v>91</v>
      </c>
      <c r="F698" s="92"/>
      <c r="G698" s="218">
        <f t="shared" si="15"/>
        <v>300</v>
      </c>
    </row>
    <row r="699" spans="1:7" s="11" customFormat="1" ht="22.5">
      <c r="A699" s="96" t="s">
        <v>320</v>
      </c>
      <c r="B699" s="94" t="s">
        <v>681</v>
      </c>
      <c r="C699" s="95" t="s">
        <v>69</v>
      </c>
      <c r="D699" s="95" t="s">
        <v>64</v>
      </c>
      <c r="E699" s="97" t="s">
        <v>91</v>
      </c>
      <c r="F699" s="92">
        <v>727</v>
      </c>
      <c r="G699" s="218">
        <v>300</v>
      </c>
    </row>
    <row r="700" spans="1:7" s="11" customFormat="1" ht="32.25">
      <c r="A700" s="128" t="s">
        <v>645</v>
      </c>
      <c r="B700" s="88" t="s">
        <v>646</v>
      </c>
      <c r="C700" s="91"/>
      <c r="D700" s="91"/>
      <c r="E700" s="99"/>
      <c r="F700" s="87"/>
      <c r="G700" s="215">
        <f t="shared" si="15"/>
        <v>20066.8</v>
      </c>
    </row>
    <row r="701" spans="1:7" s="11" customFormat="1" ht="12.75">
      <c r="A701" s="101" t="s">
        <v>128</v>
      </c>
      <c r="B701" s="88" t="s">
        <v>646</v>
      </c>
      <c r="C701" s="91" t="s">
        <v>69</v>
      </c>
      <c r="D701" s="91" t="s">
        <v>34</v>
      </c>
      <c r="E701" s="99"/>
      <c r="F701" s="87"/>
      <c r="G701" s="215">
        <f t="shared" si="15"/>
        <v>20066.8</v>
      </c>
    </row>
    <row r="702" spans="1:7" s="11" customFormat="1" ht="12.75">
      <c r="A702" s="98" t="s">
        <v>172</v>
      </c>
      <c r="B702" s="94" t="s">
        <v>646</v>
      </c>
      <c r="C702" s="95" t="s">
        <v>69</v>
      </c>
      <c r="D702" s="95" t="s">
        <v>64</v>
      </c>
      <c r="E702" s="99"/>
      <c r="F702" s="87"/>
      <c r="G702" s="218">
        <f t="shared" si="15"/>
        <v>20066.8</v>
      </c>
    </row>
    <row r="703" spans="1:7" s="11" customFormat="1" ht="22.5">
      <c r="A703" s="96" t="s">
        <v>333</v>
      </c>
      <c r="B703" s="94" t="s">
        <v>646</v>
      </c>
      <c r="C703" s="95" t="s">
        <v>69</v>
      </c>
      <c r="D703" s="95" t="s">
        <v>64</v>
      </c>
      <c r="E703" s="97" t="s">
        <v>94</v>
      </c>
      <c r="F703" s="92"/>
      <c r="G703" s="218">
        <f t="shared" si="15"/>
        <v>20066.8</v>
      </c>
    </row>
    <row r="704" spans="1:7" s="11" customFormat="1" ht="22.5">
      <c r="A704" s="96" t="s">
        <v>610</v>
      </c>
      <c r="B704" s="94" t="s">
        <v>646</v>
      </c>
      <c r="C704" s="95" t="s">
        <v>69</v>
      </c>
      <c r="D704" s="95" t="s">
        <v>64</v>
      </c>
      <c r="E704" s="97" t="s">
        <v>91</v>
      </c>
      <c r="F704" s="92"/>
      <c r="G704" s="218">
        <f t="shared" si="15"/>
        <v>20066.8</v>
      </c>
    </row>
    <row r="705" spans="1:7" s="11" customFormat="1" ht="22.5">
      <c r="A705" s="96" t="s">
        <v>320</v>
      </c>
      <c r="B705" s="94" t="s">
        <v>646</v>
      </c>
      <c r="C705" s="95" t="s">
        <v>69</v>
      </c>
      <c r="D705" s="95" t="s">
        <v>64</v>
      </c>
      <c r="E705" s="97" t="s">
        <v>91</v>
      </c>
      <c r="F705" s="92">
        <v>727</v>
      </c>
      <c r="G705" s="218">
        <v>20066.8</v>
      </c>
    </row>
    <row r="706" spans="1:7" s="11" customFormat="1" ht="33.6" customHeight="1">
      <c r="A706" s="100" t="s">
        <v>739</v>
      </c>
      <c r="B706" s="88" t="s">
        <v>280</v>
      </c>
      <c r="C706" s="102"/>
      <c r="D706" s="91"/>
      <c r="E706" s="99"/>
      <c r="F706" s="87"/>
      <c r="G706" s="215">
        <f>G707</f>
        <v>122.3</v>
      </c>
    </row>
    <row r="707" spans="1:7" s="60" customFormat="1" ht="42.75">
      <c r="A707" s="100" t="s">
        <v>442</v>
      </c>
      <c r="B707" s="88" t="s">
        <v>281</v>
      </c>
      <c r="C707" s="103"/>
      <c r="D707" s="91"/>
      <c r="E707" s="99"/>
      <c r="F707" s="87"/>
      <c r="G707" s="215">
        <f>G714+G708+G720</f>
        <v>122.3</v>
      </c>
    </row>
    <row r="708" spans="1:7" s="11" customFormat="1" ht="24" customHeight="1">
      <c r="A708" s="100" t="s">
        <v>443</v>
      </c>
      <c r="B708" s="88" t="s">
        <v>282</v>
      </c>
      <c r="C708" s="103"/>
      <c r="D708" s="91"/>
      <c r="E708" s="99"/>
      <c r="F708" s="87"/>
      <c r="G708" s="215">
        <f>G709</f>
        <v>20</v>
      </c>
    </row>
    <row r="709" spans="1:7" s="11" customFormat="1" ht="12.75">
      <c r="A709" s="90" t="s">
        <v>2</v>
      </c>
      <c r="B709" s="94" t="s">
        <v>282</v>
      </c>
      <c r="C709" s="102" t="s">
        <v>63</v>
      </c>
      <c r="D709" s="95" t="s">
        <v>34</v>
      </c>
      <c r="E709" s="97"/>
      <c r="F709" s="92"/>
      <c r="G709" s="218">
        <f>G710</f>
        <v>20</v>
      </c>
    </row>
    <row r="710" spans="1:7" s="11" customFormat="1" ht="12.75">
      <c r="A710" s="96" t="s">
        <v>60</v>
      </c>
      <c r="B710" s="94" t="s">
        <v>282</v>
      </c>
      <c r="C710" s="102" t="s">
        <v>63</v>
      </c>
      <c r="D710" s="95" t="s">
        <v>84</v>
      </c>
      <c r="E710" s="97"/>
      <c r="F710" s="92"/>
      <c r="G710" s="218">
        <f>G711</f>
        <v>20</v>
      </c>
    </row>
    <row r="711" spans="1:7" s="11" customFormat="1" ht="22.5">
      <c r="A711" s="96" t="s">
        <v>333</v>
      </c>
      <c r="B711" s="94" t="s">
        <v>282</v>
      </c>
      <c r="C711" s="102" t="s">
        <v>63</v>
      </c>
      <c r="D711" s="95" t="s">
        <v>84</v>
      </c>
      <c r="E711" s="97" t="s">
        <v>94</v>
      </c>
      <c r="F711" s="92"/>
      <c r="G711" s="218">
        <f>G712</f>
        <v>20</v>
      </c>
    </row>
    <row r="712" spans="1:7" s="11" customFormat="1" ht="24" customHeight="1">
      <c r="A712" s="96" t="s">
        <v>610</v>
      </c>
      <c r="B712" s="94" t="s">
        <v>282</v>
      </c>
      <c r="C712" s="102" t="s">
        <v>63</v>
      </c>
      <c r="D712" s="95" t="s">
        <v>84</v>
      </c>
      <c r="E712" s="97" t="s">
        <v>91</v>
      </c>
      <c r="F712" s="92"/>
      <c r="G712" s="218">
        <f>G713</f>
        <v>20</v>
      </c>
    </row>
    <row r="713" spans="1:7" s="11" customFormat="1" ht="12.75">
      <c r="A713" s="93" t="s">
        <v>130</v>
      </c>
      <c r="B713" s="94" t="s">
        <v>282</v>
      </c>
      <c r="C713" s="102" t="s">
        <v>63</v>
      </c>
      <c r="D713" s="95" t="s">
        <v>84</v>
      </c>
      <c r="E713" s="97" t="s">
        <v>91</v>
      </c>
      <c r="F713" s="92">
        <v>721</v>
      </c>
      <c r="G713" s="218">
        <f>35-10-5</f>
        <v>20</v>
      </c>
    </row>
    <row r="714" spans="1:7" s="11" customFormat="1" ht="32.25">
      <c r="A714" s="100" t="s">
        <v>444</v>
      </c>
      <c r="B714" s="88" t="s">
        <v>283</v>
      </c>
      <c r="C714" s="103"/>
      <c r="D714" s="91"/>
      <c r="E714" s="99"/>
      <c r="F714" s="87"/>
      <c r="G714" s="215">
        <f>G715</f>
        <v>7.3</v>
      </c>
    </row>
    <row r="715" spans="1:7" s="11" customFormat="1" ht="12.75">
      <c r="A715" s="90" t="s">
        <v>2</v>
      </c>
      <c r="B715" s="94" t="s">
        <v>283</v>
      </c>
      <c r="C715" s="102" t="s">
        <v>63</v>
      </c>
      <c r="D715" s="95" t="s">
        <v>34</v>
      </c>
      <c r="E715" s="97"/>
      <c r="F715" s="92"/>
      <c r="G715" s="218">
        <f>G716</f>
        <v>7.3</v>
      </c>
    </row>
    <row r="716" spans="1:7" s="11" customFormat="1" ht="12.75">
      <c r="A716" s="96" t="s">
        <v>60</v>
      </c>
      <c r="B716" s="94" t="s">
        <v>283</v>
      </c>
      <c r="C716" s="102" t="s">
        <v>63</v>
      </c>
      <c r="D716" s="95" t="s">
        <v>84</v>
      </c>
      <c r="E716" s="97"/>
      <c r="F716" s="92"/>
      <c r="G716" s="218">
        <f>G717</f>
        <v>7.3</v>
      </c>
    </row>
    <row r="717" spans="1:7" s="11" customFormat="1" ht="22.5">
      <c r="A717" s="96" t="s">
        <v>333</v>
      </c>
      <c r="B717" s="94" t="s">
        <v>283</v>
      </c>
      <c r="C717" s="102" t="s">
        <v>63</v>
      </c>
      <c r="D717" s="95" t="s">
        <v>84</v>
      </c>
      <c r="E717" s="102" t="s">
        <v>94</v>
      </c>
      <c r="F717" s="92"/>
      <c r="G717" s="218">
        <f>G718</f>
        <v>7.3</v>
      </c>
    </row>
    <row r="718" spans="1:7" s="11" customFormat="1" ht="27.6" customHeight="1">
      <c r="A718" s="96" t="s">
        <v>610</v>
      </c>
      <c r="B718" s="94" t="s">
        <v>283</v>
      </c>
      <c r="C718" s="102" t="s">
        <v>63</v>
      </c>
      <c r="D718" s="95" t="s">
        <v>84</v>
      </c>
      <c r="E718" s="102" t="s">
        <v>91</v>
      </c>
      <c r="F718" s="92"/>
      <c r="G718" s="218">
        <f>G719</f>
        <v>7.3</v>
      </c>
    </row>
    <row r="719" spans="1:7" s="11" customFormat="1" ht="12.75">
      <c r="A719" s="93" t="s">
        <v>130</v>
      </c>
      <c r="B719" s="94" t="s">
        <v>283</v>
      </c>
      <c r="C719" s="95" t="s">
        <v>63</v>
      </c>
      <c r="D719" s="95" t="s">
        <v>84</v>
      </c>
      <c r="E719" s="95" t="s">
        <v>91</v>
      </c>
      <c r="F719" s="92">
        <v>721</v>
      </c>
      <c r="G719" s="218">
        <f>10-2.7</f>
        <v>7.3</v>
      </c>
    </row>
    <row r="720" spans="1:7" s="11" customFormat="1" ht="12" customHeight="1">
      <c r="A720" s="100" t="s">
        <v>284</v>
      </c>
      <c r="B720" s="88" t="s">
        <v>285</v>
      </c>
      <c r="C720" s="91"/>
      <c r="D720" s="91"/>
      <c r="E720" s="91"/>
      <c r="F720" s="87"/>
      <c r="G720" s="215">
        <f>G721</f>
        <v>95</v>
      </c>
    </row>
    <row r="721" spans="1:7" s="11" customFormat="1" ht="12.75">
      <c r="A721" s="90" t="s">
        <v>2</v>
      </c>
      <c r="B721" s="94" t="s">
        <v>285</v>
      </c>
      <c r="C721" s="102" t="s">
        <v>63</v>
      </c>
      <c r="D721" s="95" t="s">
        <v>34</v>
      </c>
      <c r="E721" s="91"/>
      <c r="F721" s="87"/>
      <c r="G721" s="218">
        <f>G722</f>
        <v>95</v>
      </c>
    </row>
    <row r="722" spans="1:7" s="11" customFormat="1" ht="12.75">
      <c r="A722" s="96" t="s">
        <v>60</v>
      </c>
      <c r="B722" s="94" t="s">
        <v>285</v>
      </c>
      <c r="C722" s="102" t="s">
        <v>63</v>
      </c>
      <c r="D722" s="95" t="s">
        <v>84</v>
      </c>
      <c r="E722" s="91"/>
      <c r="F722" s="87"/>
      <c r="G722" s="218">
        <f>G723</f>
        <v>95</v>
      </c>
    </row>
    <row r="723" spans="1:7" s="11" customFormat="1" ht="22.5">
      <c r="A723" s="96" t="s">
        <v>333</v>
      </c>
      <c r="B723" s="94" t="s">
        <v>285</v>
      </c>
      <c r="C723" s="102" t="s">
        <v>63</v>
      </c>
      <c r="D723" s="95" t="s">
        <v>84</v>
      </c>
      <c r="E723" s="95" t="s">
        <v>94</v>
      </c>
      <c r="F723" s="92"/>
      <c r="G723" s="218">
        <f>G724</f>
        <v>95</v>
      </c>
    </row>
    <row r="724" spans="1:7" s="11" customFormat="1" ht="23.25" customHeight="1">
      <c r="A724" s="96" t="s">
        <v>610</v>
      </c>
      <c r="B724" s="94" t="s">
        <v>285</v>
      </c>
      <c r="C724" s="97" t="s">
        <v>63</v>
      </c>
      <c r="D724" s="95" t="s">
        <v>84</v>
      </c>
      <c r="E724" s="95" t="s">
        <v>91</v>
      </c>
      <c r="F724" s="92"/>
      <c r="G724" s="218">
        <f>G725</f>
        <v>95</v>
      </c>
    </row>
    <row r="725" spans="1:7" s="11" customFormat="1" ht="12.75">
      <c r="A725" s="93" t="s">
        <v>130</v>
      </c>
      <c r="B725" s="94" t="s">
        <v>285</v>
      </c>
      <c r="C725" s="97" t="s">
        <v>63</v>
      </c>
      <c r="D725" s="95" t="s">
        <v>84</v>
      </c>
      <c r="E725" s="95" t="s">
        <v>91</v>
      </c>
      <c r="F725" s="92">
        <v>721</v>
      </c>
      <c r="G725" s="218">
        <f>40+55</f>
        <v>95</v>
      </c>
    </row>
    <row r="726" spans="1:7" s="11" customFormat="1" ht="32.25">
      <c r="A726" s="90" t="s">
        <v>740</v>
      </c>
      <c r="B726" s="88" t="s">
        <v>322</v>
      </c>
      <c r="C726" s="95"/>
      <c r="D726" s="95"/>
      <c r="E726" s="97"/>
      <c r="F726" s="92"/>
      <c r="G726" s="215">
        <f aca="true" t="shared" si="16" ref="G726:G731">G727</f>
        <v>4316.6</v>
      </c>
    </row>
    <row r="727" spans="1:7" s="11" customFormat="1" ht="24">
      <c r="A727" s="153" t="s">
        <v>669</v>
      </c>
      <c r="B727" s="88" t="s">
        <v>323</v>
      </c>
      <c r="C727" s="95"/>
      <c r="D727" s="95"/>
      <c r="E727" s="97"/>
      <c r="F727" s="92"/>
      <c r="G727" s="215">
        <f t="shared" si="16"/>
        <v>4316.6</v>
      </c>
    </row>
    <row r="728" spans="1:7" s="60" customFormat="1" ht="21.75">
      <c r="A728" s="90" t="s">
        <v>324</v>
      </c>
      <c r="B728" s="88" t="s">
        <v>325</v>
      </c>
      <c r="C728" s="95"/>
      <c r="D728" s="95"/>
      <c r="E728" s="99"/>
      <c r="F728" s="87"/>
      <c r="G728" s="215">
        <f>G730</f>
        <v>4316.6</v>
      </c>
    </row>
    <row r="729" spans="1:7" s="60" customFormat="1" ht="12.75">
      <c r="A729" s="90" t="s">
        <v>5</v>
      </c>
      <c r="B729" s="88" t="s">
        <v>325</v>
      </c>
      <c r="C729" s="91" t="s">
        <v>65</v>
      </c>
      <c r="D729" s="91" t="s">
        <v>34</v>
      </c>
      <c r="E729" s="99"/>
      <c r="F729" s="87"/>
      <c r="G729" s="215">
        <f>G730</f>
        <v>4316.6</v>
      </c>
    </row>
    <row r="730" spans="1:7" s="11" customFormat="1" ht="12.75">
      <c r="A730" s="93" t="s">
        <v>79</v>
      </c>
      <c r="B730" s="94" t="s">
        <v>325</v>
      </c>
      <c r="C730" s="95" t="s">
        <v>65</v>
      </c>
      <c r="D730" s="95" t="s">
        <v>72</v>
      </c>
      <c r="E730" s="97"/>
      <c r="F730" s="92"/>
      <c r="G730" s="218">
        <f t="shared" si="16"/>
        <v>4316.6</v>
      </c>
    </row>
    <row r="731" spans="1:7" s="11" customFormat="1" ht="22.5">
      <c r="A731" s="96" t="s">
        <v>333</v>
      </c>
      <c r="B731" s="94" t="s">
        <v>325</v>
      </c>
      <c r="C731" s="95" t="s">
        <v>65</v>
      </c>
      <c r="D731" s="95" t="s">
        <v>72</v>
      </c>
      <c r="E731" s="97" t="s">
        <v>94</v>
      </c>
      <c r="F731" s="92"/>
      <c r="G731" s="218">
        <f t="shared" si="16"/>
        <v>4316.6</v>
      </c>
    </row>
    <row r="732" spans="1:7" s="11" customFormat="1" ht="22.5">
      <c r="A732" s="96" t="s">
        <v>610</v>
      </c>
      <c r="B732" s="94" t="s">
        <v>325</v>
      </c>
      <c r="C732" s="95" t="s">
        <v>65</v>
      </c>
      <c r="D732" s="95" t="s">
        <v>72</v>
      </c>
      <c r="E732" s="97" t="s">
        <v>91</v>
      </c>
      <c r="F732" s="92"/>
      <c r="G732" s="218">
        <f>G733</f>
        <v>4316.6</v>
      </c>
    </row>
    <row r="733" spans="1:7" s="11" customFormat="1" ht="22.5">
      <c r="A733" s="98" t="s">
        <v>320</v>
      </c>
      <c r="B733" s="94" t="s">
        <v>325</v>
      </c>
      <c r="C733" s="95" t="s">
        <v>65</v>
      </c>
      <c r="D733" s="95" t="s">
        <v>72</v>
      </c>
      <c r="E733" s="97" t="s">
        <v>91</v>
      </c>
      <c r="F733" s="92">
        <v>727</v>
      </c>
      <c r="G733" s="218">
        <v>4316.6</v>
      </c>
    </row>
    <row r="734" spans="1:7" s="60" customFormat="1" ht="32.25">
      <c r="A734" s="100" t="s">
        <v>741</v>
      </c>
      <c r="B734" s="99" t="s">
        <v>357</v>
      </c>
      <c r="C734" s="91"/>
      <c r="D734" s="91"/>
      <c r="E734" s="99"/>
      <c r="F734" s="87"/>
      <c r="G734" s="215">
        <f>G735</f>
        <v>150</v>
      </c>
    </row>
    <row r="735" spans="1:7" s="11" customFormat="1" ht="32.25">
      <c r="A735" s="90" t="s">
        <v>665</v>
      </c>
      <c r="B735" s="99" t="s">
        <v>666</v>
      </c>
      <c r="C735" s="95"/>
      <c r="D735" s="95"/>
      <c r="E735" s="97"/>
      <c r="F735" s="92"/>
      <c r="G735" s="218">
        <f>G736+G742</f>
        <v>150</v>
      </c>
    </row>
    <row r="736" spans="1:7" s="11" customFormat="1" ht="32.25">
      <c r="A736" s="128" t="s">
        <v>670</v>
      </c>
      <c r="B736" s="88" t="s">
        <v>667</v>
      </c>
      <c r="C736" s="95"/>
      <c r="D736" s="95"/>
      <c r="E736" s="97"/>
      <c r="F736" s="92"/>
      <c r="G736" s="218">
        <f>G737</f>
        <v>142.5</v>
      </c>
    </row>
    <row r="737" spans="1:7" s="11" customFormat="1" ht="12.75">
      <c r="A737" s="100" t="s">
        <v>358</v>
      </c>
      <c r="B737" s="88" t="s">
        <v>667</v>
      </c>
      <c r="C737" s="91" t="s">
        <v>73</v>
      </c>
      <c r="D737" s="91" t="s">
        <v>34</v>
      </c>
      <c r="E737" s="99"/>
      <c r="F737" s="87"/>
      <c r="G737" s="215">
        <f>G738</f>
        <v>142.5</v>
      </c>
    </row>
    <row r="738" spans="1:7" s="11" customFormat="1" ht="12.75">
      <c r="A738" s="96" t="s">
        <v>294</v>
      </c>
      <c r="B738" s="94" t="s">
        <v>667</v>
      </c>
      <c r="C738" s="95" t="s">
        <v>73</v>
      </c>
      <c r="D738" s="95" t="s">
        <v>69</v>
      </c>
      <c r="E738" s="97"/>
      <c r="F738" s="92"/>
      <c r="G738" s="218">
        <f>G739</f>
        <v>142.5</v>
      </c>
    </row>
    <row r="739" spans="1:7" s="11" customFormat="1" ht="22.5">
      <c r="A739" s="96" t="s">
        <v>333</v>
      </c>
      <c r="B739" s="94" t="s">
        <v>667</v>
      </c>
      <c r="C739" s="95" t="s">
        <v>73</v>
      </c>
      <c r="D739" s="95" t="s">
        <v>69</v>
      </c>
      <c r="E739" s="97" t="s">
        <v>94</v>
      </c>
      <c r="F739" s="92"/>
      <c r="G739" s="218">
        <f>G740</f>
        <v>142.5</v>
      </c>
    </row>
    <row r="740" spans="1:7" s="11" customFormat="1" ht="22.5">
      <c r="A740" s="96" t="s">
        <v>610</v>
      </c>
      <c r="B740" s="94" t="s">
        <v>667</v>
      </c>
      <c r="C740" s="95" t="s">
        <v>73</v>
      </c>
      <c r="D740" s="95" t="s">
        <v>69</v>
      </c>
      <c r="E740" s="97" t="s">
        <v>91</v>
      </c>
      <c r="F740" s="92"/>
      <c r="G740" s="218">
        <f>G741</f>
        <v>142.5</v>
      </c>
    </row>
    <row r="741" spans="1:7" s="11" customFormat="1" ht="22.5">
      <c r="A741" s="96" t="s">
        <v>320</v>
      </c>
      <c r="B741" s="94" t="s">
        <v>667</v>
      </c>
      <c r="C741" s="95" t="s">
        <v>73</v>
      </c>
      <c r="D741" s="95" t="s">
        <v>69</v>
      </c>
      <c r="E741" s="97" t="s">
        <v>91</v>
      </c>
      <c r="F741" s="92">
        <v>727</v>
      </c>
      <c r="G741" s="218">
        <f>1425-1282.5</f>
        <v>142.5</v>
      </c>
    </row>
    <row r="742" spans="1:7" s="11" customFormat="1" ht="42.75">
      <c r="A742" s="128" t="s">
        <v>663</v>
      </c>
      <c r="B742" s="88" t="s">
        <v>668</v>
      </c>
      <c r="C742" s="95"/>
      <c r="D742" s="95"/>
      <c r="E742" s="97"/>
      <c r="F742" s="92"/>
      <c r="G742" s="215">
        <f>G743</f>
        <v>7.5</v>
      </c>
    </row>
    <row r="743" spans="1:7" s="11" customFormat="1" ht="12.75">
      <c r="A743" s="100" t="s">
        <v>358</v>
      </c>
      <c r="B743" s="88" t="s">
        <v>668</v>
      </c>
      <c r="C743" s="91" t="s">
        <v>73</v>
      </c>
      <c r="D743" s="91" t="s">
        <v>34</v>
      </c>
      <c r="E743" s="99"/>
      <c r="F743" s="87"/>
      <c r="G743" s="215">
        <f>G744</f>
        <v>7.5</v>
      </c>
    </row>
    <row r="744" spans="1:7" s="11" customFormat="1" ht="12.75">
      <c r="A744" s="96" t="s">
        <v>294</v>
      </c>
      <c r="B744" s="94" t="s">
        <v>668</v>
      </c>
      <c r="C744" s="95" t="s">
        <v>73</v>
      </c>
      <c r="D744" s="95" t="s">
        <v>69</v>
      </c>
      <c r="E744" s="97"/>
      <c r="F744" s="92"/>
      <c r="G744" s="218">
        <f>G745</f>
        <v>7.5</v>
      </c>
    </row>
    <row r="745" spans="1:7" s="11" customFormat="1" ht="22.5">
      <c r="A745" s="96" t="s">
        <v>333</v>
      </c>
      <c r="B745" s="94" t="s">
        <v>668</v>
      </c>
      <c r="C745" s="95" t="s">
        <v>73</v>
      </c>
      <c r="D745" s="95" t="s">
        <v>69</v>
      </c>
      <c r="E745" s="97" t="s">
        <v>94</v>
      </c>
      <c r="F745" s="92"/>
      <c r="G745" s="218">
        <f>G746</f>
        <v>7.5</v>
      </c>
    </row>
    <row r="746" spans="1:7" s="11" customFormat="1" ht="22.5">
      <c r="A746" s="96" t="s">
        <v>610</v>
      </c>
      <c r="B746" s="94" t="s">
        <v>668</v>
      </c>
      <c r="C746" s="95" t="s">
        <v>73</v>
      </c>
      <c r="D746" s="95" t="s">
        <v>69</v>
      </c>
      <c r="E746" s="97" t="s">
        <v>91</v>
      </c>
      <c r="F746" s="92"/>
      <c r="G746" s="218">
        <f>G747</f>
        <v>7.5</v>
      </c>
    </row>
    <row r="747" spans="1:7" s="11" customFormat="1" ht="22.5">
      <c r="A747" s="96" t="s">
        <v>320</v>
      </c>
      <c r="B747" s="94" t="s">
        <v>668</v>
      </c>
      <c r="C747" s="95" t="s">
        <v>73</v>
      </c>
      <c r="D747" s="95" t="s">
        <v>69</v>
      </c>
      <c r="E747" s="97" t="s">
        <v>91</v>
      </c>
      <c r="F747" s="92">
        <v>727</v>
      </c>
      <c r="G747" s="218">
        <f>75-67.5</f>
        <v>7.5</v>
      </c>
    </row>
    <row r="748" spans="1:7" s="11" customFormat="1" ht="21.75">
      <c r="A748" s="100" t="s">
        <v>742</v>
      </c>
      <c r="B748" s="88" t="s">
        <v>329</v>
      </c>
      <c r="C748" s="95"/>
      <c r="D748" s="95"/>
      <c r="E748" s="97"/>
      <c r="F748" s="92"/>
      <c r="G748" s="215">
        <f aca="true" t="shared" si="17" ref="G748:G754">G749</f>
        <v>142</v>
      </c>
    </row>
    <row r="749" spans="1:7" s="11" customFormat="1" ht="12.75">
      <c r="A749" s="101" t="s">
        <v>200</v>
      </c>
      <c r="B749" s="88" t="s">
        <v>330</v>
      </c>
      <c r="C749" s="91"/>
      <c r="D749" s="91"/>
      <c r="E749" s="99"/>
      <c r="F749" s="87"/>
      <c r="G749" s="215">
        <f t="shared" si="17"/>
        <v>142</v>
      </c>
    </row>
    <row r="750" spans="1:7" s="11" customFormat="1" ht="22.5">
      <c r="A750" s="96" t="s">
        <v>621</v>
      </c>
      <c r="B750" s="88" t="s">
        <v>620</v>
      </c>
      <c r="C750" s="91"/>
      <c r="D750" s="91"/>
      <c r="E750" s="99"/>
      <c r="F750" s="87"/>
      <c r="G750" s="215">
        <f t="shared" si="17"/>
        <v>142</v>
      </c>
    </row>
    <row r="751" spans="1:7" s="11" customFormat="1" ht="12.75">
      <c r="A751" s="101" t="s">
        <v>128</v>
      </c>
      <c r="B751" s="88" t="s">
        <v>620</v>
      </c>
      <c r="C751" s="91" t="s">
        <v>69</v>
      </c>
      <c r="D751" s="91" t="s">
        <v>34</v>
      </c>
      <c r="E751" s="99"/>
      <c r="F751" s="87"/>
      <c r="G751" s="215">
        <f t="shared" si="17"/>
        <v>142</v>
      </c>
    </row>
    <row r="752" spans="1:7" s="11" customFormat="1" ht="12.75">
      <c r="A752" s="98" t="s">
        <v>174</v>
      </c>
      <c r="B752" s="94" t="s">
        <v>620</v>
      </c>
      <c r="C752" s="95" t="s">
        <v>69</v>
      </c>
      <c r="D752" s="95" t="s">
        <v>67</v>
      </c>
      <c r="E752" s="97"/>
      <c r="F752" s="92"/>
      <c r="G752" s="218">
        <f t="shared" si="17"/>
        <v>142</v>
      </c>
    </row>
    <row r="753" spans="1:7" s="11" customFormat="1" ht="22.5">
      <c r="A753" s="96" t="s">
        <v>333</v>
      </c>
      <c r="B753" s="94" t="s">
        <v>620</v>
      </c>
      <c r="C753" s="95" t="s">
        <v>69</v>
      </c>
      <c r="D753" s="95" t="s">
        <v>67</v>
      </c>
      <c r="E753" s="97" t="s">
        <v>94</v>
      </c>
      <c r="F753" s="92"/>
      <c r="G753" s="218">
        <f t="shared" si="17"/>
        <v>142</v>
      </c>
    </row>
    <row r="754" spans="1:7" s="11" customFormat="1" ht="25.15" customHeight="1">
      <c r="A754" s="96" t="s">
        <v>610</v>
      </c>
      <c r="B754" s="94" t="s">
        <v>620</v>
      </c>
      <c r="C754" s="95" t="s">
        <v>69</v>
      </c>
      <c r="D754" s="95" t="s">
        <v>67</v>
      </c>
      <c r="E754" s="97" t="s">
        <v>91</v>
      </c>
      <c r="F754" s="92"/>
      <c r="G754" s="218">
        <f t="shared" si="17"/>
        <v>142</v>
      </c>
    </row>
    <row r="755" spans="1:7" s="11" customFormat="1" ht="22.5">
      <c r="A755" s="96" t="s">
        <v>320</v>
      </c>
      <c r="B755" s="94" t="s">
        <v>620</v>
      </c>
      <c r="C755" s="95" t="s">
        <v>69</v>
      </c>
      <c r="D755" s="95" t="s">
        <v>67</v>
      </c>
      <c r="E755" s="97" t="s">
        <v>91</v>
      </c>
      <c r="F755" s="92">
        <v>727</v>
      </c>
      <c r="G755" s="218">
        <v>142</v>
      </c>
    </row>
    <row r="756" spans="1:12" ht="12.75">
      <c r="A756" s="90" t="s">
        <v>74</v>
      </c>
      <c r="B756" s="87"/>
      <c r="C756" s="87"/>
      <c r="D756" s="87"/>
      <c r="E756" s="99"/>
      <c r="F756" s="87"/>
      <c r="G756" s="215">
        <f>G17+G45+G69+G101+G118+G162+G170+G178+G186+G207+G240+G257+G384+G522+G555+G575+G589+G631+G639+G653+G692+G706+G726+G734+G748+G583+G9</f>
        <v>313278.7</v>
      </c>
      <c r="I756" s="224"/>
      <c r="J756" s="224"/>
      <c r="K756" s="224"/>
      <c r="L756" s="224"/>
    </row>
    <row r="757" spans="1:8" ht="12.75">
      <c r="A757" s="107"/>
      <c r="B757" s="108"/>
      <c r="C757" s="108"/>
      <c r="D757" s="108"/>
      <c r="E757" s="144"/>
      <c r="F757" s="108"/>
      <c r="G757" s="225"/>
      <c r="H757" s="224"/>
    </row>
    <row r="758" spans="8:9" ht="12.75">
      <c r="H758" s="224"/>
      <c r="I758" s="224"/>
    </row>
    <row r="759" ht="12.75">
      <c r="H759" s="224"/>
    </row>
  </sheetData>
  <mergeCells count="5">
    <mergeCell ref="A5:G5"/>
    <mergeCell ref="A1:G1"/>
    <mergeCell ref="A2:G2"/>
    <mergeCell ref="A3:G3"/>
    <mergeCell ref="A4:G4"/>
  </mergeCells>
  <printOptions horizontalCentered="1"/>
  <pageMargins left="0.8267716535433072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1"/>
  <sheetViews>
    <sheetView view="pageBreakPreview" zoomScale="110" zoomScaleSheetLayoutView="110" workbookViewId="0" topLeftCell="A16">
      <selection activeCell="B17" sqref="B17"/>
    </sheetView>
  </sheetViews>
  <sheetFormatPr defaultColWidth="9.125" defaultRowHeight="12.75"/>
  <cols>
    <col min="1" max="1" width="21.75390625" style="5" customWidth="1"/>
    <col min="2" max="2" width="73.875" style="5" customWidth="1"/>
    <col min="3" max="3" width="11.875" style="5" customWidth="1"/>
    <col min="4" max="4" width="3.75390625" style="5" customWidth="1"/>
    <col min="5" max="5" width="9.125" style="5" customWidth="1"/>
    <col min="6" max="6" width="9.75390625" style="5" bestFit="1" customWidth="1"/>
    <col min="7" max="7" width="9.875" style="5" bestFit="1" customWidth="1"/>
    <col min="8" max="16384" width="9.125" style="5" customWidth="1"/>
  </cols>
  <sheetData>
    <row r="1" spans="1:3" s="27" customFormat="1" ht="12.75">
      <c r="A1" s="282" t="s">
        <v>708</v>
      </c>
      <c r="B1" s="282"/>
      <c r="C1" s="282"/>
    </row>
    <row r="2" spans="1:3" ht="12.75">
      <c r="A2" s="282" t="str">
        <f>'пр3 по разд'!A2:D2</f>
        <v>к  решению Собрания представителей Сусуманского городского округа</v>
      </c>
      <c r="B2" s="282"/>
      <c r="C2" s="282"/>
    </row>
    <row r="3" spans="1:3" ht="12.75">
      <c r="A3" s="282" t="str">
        <f>'МП пр.6'!A3:G3</f>
        <v>"О бюджете муниципального образования "Сусуманский городской округ" на 2019 год</v>
      </c>
      <c r="B3" s="282"/>
      <c r="C3" s="282"/>
    </row>
    <row r="4" spans="1:3" ht="12.75">
      <c r="A4" s="282" t="str">
        <f>'пр3 по разд'!A4:D4</f>
        <v>от 30.12.2019 г. № 329</v>
      </c>
      <c r="B4" s="282"/>
      <c r="C4" s="282"/>
    </row>
    <row r="5" spans="1:3" ht="28.9" customHeight="1">
      <c r="A5" s="274" t="s">
        <v>598</v>
      </c>
      <c r="B5" s="274"/>
      <c r="C5" s="274"/>
    </row>
    <row r="6" spans="1:3" ht="12.75">
      <c r="A6" s="11"/>
      <c r="B6" s="11"/>
      <c r="C6" s="11" t="s">
        <v>1</v>
      </c>
    </row>
    <row r="7" spans="1:6" ht="12.75">
      <c r="A7" s="24" t="s">
        <v>29</v>
      </c>
      <c r="B7" s="24" t="s">
        <v>30</v>
      </c>
      <c r="C7" s="59" t="str">
        <f>'пр.5 вед.стр.'!G7</f>
        <v>Сумма</v>
      </c>
      <c r="E7" s="151"/>
      <c r="F7" s="151"/>
    </row>
    <row r="8" spans="1:6" ht="12.75">
      <c r="A8" s="24">
        <v>1</v>
      </c>
      <c r="B8" s="24">
        <v>2</v>
      </c>
      <c r="C8" s="24">
        <v>3</v>
      </c>
      <c r="E8" s="151"/>
      <c r="F8" s="151"/>
    </row>
    <row r="9" spans="1:7" ht="25.5">
      <c r="A9" s="59" t="s">
        <v>23</v>
      </c>
      <c r="B9" s="86" t="s">
        <v>50</v>
      </c>
      <c r="C9" s="17">
        <f>C10+C23+C15</f>
        <v>14026.999999999884</v>
      </c>
      <c r="E9" s="152"/>
      <c r="F9" s="152"/>
      <c r="G9" s="157"/>
    </row>
    <row r="10" spans="1:5" ht="12.75">
      <c r="A10" s="43" t="s">
        <v>24</v>
      </c>
      <c r="B10" s="86" t="s">
        <v>49</v>
      </c>
      <c r="C10" s="17">
        <f>C11-C13</f>
        <v>0</v>
      </c>
      <c r="E10" s="72"/>
    </row>
    <row r="11" spans="1:3" ht="12.75">
      <c r="A11" s="43" t="s">
        <v>25</v>
      </c>
      <c r="B11" s="44" t="s">
        <v>51</v>
      </c>
      <c r="C11" s="18">
        <f>C12</f>
        <v>0</v>
      </c>
    </row>
    <row r="12" spans="1:3" ht="25.5">
      <c r="A12" s="45" t="s">
        <v>210</v>
      </c>
      <c r="B12" s="29" t="s">
        <v>211</v>
      </c>
      <c r="C12" s="18">
        <v>0</v>
      </c>
    </row>
    <row r="13" spans="1:3" ht="25.5">
      <c r="A13" s="43" t="s">
        <v>26</v>
      </c>
      <c r="B13" s="44" t="s">
        <v>46</v>
      </c>
      <c r="C13" s="18">
        <f>C14</f>
        <v>0</v>
      </c>
    </row>
    <row r="14" spans="1:3" ht="25.5">
      <c r="A14" s="45" t="s">
        <v>212</v>
      </c>
      <c r="B14" s="29" t="s">
        <v>213</v>
      </c>
      <c r="C14" s="18">
        <v>0</v>
      </c>
    </row>
    <row r="15" spans="1:3" ht="17.25" customHeight="1">
      <c r="A15" s="59" t="s">
        <v>27</v>
      </c>
      <c r="B15" s="86" t="s">
        <v>88</v>
      </c>
      <c r="C15" s="17">
        <f>C17+C20</f>
        <v>0</v>
      </c>
    </row>
    <row r="16" spans="1:3" ht="25.5" customHeight="1">
      <c r="A16" s="43" t="s">
        <v>226</v>
      </c>
      <c r="B16" s="46" t="s">
        <v>227</v>
      </c>
      <c r="C16" s="17">
        <f>C17+C20</f>
        <v>0</v>
      </c>
    </row>
    <row r="17" spans="1:3" ht="25.5">
      <c r="A17" s="43" t="s">
        <v>120</v>
      </c>
      <c r="B17" s="44" t="s">
        <v>52</v>
      </c>
      <c r="C17" s="18">
        <f>C18</f>
        <v>0</v>
      </c>
    </row>
    <row r="18" spans="1:3" ht="25.5">
      <c r="A18" s="45" t="s">
        <v>216</v>
      </c>
      <c r="B18" s="44" t="s">
        <v>217</v>
      </c>
      <c r="C18" s="18">
        <f>C19</f>
        <v>0</v>
      </c>
    </row>
    <row r="19" spans="1:3" ht="38.25">
      <c r="A19" s="45" t="s">
        <v>214</v>
      </c>
      <c r="B19" s="44" t="s">
        <v>215</v>
      </c>
      <c r="C19" s="18">
        <v>0</v>
      </c>
    </row>
    <row r="20" spans="1:3" ht="25.5">
      <c r="A20" s="43" t="s">
        <v>119</v>
      </c>
      <c r="B20" s="44" t="s">
        <v>53</v>
      </c>
      <c r="C20" s="18">
        <f>C21</f>
        <v>0</v>
      </c>
    </row>
    <row r="21" spans="1:3" ht="25.5">
      <c r="A21" s="45" t="s">
        <v>221</v>
      </c>
      <c r="B21" s="44" t="s">
        <v>220</v>
      </c>
      <c r="C21" s="18">
        <f>C22</f>
        <v>0</v>
      </c>
    </row>
    <row r="22" spans="1:3" ht="38.25">
      <c r="A22" s="45" t="s">
        <v>218</v>
      </c>
      <c r="B22" s="44" t="s">
        <v>219</v>
      </c>
      <c r="C22" s="18">
        <v>0</v>
      </c>
    </row>
    <row r="23" spans="1:3" ht="12.75">
      <c r="A23" s="59" t="s">
        <v>35</v>
      </c>
      <c r="B23" s="86" t="s">
        <v>54</v>
      </c>
      <c r="C23" s="17">
        <f>C28+C24</f>
        <v>14026.999999999884</v>
      </c>
    </row>
    <row r="24" spans="1:6" ht="12.75">
      <c r="A24" s="43" t="s">
        <v>36</v>
      </c>
      <c r="B24" s="44" t="s">
        <v>14</v>
      </c>
      <c r="C24" s="18">
        <f>C25</f>
        <v>-762821.9</v>
      </c>
      <c r="F24" s="72"/>
    </row>
    <row r="25" spans="1:3" ht="12.75">
      <c r="A25" s="43" t="s">
        <v>37</v>
      </c>
      <c r="B25" s="44" t="s">
        <v>21</v>
      </c>
      <c r="C25" s="18">
        <f>C26</f>
        <v>-762821.9</v>
      </c>
    </row>
    <row r="26" spans="1:4" ht="12.75">
      <c r="A26" s="43" t="s">
        <v>38</v>
      </c>
      <c r="B26" s="44" t="s">
        <v>22</v>
      </c>
      <c r="C26" s="18">
        <f>C27</f>
        <v>-762821.9</v>
      </c>
      <c r="D26" s="72"/>
    </row>
    <row r="27" spans="1:3" ht="12.75">
      <c r="A27" s="45" t="s">
        <v>222</v>
      </c>
      <c r="B27" s="29" t="s">
        <v>223</v>
      </c>
      <c r="C27" s="18">
        <v>-762821.9</v>
      </c>
    </row>
    <row r="28" spans="1:3" ht="12.75">
      <c r="A28" s="43" t="s">
        <v>39</v>
      </c>
      <c r="B28" s="44" t="s">
        <v>31</v>
      </c>
      <c r="C28" s="18">
        <f>C29</f>
        <v>776848.8999999999</v>
      </c>
    </row>
    <row r="29" spans="1:6" ht="12.75">
      <c r="A29" s="43" t="s">
        <v>40</v>
      </c>
      <c r="B29" s="44" t="s">
        <v>32</v>
      </c>
      <c r="C29" s="18">
        <f>C30</f>
        <v>776848.8999999999</v>
      </c>
      <c r="D29" s="72"/>
      <c r="F29" s="72"/>
    </row>
    <row r="30" spans="1:3" ht="12.75">
      <c r="A30" s="43" t="s">
        <v>121</v>
      </c>
      <c r="B30" s="44" t="s">
        <v>33</v>
      </c>
      <c r="C30" s="18">
        <f>C31</f>
        <v>776848.8999999999</v>
      </c>
    </row>
    <row r="31" spans="1:5" ht="12.75">
      <c r="A31" s="45" t="s">
        <v>224</v>
      </c>
      <c r="B31" s="16" t="s">
        <v>225</v>
      </c>
      <c r="C31" s="18">
        <f>'пр3 по разд'!D50-C14-C20</f>
        <v>776848.8999999999</v>
      </c>
      <c r="E31" s="72"/>
    </row>
    <row r="32" s="26" customFormat="1" ht="12.75"/>
    <row r="33" s="26" customFormat="1" ht="12.75"/>
    <row r="34" s="26" customFormat="1" ht="12.75"/>
    <row r="35" s="26" customFormat="1" ht="12.75"/>
  </sheetData>
  <mergeCells count="5">
    <mergeCell ref="A1:C1"/>
    <mergeCell ref="A2:C2"/>
    <mergeCell ref="A4:C4"/>
    <mergeCell ref="A5:C5"/>
    <mergeCell ref="A3:C3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"/>
  <sheetViews>
    <sheetView tabSelected="1" view="pageBreakPreview" zoomScaleSheetLayoutView="100" workbookViewId="0" topLeftCell="A1">
      <selection activeCell="J9" sqref="J9"/>
    </sheetView>
  </sheetViews>
  <sheetFormatPr defaultColWidth="9.00390625" defaultRowHeight="12.75"/>
  <cols>
    <col min="1" max="1" width="58.25390625" style="0" customWidth="1"/>
    <col min="2" max="2" width="17.00390625" style="0" customWidth="1"/>
    <col min="3" max="3" width="5.25390625" style="0" customWidth="1"/>
    <col min="4" max="4" width="5.75390625" style="0" customWidth="1"/>
    <col min="5" max="5" width="6.375" style="0" customWidth="1"/>
    <col min="6" max="6" width="7.125" style="0" customWidth="1"/>
  </cols>
  <sheetData>
    <row r="1" spans="1:8" s="161" customFormat="1" ht="15.75">
      <c r="A1" s="158"/>
      <c r="B1" s="158"/>
      <c r="C1" s="159"/>
      <c r="D1" s="159"/>
      <c r="E1" s="269" t="s">
        <v>757</v>
      </c>
      <c r="F1" s="269"/>
      <c r="G1" s="269"/>
      <c r="H1" s="160"/>
    </row>
    <row r="2" spans="1:8" s="161" customFormat="1" ht="12.75" customHeight="1">
      <c r="A2" s="283" t="s">
        <v>702</v>
      </c>
      <c r="B2" s="283"/>
      <c r="C2" s="284"/>
      <c r="D2" s="284"/>
      <c r="E2" s="284"/>
      <c r="F2" s="284"/>
      <c r="G2" s="284"/>
      <c r="H2" s="160"/>
    </row>
    <row r="3" spans="1:8" s="161" customFormat="1" ht="12.75" customHeight="1">
      <c r="A3" s="283" t="str">
        <f>'[3]пр.11'!A3</f>
        <v>"О бюджете муниципального образования "Сусуманский городской округ" на 2019 год"</v>
      </c>
      <c r="B3" s="283"/>
      <c r="C3" s="270"/>
      <c r="D3" s="270"/>
      <c r="E3" s="270"/>
      <c r="F3" s="270"/>
      <c r="G3" s="270"/>
      <c r="H3" s="160"/>
    </row>
    <row r="4" spans="1:8" s="161" customFormat="1" ht="15">
      <c r="A4" s="263" t="str">
        <f>'пр3 по разд'!A4:D4</f>
        <v>от 30.12.2019 г. № 329</v>
      </c>
      <c r="B4" s="263"/>
      <c r="C4" s="263"/>
      <c r="D4" s="263"/>
      <c r="E4" s="263"/>
      <c r="F4" s="276"/>
      <c r="G4" s="287"/>
      <c r="H4" s="160"/>
    </row>
    <row r="5" spans="1:8" s="161" customFormat="1" ht="41.45" customHeight="1">
      <c r="A5" s="285" t="s">
        <v>744</v>
      </c>
      <c r="B5" s="285"/>
      <c r="C5" s="286"/>
      <c r="D5" s="286"/>
      <c r="E5" s="286"/>
      <c r="F5" s="286"/>
      <c r="G5" s="286"/>
      <c r="H5" s="160"/>
    </row>
    <row r="6" spans="3:8" s="161" customFormat="1" ht="15">
      <c r="C6" s="159"/>
      <c r="D6" s="159"/>
      <c r="E6" s="159"/>
      <c r="F6" s="159"/>
      <c r="G6" s="159" t="s">
        <v>703</v>
      </c>
      <c r="H6" s="160"/>
    </row>
    <row r="7" spans="1:8" s="161" customFormat="1" ht="24" customHeight="1">
      <c r="A7" s="162" t="s">
        <v>30</v>
      </c>
      <c r="B7" s="163" t="s">
        <v>704</v>
      </c>
      <c r="C7" s="163" t="s">
        <v>43</v>
      </c>
      <c r="D7" s="163" t="s">
        <v>42</v>
      </c>
      <c r="E7" s="162" t="s">
        <v>45</v>
      </c>
      <c r="F7" s="162" t="s">
        <v>705</v>
      </c>
      <c r="G7" s="162" t="s">
        <v>406</v>
      </c>
      <c r="H7" s="160"/>
    </row>
    <row r="8" spans="1:8" s="161" customFormat="1" ht="15">
      <c r="A8" s="164">
        <v>1</v>
      </c>
      <c r="B8" s="164"/>
      <c r="C8" s="163">
        <v>2</v>
      </c>
      <c r="D8" s="163">
        <v>3</v>
      </c>
      <c r="E8" s="162">
        <v>5</v>
      </c>
      <c r="F8" s="162">
        <v>6</v>
      </c>
      <c r="G8" s="162">
        <v>7</v>
      </c>
      <c r="H8" s="160"/>
    </row>
    <row r="9" spans="1:8" s="161" customFormat="1" ht="15.75">
      <c r="A9" s="165" t="s">
        <v>74</v>
      </c>
      <c r="C9" s="163"/>
      <c r="D9" s="163"/>
      <c r="E9" s="162"/>
      <c r="F9" s="162"/>
      <c r="G9" s="166">
        <f>G12</f>
        <v>7952.5</v>
      </c>
      <c r="H9" s="160"/>
    </row>
    <row r="10" spans="1:8" s="161" customFormat="1" ht="31.5">
      <c r="A10" s="167" t="s">
        <v>18</v>
      </c>
      <c r="B10" s="20" t="s">
        <v>349</v>
      </c>
      <c r="C10" s="168"/>
      <c r="D10" s="168"/>
      <c r="E10" s="169"/>
      <c r="F10" s="169"/>
      <c r="G10" s="170"/>
      <c r="H10" s="160"/>
    </row>
    <row r="11" spans="1:8" s="161" customFormat="1" ht="17.45" customHeight="1">
      <c r="A11" s="167" t="s">
        <v>622</v>
      </c>
      <c r="B11" s="20" t="s">
        <v>623</v>
      </c>
      <c r="C11" s="168"/>
      <c r="D11" s="168"/>
      <c r="E11" s="169"/>
      <c r="F11" s="169"/>
      <c r="G11" s="170"/>
      <c r="H11" s="160"/>
    </row>
    <row r="12" spans="1:8" s="161" customFormat="1" ht="15.75">
      <c r="A12" s="171" t="s">
        <v>706</v>
      </c>
      <c r="B12" s="20" t="s">
        <v>623</v>
      </c>
      <c r="C12" s="172">
        <v>10</v>
      </c>
      <c r="D12" s="172" t="s">
        <v>34</v>
      </c>
      <c r="E12" s="169"/>
      <c r="F12" s="169"/>
      <c r="G12" s="170">
        <f>G13</f>
        <v>7952.5</v>
      </c>
      <c r="H12" s="160"/>
    </row>
    <row r="13" spans="1:8" s="161" customFormat="1" ht="15.75">
      <c r="A13" s="171" t="s">
        <v>707</v>
      </c>
      <c r="B13" s="20" t="s">
        <v>623</v>
      </c>
      <c r="C13" s="172">
        <v>10</v>
      </c>
      <c r="D13" s="172" t="s">
        <v>63</v>
      </c>
      <c r="E13" s="169"/>
      <c r="F13" s="169"/>
      <c r="G13" s="170">
        <f>G14</f>
        <v>7952.5</v>
      </c>
      <c r="H13" s="160"/>
    </row>
    <row r="14" spans="1:8" s="161" customFormat="1" ht="15.75">
      <c r="A14" s="167" t="s">
        <v>101</v>
      </c>
      <c r="B14" s="20" t="s">
        <v>623</v>
      </c>
      <c r="C14" s="172">
        <v>10</v>
      </c>
      <c r="D14" s="172" t="s">
        <v>63</v>
      </c>
      <c r="E14" s="173" t="s">
        <v>102</v>
      </c>
      <c r="F14" s="169"/>
      <c r="G14" s="170">
        <f>G15</f>
        <v>7952.5</v>
      </c>
      <c r="H14" s="160"/>
    </row>
    <row r="15" spans="1:8" s="161" customFormat="1" ht="31.5">
      <c r="A15" s="167" t="s">
        <v>103</v>
      </c>
      <c r="B15" s="20" t="s">
        <v>623</v>
      </c>
      <c r="C15" s="172">
        <v>10</v>
      </c>
      <c r="D15" s="172" t="s">
        <v>63</v>
      </c>
      <c r="E15" s="173" t="s">
        <v>104</v>
      </c>
      <c r="F15" s="169"/>
      <c r="G15" s="178">
        <f>'пр.4'!F789</f>
        <v>7952.5</v>
      </c>
      <c r="H15" s="160"/>
    </row>
  </sheetData>
  <mergeCells count="5">
    <mergeCell ref="E1:G1"/>
    <mergeCell ref="A2:G2"/>
    <mergeCell ref="A3:G3"/>
    <mergeCell ref="A5:G5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2020-01-14T23:38:46Z</cp:lastPrinted>
  <dcterms:created xsi:type="dcterms:W3CDTF">2004-12-28T06:12:23Z</dcterms:created>
  <dcterms:modified xsi:type="dcterms:W3CDTF">2020-01-14T23:39:47Z</dcterms:modified>
  <cp:category/>
  <cp:version/>
  <cp:contentType/>
  <cp:contentStatus/>
</cp:coreProperties>
</file>